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60" windowWidth="24240" windowHeight="13680" activeTab="3"/>
  </bookViews>
  <sheets>
    <sheet name="all" sheetId="1" r:id="rId1"/>
    <sheet name="Side" sheetId="2" r:id="rId2"/>
    <sheet name="U" sheetId="3" r:id="rId3"/>
    <sheet name="W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7" i="4" l="1"/>
  <c r="AD65" i="3"/>
  <c r="AD8" i="4"/>
  <c r="AD9" i="4"/>
  <c r="AD10" i="4"/>
  <c r="AD11" i="4"/>
  <c r="AD12" i="4"/>
  <c r="AD13" i="4"/>
  <c r="AD18" i="4"/>
  <c r="AD19" i="4"/>
  <c r="AD20" i="4"/>
  <c r="AD21" i="4"/>
  <c r="AD22" i="4"/>
  <c r="AD23" i="4"/>
  <c r="AD32" i="4"/>
  <c r="AD33" i="4"/>
  <c r="AD34" i="4"/>
  <c r="AD35" i="4"/>
  <c r="AD36" i="4"/>
  <c r="AD37" i="4"/>
  <c r="AD38" i="4"/>
  <c r="AD39" i="4"/>
  <c r="AD40" i="4"/>
  <c r="AD61" i="4"/>
  <c r="AD62" i="4"/>
  <c r="AD63" i="4"/>
  <c r="AD64" i="4"/>
  <c r="AD65" i="4"/>
  <c r="AD66" i="4"/>
  <c r="AD67" i="4"/>
  <c r="AD68" i="4"/>
  <c r="AD69" i="4"/>
  <c r="AE114" i="2"/>
  <c r="AE113" i="2"/>
  <c r="AE112" i="2"/>
  <c r="AE111" i="2"/>
  <c r="AD114" i="2"/>
  <c r="AD113" i="2"/>
  <c r="AD112" i="2"/>
  <c r="AD111" i="2"/>
  <c r="AE104" i="2"/>
  <c r="AE103" i="2"/>
  <c r="AE102" i="2"/>
  <c r="AE101" i="2"/>
  <c r="AE100" i="2"/>
  <c r="AE99" i="2"/>
  <c r="AE98" i="2"/>
  <c r="AD104" i="2"/>
  <c r="AD103" i="2"/>
  <c r="AD102" i="2"/>
  <c r="AD101" i="2"/>
  <c r="AD100" i="2"/>
  <c r="AD99" i="2"/>
  <c r="AD98" i="2"/>
  <c r="AE97" i="2"/>
  <c r="AD97" i="2"/>
  <c r="AA135" i="2"/>
  <c r="AA136" i="2"/>
  <c r="AA137" i="2"/>
  <c r="L135" i="2"/>
  <c r="L136" i="2"/>
  <c r="L137" i="2"/>
  <c r="AA134" i="2"/>
  <c r="L134" i="2"/>
  <c r="G130" i="2"/>
  <c r="K130" i="2"/>
  <c r="L130" i="2"/>
  <c r="G131" i="2"/>
  <c r="K131" i="2"/>
  <c r="L131" i="2"/>
  <c r="G132" i="2"/>
  <c r="K132" i="2"/>
  <c r="L132" i="2"/>
  <c r="G133" i="2"/>
  <c r="K133" i="2"/>
  <c r="L133" i="2"/>
  <c r="AE131" i="2"/>
  <c r="AE130" i="2"/>
  <c r="AE129" i="2"/>
  <c r="AA130" i="2"/>
  <c r="AA131" i="2"/>
  <c r="AA132" i="2"/>
  <c r="AA133" i="2"/>
  <c r="G129" i="2"/>
  <c r="AA129" i="2"/>
  <c r="R133" i="2"/>
  <c r="R132" i="2"/>
  <c r="K129" i="2"/>
  <c r="L129" i="2"/>
  <c r="AD119" i="3"/>
  <c r="AE119" i="3"/>
  <c r="G119" i="3"/>
  <c r="AA119" i="3"/>
  <c r="R119" i="3"/>
  <c r="L119" i="3"/>
  <c r="L108" i="3"/>
  <c r="L109" i="3"/>
  <c r="L110" i="3"/>
  <c r="L111" i="3"/>
  <c r="L112" i="3"/>
  <c r="L113" i="3"/>
  <c r="L114" i="3"/>
  <c r="L115" i="3"/>
  <c r="L116" i="3"/>
  <c r="L117" i="3"/>
  <c r="L118" i="3"/>
  <c r="R116" i="3"/>
  <c r="R117" i="3"/>
  <c r="R118" i="3"/>
  <c r="R115" i="3"/>
  <c r="AA108" i="3"/>
  <c r="AA109" i="3"/>
  <c r="AA110" i="3"/>
  <c r="AA111" i="3"/>
  <c r="AA112" i="3"/>
  <c r="AA113" i="3"/>
  <c r="AA114" i="3"/>
  <c r="AA115" i="3"/>
  <c r="AA116" i="3"/>
  <c r="AA117" i="3"/>
  <c r="AA118" i="3"/>
  <c r="L107" i="3"/>
  <c r="AA107" i="3"/>
  <c r="AA128" i="2"/>
  <c r="AA127" i="2"/>
  <c r="AA126" i="2"/>
  <c r="AA125" i="2"/>
  <c r="AA124" i="2"/>
  <c r="AA123" i="2"/>
  <c r="R124" i="2"/>
  <c r="R125" i="2"/>
  <c r="R126" i="2"/>
  <c r="R127" i="2"/>
  <c r="R128" i="2"/>
  <c r="R123" i="2"/>
  <c r="AA122" i="2"/>
  <c r="AA121" i="2"/>
  <c r="AA120" i="2"/>
  <c r="L128" i="2"/>
  <c r="L127" i="2"/>
  <c r="L126" i="2"/>
  <c r="L125" i="2"/>
  <c r="L124" i="2"/>
  <c r="L123" i="2"/>
  <c r="L122" i="2"/>
  <c r="L121" i="2"/>
  <c r="L120" i="2"/>
  <c r="AE119" i="2"/>
  <c r="AE118" i="2"/>
  <c r="AD119" i="2"/>
  <c r="AD118" i="2"/>
  <c r="G119" i="2"/>
  <c r="AA119" i="2"/>
  <c r="R119" i="2"/>
  <c r="L119" i="2"/>
  <c r="R118" i="2"/>
  <c r="G118" i="2"/>
  <c r="L118" i="2"/>
  <c r="AA118" i="2"/>
  <c r="R106" i="3"/>
  <c r="R105" i="3"/>
  <c r="R104" i="3"/>
  <c r="AA106" i="3"/>
  <c r="AA105" i="3"/>
  <c r="AA104" i="3"/>
  <c r="K106" i="3"/>
  <c r="L106" i="3"/>
  <c r="K105" i="3"/>
  <c r="L105" i="3"/>
  <c r="K104" i="3"/>
  <c r="L104" i="3"/>
  <c r="H104" i="3"/>
  <c r="AA69" i="4"/>
  <c r="R69" i="4"/>
  <c r="L69" i="4"/>
  <c r="AA68" i="4"/>
  <c r="R68" i="4"/>
  <c r="L68" i="4"/>
  <c r="AA67" i="4"/>
  <c r="R67" i="4"/>
  <c r="L67" i="4"/>
  <c r="AA66" i="4"/>
  <c r="R66" i="4"/>
  <c r="L66" i="4"/>
  <c r="AA65" i="4"/>
  <c r="R65" i="4"/>
  <c r="L65" i="4"/>
  <c r="AA64" i="4"/>
  <c r="R64" i="4"/>
  <c r="L64" i="4"/>
  <c r="AA63" i="4"/>
  <c r="R63" i="4"/>
  <c r="L63" i="4"/>
  <c r="AA62" i="4"/>
  <c r="R62" i="4"/>
  <c r="L62" i="4"/>
  <c r="AA61" i="4"/>
  <c r="R61" i="4"/>
  <c r="L61" i="4"/>
  <c r="R103" i="3"/>
  <c r="L103" i="3"/>
  <c r="AA103" i="3"/>
  <c r="AD102" i="3"/>
  <c r="AE102" i="3"/>
  <c r="R102" i="3"/>
  <c r="G102" i="3"/>
  <c r="L102" i="3"/>
  <c r="AA102" i="3"/>
  <c r="G117" i="2"/>
  <c r="AA117" i="2"/>
  <c r="L117" i="2"/>
  <c r="G116" i="2"/>
  <c r="AA116" i="2"/>
  <c r="L116" i="2"/>
  <c r="G115" i="2"/>
  <c r="AA115" i="2"/>
  <c r="L115" i="2"/>
  <c r="AA114" i="2"/>
  <c r="X114" i="2"/>
  <c r="R114" i="2"/>
  <c r="L114" i="2"/>
  <c r="AA113" i="2"/>
  <c r="X113" i="2"/>
  <c r="R113" i="2"/>
  <c r="L113" i="2"/>
  <c r="AA112" i="2"/>
  <c r="X112" i="2"/>
  <c r="R112" i="2"/>
  <c r="L112" i="2"/>
  <c r="AA111" i="2"/>
  <c r="X111" i="2"/>
  <c r="R111" i="2"/>
  <c r="L111" i="2"/>
  <c r="AE60" i="4"/>
  <c r="AE59" i="4"/>
  <c r="AE58" i="4"/>
  <c r="AE57" i="4"/>
  <c r="G60" i="4"/>
  <c r="AA60" i="4"/>
  <c r="R60" i="4"/>
  <c r="L60" i="4"/>
  <c r="G59" i="4"/>
  <c r="AA59" i="4"/>
  <c r="R59" i="4"/>
  <c r="L59" i="4"/>
  <c r="G58" i="4"/>
  <c r="AA58" i="4"/>
  <c r="R58" i="4"/>
  <c r="L58" i="4"/>
  <c r="G57" i="4"/>
  <c r="AA57" i="4"/>
  <c r="R57" i="4"/>
  <c r="L57" i="4"/>
  <c r="AE101" i="3"/>
  <c r="AE100" i="3"/>
  <c r="AE99" i="3"/>
  <c r="AE98" i="3"/>
  <c r="G101" i="3"/>
  <c r="I101" i="3"/>
  <c r="AA101" i="3"/>
  <c r="R101" i="3"/>
  <c r="L101" i="3"/>
  <c r="G100" i="3"/>
  <c r="I100" i="3"/>
  <c r="AA100" i="3"/>
  <c r="R100" i="3"/>
  <c r="L100" i="3"/>
  <c r="G99" i="3"/>
  <c r="I99" i="3"/>
  <c r="AA99" i="3"/>
  <c r="R99" i="3"/>
  <c r="L99" i="3"/>
  <c r="G98" i="3"/>
  <c r="I98" i="3"/>
  <c r="AA98" i="3"/>
  <c r="R98" i="3"/>
  <c r="L98" i="3"/>
  <c r="AE97" i="3"/>
  <c r="AE96" i="3"/>
  <c r="AE95" i="3"/>
  <c r="AE94" i="3"/>
  <c r="AE93" i="3"/>
  <c r="AE92" i="3"/>
  <c r="AE91" i="3"/>
  <c r="AE90" i="3"/>
  <c r="AE89" i="3"/>
  <c r="AE88" i="3"/>
  <c r="G97" i="3"/>
  <c r="I97" i="3"/>
  <c r="AA97" i="3"/>
  <c r="R97" i="3"/>
  <c r="L97" i="3"/>
  <c r="G96" i="3"/>
  <c r="I96" i="3"/>
  <c r="AA96" i="3"/>
  <c r="R96" i="3"/>
  <c r="L96" i="3"/>
  <c r="G95" i="3"/>
  <c r="I95" i="3"/>
  <c r="AA95" i="3"/>
  <c r="R95" i="3"/>
  <c r="L95" i="3"/>
  <c r="G94" i="3"/>
  <c r="I94" i="3"/>
  <c r="AA94" i="3"/>
  <c r="R94" i="3"/>
  <c r="L94" i="3"/>
  <c r="G93" i="3"/>
  <c r="I93" i="3"/>
  <c r="AA93" i="3"/>
  <c r="R93" i="3"/>
  <c r="L93" i="3"/>
  <c r="G92" i="3"/>
  <c r="I92" i="3"/>
  <c r="AA92" i="3"/>
  <c r="R92" i="3"/>
  <c r="L92" i="3"/>
  <c r="G91" i="3"/>
  <c r="I91" i="3"/>
  <c r="AA91" i="3"/>
  <c r="R91" i="3"/>
  <c r="L91" i="3"/>
  <c r="G90" i="3"/>
  <c r="I90" i="3"/>
  <c r="AA90" i="3"/>
  <c r="R90" i="3"/>
  <c r="L90" i="3"/>
  <c r="G89" i="3"/>
  <c r="I89" i="3"/>
  <c r="AA89" i="3"/>
  <c r="R89" i="3"/>
  <c r="L89" i="3"/>
  <c r="G88" i="3"/>
  <c r="I88" i="3"/>
  <c r="AA88" i="3"/>
  <c r="R88" i="3"/>
  <c r="L88" i="3"/>
  <c r="AE87" i="3"/>
  <c r="AE86" i="3"/>
  <c r="G87" i="3"/>
  <c r="I87" i="3"/>
  <c r="AA87" i="3"/>
  <c r="R87" i="3"/>
  <c r="L87" i="3"/>
  <c r="G86" i="3"/>
  <c r="I86" i="3"/>
  <c r="AA86" i="3"/>
  <c r="R86" i="3"/>
  <c r="L86" i="3"/>
  <c r="AE84" i="3"/>
  <c r="AE82" i="3"/>
  <c r="I79" i="3"/>
  <c r="I80" i="3"/>
  <c r="I81" i="3"/>
  <c r="I82" i="3"/>
  <c r="I83" i="3"/>
  <c r="I84" i="3"/>
  <c r="I85" i="3"/>
  <c r="I78" i="3"/>
  <c r="AE85" i="3"/>
  <c r="G85" i="3"/>
  <c r="AA85" i="3"/>
  <c r="R85" i="3"/>
  <c r="L85" i="3"/>
  <c r="G84" i="3"/>
  <c r="AA84" i="3"/>
  <c r="R84" i="3"/>
  <c r="L84" i="3"/>
  <c r="AE83" i="3"/>
  <c r="G83" i="3"/>
  <c r="AA83" i="3"/>
  <c r="R83" i="3"/>
  <c r="L83" i="3"/>
  <c r="G82" i="3"/>
  <c r="AA82" i="3"/>
  <c r="R82" i="3"/>
  <c r="L82" i="3"/>
  <c r="AE81" i="3"/>
  <c r="AE80" i="3"/>
  <c r="AE79" i="3"/>
  <c r="AE78" i="3"/>
  <c r="G81" i="3"/>
  <c r="AA81" i="3"/>
  <c r="R81" i="3"/>
  <c r="L81" i="3"/>
  <c r="G80" i="3"/>
  <c r="AA80" i="3"/>
  <c r="R80" i="3"/>
  <c r="L80" i="3"/>
  <c r="G79" i="3"/>
  <c r="G78" i="3"/>
  <c r="AA79" i="3"/>
  <c r="R79" i="3"/>
  <c r="L79" i="3"/>
  <c r="R78" i="3"/>
  <c r="L78" i="3"/>
  <c r="AA78" i="3"/>
  <c r="G77" i="3"/>
  <c r="AA77" i="3"/>
  <c r="Z77" i="3"/>
  <c r="R77" i="3"/>
  <c r="L77" i="3"/>
  <c r="G76" i="3"/>
  <c r="AA76" i="3"/>
  <c r="Z76" i="3"/>
  <c r="R76" i="3"/>
  <c r="L76" i="3"/>
  <c r="Z75" i="3"/>
  <c r="R75" i="3"/>
  <c r="G75" i="3"/>
  <c r="L75" i="3"/>
  <c r="AA75" i="3"/>
  <c r="AE110" i="2"/>
  <c r="AD110" i="2"/>
  <c r="G110" i="2"/>
  <c r="AA110" i="2"/>
  <c r="R110" i="2"/>
  <c r="L110" i="2"/>
  <c r="AE109" i="2"/>
  <c r="AD109" i="2"/>
  <c r="G109" i="2"/>
  <c r="AA109" i="2"/>
  <c r="L109" i="2"/>
  <c r="AE108" i="2"/>
  <c r="AD108" i="2"/>
  <c r="G108" i="2"/>
  <c r="AA108" i="2"/>
  <c r="L108" i="2"/>
  <c r="AE107" i="2"/>
  <c r="AD107" i="2"/>
  <c r="G107" i="2"/>
  <c r="AA107" i="2"/>
  <c r="L107" i="2"/>
  <c r="AE105" i="2"/>
  <c r="AE106" i="2"/>
  <c r="AD106" i="2"/>
  <c r="G106" i="2"/>
  <c r="AA106" i="2"/>
  <c r="L106" i="2"/>
  <c r="AD105" i="2"/>
  <c r="G105" i="2"/>
  <c r="L105" i="2"/>
  <c r="AA105" i="2"/>
  <c r="AE74" i="3"/>
  <c r="AE73" i="3"/>
  <c r="AE72" i="3"/>
  <c r="AE71" i="3"/>
  <c r="AE70" i="3"/>
  <c r="AE69" i="3"/>
  <c r="AE68" i="3"/>
  <c r="AE67" i="3"/>
  <c r="AE66" i="3"/>
  <c r="AE65" i="3"/>
  <c r="AD74" i="3"/>
  <c r="AD73" i="3"/>
  <c r="AD72" i="3"/>
  <c r="AD71" i="3"/>
  <c r="AD70" i="3"/>
  <c r="AD69" i="3"/>
  <c r="AD68" i="3"/>
  <c r="AD67" i="3"/>
  <c r="AD66" i="3"/>
  <c r="W66" i="3"/>
  <c r="G74" i="3"/>
  <c r="L74" i="3"/>
  <c r="AA74" i="3"/>
  <c r="E74" i="3"/>
  <c r="R74" i="3"/>
  <c r="G73" i="3"/>
  <c r="AA73" i="3"/>
  <c r="E73" i="3"/>
  <c r="R73" i="3"/>
  <c r="G72" i="3"/>
  <c r="AA72" i="3"/>
  <c r="E72" i="3"/>
  <c r="R72" i="3"/>
  <c r="G71" i="3"/>
  <c r="AA71" i="3"/>
  <c r="E71" i="3"/>
  <c r="R71" i="3"/>
  <c r="G70" i="3"/>
  <c r="AA70" i="3"/>
  <c r="E70" i="3"/>
  <c r="R70" i="3"/>
  <c r="E69" i="3"/>
  <c r="R69" i="3"/>
  <c r="G69" i="3"/>
  <c r="AA69" i="3"/>
  <c r="G68" i="3"/>
  <c r="AA68" i="3"/>
  <c r="E68" i="3"/>
  <c r="R68" i="3"/>
  <c r="G67" i="3"/>
  <c r="AA67" i="3"/>
  <c r="E67" i="3"/>
  <c r="R67" i="3"/>
  <c r="G66" i="3"/>
  <c r="L66" i="3"/>
  <c r="AA66" i="3"/>
  <c r="E66" i="3"/>
  <c r="R66" i="3"/>
  <c r="G65" i="3"/>
  <c r="AA65" i="3"/>
  <c r="E65" i="3"/>
  <c r="R65" i="3"/>
  <c r="AA64" i="3"/>
  <c r="W64" i="3"/>
  <c r="AE64" i="3"/>
  <c r="L64" i="3"/>
  <c r="AA104" i="2"/>
  <c r="L104" i="2"/>
  <c r="AA103" i="2"/>
  <c r="L103" i="2"/>
  <c r="AA102" i="2"/>
  <c r="L102" i="2"/>
  <c r="AA101" i="2"/>
  <c r="L101" i="2"/>
  <c r="AA99" i="2"/>
  <c r="L99" i="2"/>
  <c r="AA98" i="2"/>
  <c r="L98" i="2"/>
  <c r="AA100" i="2"/>
  <c r="L100" i="2"/>
  <c r="L97" i="2"/>
  <c r="AA97" i="2"/>
  <c r="AA63" i="3"/>
  <c r="R63" i="3"/>
  <c r="L63" i="3"/>
  <c r="AA62" i="3"/>
  <c r="R62" i="3"/>
  <c r="L62" i="3"/>
  <c r="AA61" i="3"/>
  <c r="L61" i="3"/>
  <c r="AA95" i="2"/>
  <c r="AA96" i="2"/>
  <c r="R96" i="2"/>
  <c r="R95" i="2"/>
  <c r="L95" i="2"/>
  <c r="L96" i="2"/>
  <c r="L94" i="2"/>
  <c r="AA94" i="2"/>
  <c r="F1" i="4"/>
  <c r="G1" i="4"/>
  <c r="K1" i="4"/>
  <c r="L1" i="4"/>
  <c r="M1" i="4"/>
  <c r="N1" i="4"/>
  <c r="O1" i="4"/>
  <c r="P1" i="4"/>
  <c r="Q1" i="4"/>
  <c r="R1" i="4"/>
  <c r="S1" i="4"/>
  <c r="T1" i="4"/>
  <c r="V1" i="4"/>
  <c r="W1" i="4"/>
  <c r="X1" i="4"/>
  <c r="Y1" i="4"/>
  <c r="Z1" i="4"/>
  <c r="AA1" i="4"/>
  <c r="AB1" i="4"/>
  <c r="AC1" i="4"/>
  <c r="AD1" i="4"/>
  <c r="AE1" i="4"/>
  <c r="F1" i="3"/>
  <c r="G1" i="3"/>
  <c r="K1" i="3"/>
  <c r="L1" i="3"/>
  <c r="M1" i="3"/>
  <c r="N1" i="3"/>
  <c r="O1" i="3"/>
  <c r="P1" i="3"/>
  <c r="Q1" i="3"/>
  <c r="R1" i="3"/>
  <c r="S1" i="3"/>
  <c r="T1" i="3"/>
  <c r="V1" i="3"/>
  <c r="W1" i="3"/>
  <c r="X1" i="3"/>
  <c r="Y1" i="3"/>
  <c r="Z1" i="3"/>
  <c r="AA1" i="3"/>
  <c r="AB1" i="3"/>
  <c r="AC1" i="3"/>
  <c r="AD1" i="3"/>
  <c r="AE1" i="3"/>
  <c r="F1" i="2"/>
  <c r="G1" i="2"/>
  <c r="K1" i="2"/>
  <c r="L1" i="2"/>
  <c r="M1" i="2"/>
  <c r="N1" i="2"/>
  <c r="O1" i="2"/>
  <c r="P1" i="2"/>
  <c r="Q1" i="2"/>
  <c r="R1" i="2"/>
  <c r="S1" i="2"/>
  <c r="T1" i="2"/>
  <c r="V1" i="2"/>
  <c r="W1" i="2"/>
  <c r="X1" i="2"/>
  <c r="Y1" i="2"/>
  <c r="Z1" i="2"/>
  <c r="AA1" i="2"/>
  <c r="AB1" i="2"/>
  <c r="AC1" i="2"/>
  <c r="AD1" i="2"/>
  <c r="AE1" i="2"/>
  <c r="R56" i="4"/>
  <c r="K56" i="4"/>
  <c r="H56" i="4"/>
  <c r="AA56" i="4"/>
  <c r="H55" i="4"/>
  <c r="G55" i="4"/>
  <c r="AA55" i="4"/>
  <c r="H54" i="4"/>
  <c r="G54" i="4"/>
  <c r="AA54" i="4"/>
  <c r="H53" i="4"/>
  <c r="G53" i="4"/>
  <c r="AA53" i="4"/>
  <c r="H52" i="4"/>
  <c r="G52" i="4"/>
  <c r="AA52" i="4"/>
  <c r="H51" i="4"/>
  <c r="G51" i="4"/>
  <c r="AA51" i="4"/>
  <c r="H50" i="4"/>
  <c r="G50" i="4"/>
  <c r="AA50" i="4"/>
  <c r="H49" i="4"/>
  <c r="G49" i="4"/>
  <c r="AA49" i="4"/>
  <c r="H48" i="4"/>
  <c r="G48" i="4"/>
  <c r="AA48" i="4"/>
  <c r="H47" i="4"/>
  <c r="G47" i="4"/>
  <c r="AA47" i="4"/>
  <c r="H46" i="4"/>
  <c r="G46" i="4"/>
  <c r="AA46" i="4"/>
  <c r="H45" i="4"/>
  <c r="G45" i="4"/>
  <c r="AA45" i="4"/>
  <c r="H44" i="4"/>
  <c r="G44" i="4"/>
  <c r="AA44" i="4"/>
  <c r="H43" i="4"/>
  <c r="G43" i="4"/>
  <c r="AA43" i="4"/>
  <c r="H42" i="4"/>
  <c r="G42" i="4"/>
  <c r="AA42" i="4"/>
  <c r="H41" i="4"/>
  <c r="G41" i="4"/>
  <c r="AA41" i="4"/>
  <c r="AA40" i="4"/>
  <c r="K40" i="4"/>
  <c r="AA39" i="4"/>
  <c r="K39" i="4"/>
  <c r="AA38" i="4"/>
  <c r="K38" i="4"/>
  <c r="AA37" i="4"/>
  <c r="R37" i="4"/>
  <c r="K37" i="4"/>
  <c r="AA36" i="4"/>
  <c r="K36" i="4"/>
  <c r="AA35" i="4"/>
  <c r="K35" i="4"/>
  <c r="AE34" i="4"/>
  <c r="AA34" i="4"/>
  <c r="W34" i="4"/>
  <c r="R34" i="4"/>
  <c r="P34" i="4"/>
  <c r="L34" i="4"/>
  <c r="AE33" i="4"/>
  <c r="AA33" i="4"/>
  <c r="W33" i="4"/>
  <c r="R33" i="4"/>
  <c r="P33" i="4"/>
  <c r="L33" i="4"/>
  <c r="AE32" i="4"/>
  <c r="AA32" i="4"/>
  <c r="R32" i="4"/>
  <c r="P32" i="4"/>
  <c r="L32" i="4"/>
  <c r="G31" i="4"/>
  <c r="AA31" i="4"/>
  <c r="R31" i="4"/>
  <c r="L31" i="4"/>
  <c r="R30" i="4"/>
  <c r="G30" i="4"/>
  <c r="AA30" i="4"/>
  <c r="G29" i="4"/>
  <c r="AA29" i="4"/>
  <c r="R29" i="4"/>
  <c r="L29" i="4"/>
  <c r="R28" i="4"/>
  <c r="G28" i="4"/>
  <c r="AA28" i="4"/>
  <c r="AA27" i="4"/>
  <c r="R27" i="4"/>
  <c r="L27" i="4"/>
  <c r="AA26" i="4"/>
  <c r="R26" i="4"/>
  <c r="L26" i="4"/>
  <c r="AA25" i="4"/>
  <c r="R25" i="4"/>
  <c r="L25" i="4"/>
  <c r="AA24" i="4"/>
  <c r="R24" i="4"/>
  <c r="L24" i="4"/>
  <c r="AE23" i="4"/>
  <c r="AA23" i="4"/>
  <c r="R23" i="4"/>
  <c r="L23" i="4"/>
  <c r="AE22" i="4"/>
  <c r="AA22" i="4"/>
  <c r="R22" i="4"/>
  <c r="L22" i="4"/>
  <c r="AE21" i="4"/>
  <c r="AA21" i="4"/>
  <c r="R21" i="4"/>
  <c r="L21" i="4"/>
  <c r="AE20" i="4"/>
  <c r="AA20" i="4"/>
  <c r="R20" i="4"/>
  <c r="L20" i="4"/>
  <c r="AE19" i="4"/>
  <c r="AA19" i="4"/>
  <c r="R19" i="4"/>
  <c r="L19" i="4"/>
  <c r="AE18" i="4"/>
  <c r="AA18" i="4"/>
  <c r="R18" i="4"/>
  <c r="L18" i="4"/>
  <c r="AA17" i="4"/>
  <c r="R17" i="4"/>
  <c r="L17" i="4"/>
  <c r="G16" i="4"/>
  <c r="AA16" i="4"/>
  <c r="Z16" i="4"/>
  <c r="W16" i="4"/>
  <c r="L16" i="4"/>
  <c r="Z15" i="4"/>
  <c r="W15" i="4"/>
  <c r="G15" i="4"/>
  <c r="AA15" i="4"/>
  <c r="G14" i="4"/>
  <c r="AA14" i="4"/>
  <c r="Z14" i="4"/>
  <c r="W14" i="4"/>
  <c r="L14" i="4"/>
  <c r="AE13" i="4"/>
  <c r="AA13" i="4"/>
  <c r="L13" i="4"/>
  <c r="AE12" i="4"/>
  <c r="AA12" i="4"/>
  <c r="L12" i="4"/>
  <c r="AE11" i="4"/>
  <c r="AA11" i="4"/>
  <c r="L11" i="4"/>
  <c r="AE10" i="4"/>
  <c r="AA10" i="4"/>
  <c r="L10" i="4"/>
  <c r="AE9" i="4"/>
  <c r="AA9" i="4"/>
  <c r="L9" i="4"/>
  <c r="AE8" i="4"/>
  <c r="AA8" i="4"/>
  <c r="L8" i="4"/>
  <c r="AA7" i="4"/>
  <c r="R7" i="4"/>
  <c r="L7" i="4"/>
  <c r="AA6" i="4"/>
  <c r="R6" i="4"/>
  <c r="L6" i="4"/>
  <c r="AA5" i="4"/>
  <c r="R5" i="4"/>
  <c r="L5" i="4"/>
  <c r="AA4" i="4"/>
  <c r="R4" i="4"/>
  <c r="L4" i="4"/>
  <c r="AA60" i="3"/>
  <c r="L60" i="3"/>
  <c r="AA59" i="3"/>
  <c r="L59" i="3"/>
  <c r="AA58" i="3"/>
  <c r="R58" i="3"/>
  <c r="L58" i="3"/>
  <c r="AA57" i="3"/>
  <c r="R57" i="3"/>
  <c r="L57" i="3"/>
  <c r="AA56" i="3"/>
  <c r="L56" i="3"/>
  <c r="AD55" i="3"/>
  <c r="AA55" i="3"/>
  <c r="L55" i="3"/>
  <c r="AD54" i="3"/>
  <c r="AA54" i="3"/>
  <c r="L54" i="3"/>
  <c r="AD53" i="3"/>
  <c r="AA53" i="3"/>
  <c r="L53" i="3"/>
  <c r="AD52" i="3"/>
  <c r="AA52" i="3"/>
  <c r="L52" i="3"/>
  <c r="AD51" i="3"/>
  <c r="AA51" i="3"/>
  <c r="L51" i="3"/>
  <c r="AD50" i="3"/>
  <c r="AA50" i="3"/>
  <c r="L50" i="3"/>
  <c r="AD49" i="3"/>
  <c r="AA49" i="3"/>
  <c r="L49" i="3"/>
  <c r="AD48" i="3"/>
  <c r="AA48" i="3"/>
  <c r="L48" i="3"/>
  <c r="AD47" i="3"/>
  <c r="AA47" i="3"/>
  <c r="L47" i="3"/>
  <c r="AD46" i="3"/>
  <c r="AA46" i="3"/>
  <c r="L46" i="3"/>
  <c r="AA45" i="3"/>
  <c r="R45" i="3"/>
  <c r="L45" i="3"/>
  <c r="D45" i="3"/>
  <c r="AA44" i="3"/>
  <c r="R44" i="3"/>
  <c r="L44" i="3"/>
  <c r="D44" i="3"/>
  <c r="AA43" i="3"/>
  <c r="R43" i="3"/>
  <c r="L43" i="3"/>
  <c r="D43" i="3"/>
  <c r="AA42" i="3"/>
  <c r="R42" i="3"/>
  <c r="L42" i="3"/>
  <c r="D42" i="3"/>
  <c r="AA41" i="3"/>
  <c r="R41" i="3"/>
  <c r="L41" i="3"/>
  <c r="D41" i="3"/>
  <c r="AA40" i="3"/>
  <c r="R40" i="3"/>
  <c r="L40" i="3"/>
  <c r="D40" i="3"/>
  <c r="AA39" i="3"/>
  <c r="R39" i="3"/>
  <c r="L39" i="3"/>
  <c r="D39" i="3"/>
  <c r="AA38" i="3"/>
  <c r="R38" i="3"/>
  <c r="L38" i="3"/>
  <c r="D38" i="3"/>
  <c r="AA37" i="3"/>
  <c r="W37" i="3"/>
  <c r="R37" i="3"/>
  <c r="L37" i="3"/>
  <c r="AA36" i="3"/>
  <c r="R36" i="3"/>
  <c r="L36" i="3"/>
  <c r="AA35" i="3"/>
  <c r="R35" i="3"/>
  <c r="L35" i="3"/>
  <c r="AA34" i="3"/>
  <c r="L34" i="3"/>
  <c r="AA33" i="3"/>
  <c r="L33" i="3"/>
  <c r="AA32" i="3"/>
  <c r="R32" i="3"/>
  <c r="L32" i="3"/>
  <c r="R31" i="3"/>
  <c r="AA30" i="3"/>
  <c r="AA29" i="3"/>
  <c r="AA28" i="3"/>
  <c r="Z28" i="3"/>
  <c r="R28" i="3"/>
  <c r="K28" i="3"/>
  <c r="AA27" i="3"/>
  <c r="R27" i="3"/>
  <c r="AE26" i="3"/>
  <c r="AD26" i="3"/>
  <c r="AA26" i="3"/>
  <c r="AE25" i="3"/>
  <c r="AD25" i="3"/>
  <c r="AA25" i="3"/>
  <c r="AA24" i="3"/>
  <c r="R24" i="3"/>
  <c r="AA23" i="3"/>
  <c r="R23" i="3"/>
  <c r="AA22" i="3"/>
  <c r="R22" i="3"/>
  <c r="AA21" i="3"/>
  <c r="R21" i="3"/>
  <c r="AA20" i="3"/>
  <c r="R20" i="3"/>
  <c r="AA19" i="3"/>
  <c r="R19" i="3"/>
  <c r="AA18" i="3"/>
  <c r="R18" i="3"/>
  <c r="AA17" i="3"/>
  <c r="R17" i="3"/>
  <c r="AA16" i="3"/>
  <c r="R16" i="3"/>
  <c r="AE15" i="3"/>
  <c r="R15" i="3"/>
  <c r="L15" i="3"/>
  <c r="H15" i="3"/>
  <c r="AA15" i="3"/>
  <c r="AE14" i="3"/>
  <c r="R14" i="3"/>
  <c r="L14" i="3"/>
  <c r="H14" i="3"/>
  <c r="AA14" i="3"/>
  <c r="AE13" i="3"/>
  <c r="R13" i="3"/>
  <c r="L13" i="3"/>
  <c r="H13" i="3"/>
  <c r="AA13" i="3"/>
  <c r="AE12" i="3"/>
  <c r="L12" i="3"/>
  <c r="H12" i="3"/>
  <c r="AA12" i="3"/>
  <c r="AA11" i="3"/>
  <c r="L11" i="3"/>
  <c r="AA10" i="3"/>
  <c r="L10" i="3"/>
  <c r="AA9" i="3"/>
  <c r="L9" i="3"/>
  <c r="AA8" i="3"/>
  <c r="L8" i="3"/>
  <c r="AA7" i="3"/>
  <c r="L7" i="3"/>
  <c r="AA6" i="3"/>
  <c r="L6" i="3"/>
  <c r="AA5" i="3"/>
  <c r="L5" i="3"/>
  <c r="AA4" i="3"/>
  <c r="L4" i="3"/>
  <c r="AA93" i="2"/>
  <c r="Z93" i="2"/>
  <c r="L93" i="2"/>
  <c r="AA92" i="2"/>
  <c r="L92" i="2"/>
  <c r="AA91" i="2"/>
  <c r="Z91" i="2"/>
  <c r="L91" i="2"/>
  <c r="AA90" i="2"/>
  <c r="Z90" i="2"/>
  <c r="L90" i="2"/>
  <c r="AA89" i="2"/>
  <c r="L89" i="2"/>
  <c r="AA88" i="2"/>
  <c r="L88" i="2"/>
  <c r="AA87" i="2"/>
  <c r="Z87" i="2"/>
  <c r="L87" i="2"/>
  <c r="H87" i="2"/>
  <c r="AA86" i="2"/>
  <c r="Z86" i="2"/>
  <c r="L86" i="2"/>
  <c r="H86" i="2"/>
  <c r="AA85" i="2"/>
  <c r="L85" i="2"/>
  <c r="H85" i="2"/>
  <c r="AE84" i="2"/>
  <c r="R84" i="2"/>
  <c r="G84" i="2"/>
  <c r="AA84" i="2"/>
  <c r="AE83" i="2"/>
  <c r="G83" i="2"/>
  <c r="AA83" i="2"/>
  <c r="AA82" i="2"/>
  <c r="L82" i="2"/>
  <c r="AA81" i="2"/>
  <c r="L81" i="2"/>
  <c r="AA80" i="2"/>
  <c r="L80" i="2"/>
  <c r="AA79" i="2"/>
  <c r="L79" i="2"/>
  <c r="AA78" i="2"/>
  <c r="L78" i="2"/>
  <c r="AE77" i="2"/>
  <c r="AD77" i="2"/>
  <c r="AA77" i="2"/>
  <c r="L77" i="2"/>
  <c r="AE76" i="2"/>
  <c r="AD76" i="2"/>
  <c r="AA76" i="2"/>
  <c r="L76" i="2"/>
  <c r="AE75" i="2"/>
  <c r="AD75" i="2"/>
  <c r="AA75" i="2"/>
  <c r="L75" i="2"/>
  <c r="AE74" i="2"/>
  <c r="AD74" i="2"/>
  <c r="AA74" i="2"/>
  <c r="L74" i="2"/>
  <c r="AE73" i="2"/>
  <c r="AD73" i="2"/>
  <c r="AA73" i="2"/>
  <c r="L73" i="2"/>
  <c r="AE72" i="2"/>
  <c r="AD72" i="2"/>
  <c r="AA72" i="2"/>
  <c r="L72" i="2"/>
  <c r="AE71" i="2"/>
  <c r="AD71" i="2"/>
  <c r="AA71" i="2"/>
  <c r="L71" i="2"/>
  <c r="AE70" i="2"/>
  <c r="AD70" i="2"/>
  <c r="AA70" i="2"/>
  <c r="L70" i="2"/>
  <c r="AE69" i="2"/>
  <c r="AD69" i="2"/>
  <c r="AA69" i="2"/>
  <c r="L69" i="2"/>
  <c r="AE68" i="2"/>
  <c r="AD68" i="2"/>
  <c r="AA68" i="2"/>
  <c r="L68" i="2"/>
  <c r="AE67" i="2"/>
  <c r="AD67" i="2"/>
  <c r="AA67" i="2"/>
  <c r="L67" i="2"/>
  <c r="AE66" i="2"/>
  <c r="AD66" i="2"/>
  <c r="AA66" i="2"/>
  <c r="L66" i="2"/>
  <c r="AD65" i="2"/>
  <c r="AA65" i="2"/>
  <c r="L65" i="2"/>
  <c r="AE64" i="2"/>
  <c r="R64" i="2"/>
  <c r="G64" i="2"/>
  <c r="AA64" i="2"/>
  <c r="D64" i="2"/>
  <c r="AE63" i="2"/>
  <c r="R63" i="2"/>
  <c r="G63" i="2"/>
  <c r="AA63" i="2"/>
  <c r="D63" i="2"/>
  <c r="AE62" i="2"/>
  <c r="Z62" i="2"/>
  <c r="G62" i="2"/>
  <c r="AA62" i="2"/>
  <c r="D62" i="2"/>
  <c r="AE61" i="2"/>
  <c r="G61" i="2"/>
  <c r="AA61" i="2"/>
  <c r="D61" i="2"/>
  <c r="AE60" i="2"/>
  <c r="G60" i="2"/>
  <c r="AA60" i="2"/>
  <c r="D60" i="2"/>
  <c r="AA59" i="2"/>
  <c r="R59" i="2"/>
  <c r="AE58" i="2"/>
  <c r="AA58" i="2"/>
  <c r="K58" i="2"/>
  <c r="AE57" i="2"/>
  <c r="AA57" i="2"/>
  <c r="K57" i="2"/>
  <c r="AA56" i="2"/>
  <c r="L56" i="2"/>
  <c r="AA55" i="2"/>
  <c r="R55" i="2"/>
  <c r="L55" i="2"/>
  <c r="AA54" i="2"/>
  <c r="R54" i="2"/>
  <c r="L54" i="2"/>
  <c r="AA53" i="2"/>
  <c r="R53" i="2"/>
  <c r="L53" i="2"/>
  <c r="AA52" i="2"/>
  <c r="R52" i="2"/>
  <c r="L52" i="2"/>
  <c r="AA51" i="2"/>
  <c r="R51" i="2"/>
  <c r="L51" i="2"/>
  <c r="H50" i="2"/>
  <c r="G50" i="2"/>
  <c r="AA50" i="2"/>
  <c r="H49" i="2"/>
  <c r="G49" i="2"/>
  <c r="AA49" i="2"/>
  <c r="H48" i="2"/>
  <c r="G48" i="2"/>
  <c r="AA48" i="2"/>
  <c r="AA47" i="2"/>
  <c r="R47" i="2"/>
  <c r="L47" i="2"/>
  <c r="AA46" i="2"/>
  <c r="R46" i="2"/>
  <c r="L46" i="2"/>
  <c r="AA45" i="2"/>
  <c r="R45" i="2"/>
  <c r="L45" i="2"/>
  <c r="AA44" i="2"/>
  <c r="R44" i="2"/>
  <c r="L44" i="2"/>
  <c r="AA43" i="2"/>
  <c r="R43" i="2"/>
  <c r="L43" i="2"/>
  <c r="AA42" i="2"/>
  <c r="R42" i="2"/>
  <c r="L42" i="2"/>
  <c r="AA41" i="2"/>
  <c r="R41" i="2"/>
  <c r="L41" i="2"/>
  <c r="AA40" i="2"/>
  <c r="R40" i="2"/>
  <c r="L40" i="2"/>
  <c r="AA39" i="2"/>
  <c r="AA38" i="2"/>
  <c r="Z38" i="2"/>
  <c r="K38" i="2"/>
  <c r="AA37" i="2"/>
  <c r="Z37" i="2"/>
  <c r="K37" i="2"/>
  <c r="AD36" i="2"/>
  <c r="AA36" i="2"/>
  <c r="Z36" i="2"/>
  <c r="L36" i="2"/>
  <c r="AD35" i="2"/>
  <c r="AA35" i="2"/>
  <c r="Z35" i="2"/>
  <c r="L35" i="2"/>
  <c r="AD34" i="2"/>
  <c r="AA34" i="2"/>
  <c r="Z34" i="2"/>
  <c r="L34" i="2"/>
  <c r="AA33" i="2"/>
  <c r="R33" i="2"/>
  <c r="L33" i="2"/>
  <c r="AA32" i="2"/>
  <c r="R32" i="2"/>
  <c r="L32" i="2"/>
  <c r="AE31" i="2"/>
  <c r="AD31" i="2"/>
  <c r="AA31" i="2"/>
  <c r="L31" i="2"/>
  <c r="AE30" i="2"/>
  <c r="AD30" i="2"/>
  <c r="AA30" i="2"/>
  <c r="L30" i="2"/>
  <c r="AE29" i="2"/>
  <c r="AD29" i="2"/>
  <c r="AA29" i="2"/>
  <c r="W29" i="2"/>
  <c r="W30" i="2"/>
  <c r="W31" i="2"/>
  <c r="L29" i="2"/>
  <c r="AE28" i="2"/>
  <c r="AD28" i="2"/>
  <c r="AA28" i="2"/>
  <c r="L28" i="2"/>
  <c r="AE27" i="2"/>
  <c r="AD27" i="2"/>
  <c r="AA27" i="2"/>
  <c r="W27" i="2"/>
  <c r="W28" i="2"/>
  <c r="L27" i="2"/>
  <c r="AE26" i="2"/>
  <c r="AD26" i="2"/>
  <c r="AA26" i="2"/>
  <c r="L26" i="2"/>
  <c r="AE25" i="2"/>
  <c r="AD25" i="2"/>
  <c r="AA25" i="2"/>
  <c r="Z25" i="2"/>
  <c r="L25" i="2"/>
  <c r="AE24" i="2"/>
  <c r="AD24" i="2"/>
  <c r="AA24" i="2"/>
  <c r="Y24" i="2"/>
  <c r="Y25" i="2"/>
  <c r="Y26" i="2"/>
  <c r="Y27" i="2"/>
  <c r="Y28" i="2"/>
  <c r="Y29" i="2"/>
  <c r="Y30" i="2"/>
  <c r="Y31" i="2"/>
  <c r="W24" i="2"/>
  <c r="W25" i="2"/>
  <c r="L24" i="2"/>
  <c r="AE23" i="2"/>
  <c r="AD23" i="2"/>
  <c r="AA23" i="2"/>
  <c r="L23" i="2"/>
  <c r="AE22" i="2"/>
  <c r="AA22" i="2"/>
  <c r="L22" i="2"/>
  <c r="AE21" i="2"/>
  <c r="AA21" i="2"/>
  <c r="L21" i="2"/>
  <c r="AE20" i="2"/>
  <c r="AA20" i="2"/>
  <c r="L20" i="2"/>
  <c r="AE19" i="2"/>
  <c r="AA19" i="2"/>
  <c r="L19" i="2"/>
  <c r="AE18" i="2"/>
  <c r="AA18" i="2"/>
  <c r="L18" i="2"/>
  <c r="AE17" i="2"/>
  <c r="AA17" i="2"/>
  <c r="L17" i="2"/>
  <c r="AA16" i="2"/>
  <c r="W16" i="2"/>
  <c r="R16" i="2"/>
  <c r="L16" i="2"/>
  <c r="AA15" i="2"/>
  <c r="W15" i="2"/>
  <c r="R15" i="2"/>
  <c r="L15" i="2"/>
  <c r="AA14" i="2"/>
  <c r="W14" i="2"/>
  <c r="R14" i="2"/>
  <c r="L14" i="2"/>
  <c r="AA13" i="2"/>
  <c r="W13" i="2"/>
  <c r="R13" i="2"/>
  <c r="L13" i="2"/>
  <c r="AA12" i="2"/>
  <c r="L12" i="2"/>
  <c r="AA11" i="2"/>
  <c r="L11" i="2"/>
  <c r="R10" i="2"/>
  <c r="L10" i="2"/>
  <c r="R9" i="2"/>
  <c r="L9" i="2"/>
  <c r="AA8" i="2"/>
  <c r="R8" i="2"/>
  <c r="L8" i="2"/>
  <c r="AA7" i="2"/>
  <c r="R7" i="2"/>
  <c r="L7" i="2"/>
  <c r="AA6" i="2"/>
  <c r="L6" i="2"/>
  <c r="AA5" i="2"/>
  <c r="L5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A4" i="2"/>
  <c r="L4" i="2"/>
  <c r="L73" i="3"/>
  <c r="L65" i="3"/>
  <c r="L71" i="3"/>
  <c r="L72" i="3"/>
  <c r="L70" i="3"/>
  <c r="L69" i="3"/>
  <c r="L68" i="3"/>
  <c r="L67" i="3"/>
  <c r="L50" i="2"/>
  <c r="L48" i="2"/>
  <c r="L84" i="2"/>
  <c r="L28" i="4"/>
  <c r="L30" i="4"/>
  <c r="K41" i="4"/>
  <c r="K43" i="4"/>
  <c r="K45" i="4"/>
  <c r="K47" i="4"/>
  <c r="K49" i="4"/>
  <c r="K51" i="4"/>
  <c r="K53" i="4"/>
  <c r="K55" i="4"/>
  <c r="L15" i="4"/>
  <c r="K42" i="4"/>
  <c r="K44" i="4"/>
  <c r="K46" i="4"/>
  <c r="K48" i="4"/>
  <c r="K50" i="4"/>
  <c r="K52" i="4"/>
  <c r="K54" i="4"/>
  <c r="L49" i="2"/>
  <c r="L83" i="2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4" i="1"/>
  <c r="H203" i="1"/>
  <c r="AA203" i="1"/>
  <c r="R203" i="1"/>
  <c r="K203" i="1"/>
  <c r="H202" i="1"/>
  <c r="G202" i="1"/>
  <c r="AA202" i="1"/>
  <c r="G201" i="1"/>
  <c r="H201" i="1"/>
  <c r="AA201" i="1"/>
  <c r="K201" i="1"/>
  <c r="H200" i="1"/>
  <c r="G200" i="1"/>
  <c r="AA200" i="1"/>
  <c r="G199" i="1"/>
  <c r="H199" i="1"/>
  <c r="AA199" i="1"/>
  <c r="K199" i="1"/>
  <c r="H198" i="1"/>
  <c r="G198" i="1"/>
  <c r="AA198" i="1"/>
  <c r="G197" i="1"/>
  <c r="H197" i="1"/>
  <c r="AA197" i="1"/>
  <c r="K197" i="1"/>
  <c r="H196" i="1"/>
  <c r="G196" i="1"/>
  <c r="AA196" i="1"/>
  <c r="G195" i="1"/>
  <c r="H195" i="1"/>
  <c r="AA195" i="1"/>
  <c r="K195" i="1"/>
  <c r="H194" i="1"/>
  <c r="G194" i="1"/>
  <c r="AA194" i="1"/>
  <c r="G193" i="1"/>
  <c r="H193" i="1"/>
  <c r="AA193" i="1"/>
  <c r="K193" i="1"/>
  <c r="H192" i="1"/>
  <c r="G192" i="1"/>
  <c r="AA192" i="1"/>
  <c r="G191" i="1"/>
  <c r="H191" i="1"/>
  <c r="AA191" i="1"/>
  <c r="K191" i="1"/>
  <c r="H190" i="1"/>
  <c r="G190" i="1"/>
  <c r="AA190" i="1"/>
  <c r="G189" i="1"/>
  <c r="H189" i="1"/>
  <c r="AA189" i="1"/>
  <c r="K189" i="1"/>
  <c r="H188" i="1"/>
  <c r="G188" i="1"/>
  <c r="AA188" i="1"/>
  <c r="AD187" i="1"/>
  <c r="AA187" i="1"/>
  <c r="K187" i="1"/>
  <c r="AD186" i="1"/>
  <c r="AA186" i="1"/>
  <c r="K186" i="1"/>
  <c r="AD185" i="1"/>
  <c r="AA185" i="1"/>
  <c r="K185" i="1"/>
  <c r="AD184" i="1"/>
  <c r="AA184" i="1"/>
  <c r="R184" i="1"/>
  <c r="K184" i="1"/>
  <c r="AD183" i="1"/>
  <c r="AA183" i="1"/>
  <c r="K183" i="1"/>
  <c r="AD182" i="1"/>
  <c r="AA182" i="1"/>
  <c r="K182" i="1"/>
  <c r="AD181" i="1"/>
  <c r="AE181" i="1"/>
  <c r="AA181" i="1"/>
  <c r="W181" i="1"/>
  <c r="R181" i="1"/>
  <c r="P181" i="1"/>
  <c r="L181" i="1"/>
  <c r="AD180" i="1"/>
  <c r="AE180" i="1"/>
  <c r="AA180" i="1"/>
  <c r="W180" i="1"/>
  <c r="R180" i="1"/>
  <c r="P180" i="1"/>
  <c r="L180" i="1"/>
  <c r="AD179" i="1"/>
  <c r="AE179" i="1"/>
  <c r="AA179" i="1"/>
  <c r="R179" i="1"/>
  <c r="P179" i="1"/>
  <c r="L179" i="1"/>
  <c r="G178" i="1"/>
  <c r="AA178" i="1"/>
  <c r="R178" i="1"/>
  <c r="L178" i="1"/>
  <c r="G177" i="1"/>
  <c r="AA177" i="1"/>
  <c r="R177" i="1"/>
  <c r="L177" i="1"/>
  <c r="G176" i="1"/>
  <c r="AA176" i="1"/>
  <c r="R176" i="1"/>
  <c r="L176" i="1"/>
  <c r="G175" i="1"/>
  <c r="AA175" i="1"/>
  <c r="R175" i="1"/>
  <c r="L175" i="1"/>
  <c r="AA174" i="1"/>
  <c r="R174" i="1"/>
  <c r="L174" i="1"/>
  <c r="AA173" i="1"/>
  <c r="R173" i="1"/>
  <c r="L173" i="1"/>
  <c r="AA172" i="1"/>
  <c r="R172" i="1"/>
  <c r="L172" i="1"/>
  <c r="AA171" i="1"/>
  <c r="R171" i="1"/>
  <c r="L171" i="1"/>
  <c r="AE170" i="1"/>
  <c r="AD170" i="1"/>
  <c r="AA170" i="1"/>
  <c r="R170" i="1"/>
  <c r="L170" i="1"/>
  <c r="AE169" i="1"/>
  <c r="AD169" i="1"/>
  <c r="AA169" i="1"/>
  <c r="R169" i="1"/>
  <c r="L169" i="1"/>
  <c r="AE168" i="1"/>
  <c r="AD168" i="1"/>
  <c r="AA168" i="1"/>
  <c r="R168" i="1"/>
  <c r="L168" i="1"/>
  <c r="AE167" i="1"/>
  <c r="AD167" i="1"/>
  <c r="AA167" i="1"/>
  <c r="R167" i="1"/>
  <c r="L167" i="1"/>
  <c r="AE166" i="1"/>
  <c r="AD166" i="1"/>
  <c r="AA166" i="1"/>
  <c r="R166" i="1"/>
  <c r="L166" i="1"/>
  <c r="AE165" i="1"/>
  <c r="AD165" i="1"/>
  <c r="AA165" i="1"/>
  <c r="R165" i="1"/>
  <c r="L165" i="1"/>
  <c r="AA164" i="1"/>
  <c r="R164" i="1"/>
  <c r="L164" i="1"/>
  <c r="Z163" i="1"/>
  <c r="W163" i="1"/>
  <c r="G163" i="1"/>
  <c r="AA163" i="1"/>
  <c r="G162" i="1"/>
  <c r="AA162" i="1"/>
  <c r="Z162" i="1"/>
  <c r="W162" i="1"/>
  <c r="L162" i="1"/>
  <c r="Z161" i="1"/>
  <c r="W161" i="1"/>
  <c r="G161" i="1"/>
  <c r="L161" i="1"/>
  <c r="AA161" i="1"/>
  <c r="AE160" i="1"/>
  <c r="AD160" i="1"/>
  <c r="AA160" i="1"/>
  <c r="L160" i="1"/>
  <c r="AE159" i="1"/>
  <c r="AD159" i="1"/>
  <c r="AA159" i="1"/>
  <c r="L159" i="1"/>
  <c r="AE158" i="1"/>
  <c r="AD158" i="1"/>
  <c r="AA158" i="1"/>
  <c r="L158" i="1"/>
  <c r="AE157" i="1"/>
  <c r="AD157" i="1"/>
  <c r="AA157" i="1"/>
  <c r="L157" i="1"/>
  <c r="AE156" i="1"/>
  <c r="AD156" i="1"/>
  <c r="AA156" i="1"/>
  <c r="L156" i="1"/>
  <c r="AE155" i="1"/>
  <c r="AD155" i="1"/>
  <c r="AA155" i="1"/>
  <c r="L155" i="1"/>
  <c r="AA154" i="1"/>
  <c r="R154" i="1"/>
  <c r="L154" i="1"/>
  <c r="AA153" i="1"/>
  <c r="R153" i="1"/>
  <c r="L153" i="1"/>
  <c r="AA152" i="1"/>
  <c r="R152" i="1"/>
  <c r="L152" i="1"/>
  <c r="AA151" i="1"/>
  <c r="R151" i="1"/>
  <c r="L151" i="1"/>
  <c r="L163" i="1"/>
  <c r="K188" i="1"/>
  <c r="K190" i="1"/>
  <c r="K192" i="1"/>
  <c r="K194" i="1"/>
  <c r="K196" i="1"/>
  <c r="K198" i="1"/>
  <c r="K200" i="1"/>
  <c r="K202" i="1"/>
  <c r="AA150" i="1"/>
  <c r="L150" i="1"/>
  <c r="AA149" i="1"/>
  <c r="L149" i="1"/>
  <c r="AA148" i="1"/>
  <c r="R148" i="1"/>
  <c r="L148" i="1"/>
  <c r="AA147" i="1"/>
  <c r="R147" i="1"/>
  <c r="L147" i="1"/>
  <c r="AA146" i="1"/>
  <c r="L146" i="1"/>
  <c r="AD145" i="1"/>
  <c r="AA145" i="1"/>
  <c r="L145" i="1"/>
  <c r="AD144" i="1"/>
  <c r="AA144" i="1"/>
  <c r="L144" i="1"/>
  <c r="AD143" i="1"/>
  <c r="AA143" i="1"/>
  <c r="L143" i="1"/>
  <c r="AD142" i="1"/>
  <c r="AA142" i="1"/>
  <c r="L142" i="1"/>
  <c r="AD141" i="1"/>
  <c r="AA141" i="1"/>
  <c r="L141" i="1"/>
  <c r="AD140" i="1"/>
  <c r="AA140" i="1"/>
  <c r="L140" i="1"/>
  <c r="AD139" i="1"/>
  <c r="AA139" i="1"/>
  <c r="L139" i="1"/>
  <c r="AD138" i="1"/>
  <c r="AA138" i="1"/>
  <c r="L138" i="1"/>
  <c r="AD137" i="1"/>
  <c r="AA137" i="1"/>
  <c r="L137" i="1"/>
  <c r="AD136" i="1"/>
  <c r="AA136" i="1"/>
  <c r="L136" i="1"/>
  <c r="AA135" i="1"/>
  <c r="R135" i="1"/>
  <c r="L135" i="1"/>
  <c r="D135" i="1"/>
  <c r="AA134" i="1"/>
  <c r="R134" i="1"/>
  <c r="L134" i="1"/>
  <c r="D134" i="1"/>
  <c r="AA133" i="1"/>
  <c r="R133" i="1"/>
  <c r="L133" i="1"/>
  <c r="D133" i="1"/>
  <c r="AA132" i="1"/>
  <c r="R132" i="1"/>
  <c r="L132" i="1"/>
  <c r="D132" i="1"/>
  <c r="AA131" i="1"/>
  <c r="R131" i="1"/>
  <c r="L131" i="1"/>
  <c r="D131" i="1"/>
  <c r="AA130" i="1"/>
  <c r="R130" i="1"/>
  <c r="L130" i="1"/>
  <c r="D130" i="1"/>
  <c r="AA129" i="1"/>
  <c r="R129" i="1"/>
  <c r="L129" i="1"/>
  <c r="D129" i="1"/>
  <c r="AA128" i="1"/>
  <c r="R128" i="1"/>
  <c r="L128" i="1"/>
  <c r="D128" i="1"/>
  <c r="AA127" i="1"/>
  <c r="W127" i="1"/>
  <c r="R127" i="1"/>
  <c r="L127" i="1"/>
  <c r="AA126" i="1"/>
  <c r="R126" i="1"/>
  <c r="L126" i="1"/>
  <c r="AA125" i="1"/>
  <c r="R125" i="1"/>
  <c r="L125" i="1"/>
  <c r="AA124" i="1"/>
  <c r="L124" i="1"/>
  <c r="AA123" i="1"/>
  <c r="L123" i="1"/>
  <c r="AA122" i="1"/>
  <c r="R122" i="1"/>
  <c r="L122" i="1"/>
  <c r="R121" i="1"/>
  <c r="AA120" i="1"/>
  <c r="AA119" i="1"/>
  <c r="AA118" i="1"/>
  <c r="Z118" i="1"/>
  <c r="R118" i="1"/>
  <c r="K118" i="1"/>
  <c r="AA117" i="1"/>
  <c r="R117" i="1"/>
  <c r="AE116" i="1"/>
  <c r="AD116" i="1"/>
  <c r="AA116" i="1"/>
  <c r="AE115" i="1"/>
  <c r="AD115" i="1"/>
  <c r="AA115" i="1"/>
  <c r="AA114" i="1"/>
  <c r="R114" i="1"/>
  <c r="AA113" i="1"/>
  <c r="R113" i="1"/>
  <c r="AA112" i="1"/>
  <c r="R112" i="1"/>
  <c r="AA111" i="1"/>
  <c r="R111" i="1"/>
  <c r="AA110" i="1"/>
  <c r="R110" i="1"/>
  <c r="AA109" i="1"/>
  <c r="R109" i="1"/>
  <c r="AA108" i="1"/>
  <c r="R108" i="1"/>
  <c r="AA107" i="1"/>
  <c r="R107" i="1"/>
  <c r="AA106" i="1"/>
  <c r="R106" i="1"/>
  <c r="AE105" i="1"/>
  <c r="H105" i="1"/>
  <c r="AA105" i="1"/>
  <c r="R105" i="1"/>
  <c r="L105" i="1"/>
  <c r="AE104" i="1"/>
  <c r="H104" i="1"/>
  <c r="AA104" i="1"/>
  <c r="R104" i="1"/>
  <c r="L104" i="1"/>
  <c r="AE103" i="1"/>
  <c r="H103" i="1"/>
  <c r="AA103" i="1"/>
  <c r="R103" i="1"/>
  <c r="L103" i="1"/>
  <c r="AE102" i="1"/>
  <c r="L102" i="1"/>
  <c r="H102" i="1"/>
  <c r="AA102" i="1"/>
  <c r="AA101" i="1"/>
  <c r="L101" i="1"/>
  <c r="AA100" i="1"/>
  <c r="L100" i="1"/>
  <c r="AA99" i="1"/>
  <c r="L99" i="1"/>
  <c r="AA98" i="1"/>
  <c r="L98" i="1"/>
  <c r="AA97" i="1"/>
  <c r="L97" i="1"/>
  <c r="AA96" i="1"/>
  <c r="L96" i="1"/>
  <c r="AA95" i="1"/>
  <c r="L95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A94" i="1"/>
  <c r="L94" i="1"/>
  <c r="AA93" i="1"/>
  <c r="Z93" i="1"/>
  <c r="L93" i="1"/>
  <c r="AA92" i="1"/>
  <c r="L92" i="1"/>
  <c r="AA91" i="1"/>
  <c r="Z91" i="1"/>
  <c r="L91" i="1"/>
  <c r="AA90" i="1"/>
  <c r="Z90" i="1"/>
  <c r="L90" i="1"/>
  <c r="AA89" i="1"/>
  <c r="L89" i="1"/>
  <c r="AA88" i="1"/>
  <c r="L88" i="1"/>
  <c r="AA87" i="1"/>
  <c r="Z87" i="1"/>
  <c r="L87" i="1"/>
  <c r="H87" i="1"/>
  <c r="AA86" i="1"/>
  <c r="Z86" i="1"/>
  <c r="L86" i="1"/>
  <c r="H86" i="1"/>
  <c r="AA85" i="1"/>
  <c r="L85" i="1"/>
  <c r="H85" i="1"/>
  <c r="AE84" i="1"/>
  <c r="R84" i="1"/>
  <c r="G84" i="1"/>
  <c r="AA84" i="1"/>
  <c r="AE83" i="1"/>
  <c r="G83" i="1"/>
  <c r="AA83" i="1"/>
  <c r="L83" i="1"/>
  <c r="AA82" i="1"/>
  <c r="L82" i="1"/>
  <c r="AA81" i="1"/>
  <c r="L81" i="1"/>
  <c r="AA80" i="1"/>
  <c r="L80" i="1"/>
  <c r="AA79" i="1"/>
  <c r="L79" i="1"/>
  <c r="AA78" i="1"/>
  <c r="L78" i="1"/>
  <c r="AE77" i="1"/>
  <c r="AD77" i="1"/>
  <c r="AA77" i="1"/>
  <c r="L77" i="1"/>
  <c r="AE76" i="1"/>
  <c r="AD76" i="1"/>
  <c r="AA76" i="1"/>
  <c r="L76" i="1"/>
  <c r="AE75" i="1"/>
  <c r="AD75" i="1"/>
  <c r="AA75" i="1"/>
  <c r="L75" i="1"/>
  <c r="AE74" i="1"/>
  <c r="AD74" i="1"/>
  <c r="AA74" i="1"/>
  <c r="L74" i="1"/>
  <c r="AE73" i="1"/>
  <c r="AD73" i="1"/>
  <c r="AA73" i="1"/>
  <c r="L73" i="1"/>
  <c r="AE72" i="1"/>
  <c r="AD72" i="1"/>
  <c r="AA72" i="1"/>
  <c r="L72" i="1"/>
  <c r="AE71" i="1"/>
  <c r="AD71" i="1"/>
  <c r="AA71" i="1"/>
  <c r="L71" i="1"/>
  <c r="AE70" i="1"/>
  <c r="AD70" i="1"/>
  <c r="AA70" i="1"/>
  <c r="L70" i="1"/>
  <c r="AE69" i="1"/>
  <c r="AD69" i="1"/>
  <c r="AA69" i="1"/>
  <c r="L69" i="1"/>
  <c r="AE68" i="1"/>
  <c r="AD68" i="1"/>
  <c r="AA68" i="1"/>
  <c r="L68" i="1"/>
  <c r="AE67" i="1"/>
  <c r="AD67" i="1"/>
  <c r="AA67" i="1"/>
  <c r="L67" i="1"/>
  <c r="AE66" i="1"/>
  <c r="AD66" i="1"/>
  <c r="AA66" i="1"/>
  <c r="L66" i="1"/>
  <c r="AD65" i="1"/>
  <c r="AA65" i="1"/>
  <c r="L65" i="1"/>
  <c r="AE64" i="1"/>
  <c r="G64" i="1"/>
  <c r="AA64" i="1"/>
  <c r="R64" i="1"/>
  <c r="D64" i="1"/>
  <c r="AE63" i="1"/>
  <c r="R63" i="1"/>
  <c r="G63" i="1"/>
  <c r="AA63" i="1"/>
  <c r="D63" i="1"/>
  <c r="AE62" i="1"/>
  <c r="Z62" i="1"/>
  <c r="G62" i="1"/>
  <c r="AA62" i="1"/>
  <c r="D62" i="1"/>
  <c r="AE61" i="1"/>
  <c r="G61" i="1"/>
  <c r="AA61" i="1"/>
  <c r="D61" i="1"/>
  <c r="AE60" i="1"/>
  <c r="G60" i="1"/>
  <c r="AA60" i="1"/>
  <c r="D60" i="1"/>
  <c r="AA59" i="1"/>
  <c r="R59" i="1"/>
  <c r="AE58" i="1"/>
  <c r="AA58" i="1"/>
  <c r="K58" i="1"/>
  <c r="AE57" i="1"/>
  <c r="AA57" i="1"/>
  <c r="K57" i="1"/>
  <c r="AA56" i="1"/>
  <c r="L56" i="1"/>
  <c r="AA55" i="1"/>
  <c r="R55" i="1"/>
  <c r="L55" i="1"/>
  <c r="AA54" i="1"/>
  <c r="R54" i="1"/>
  <c r="L54" i="1"/>
  <c r="AA53" i="1"/>
  <c r="R53" i="1"/>
  <c r="L53" i="1"/>
  <c r="AA52" i="1"/>
  <c r="R52" i="1"/>
  <c r="L52" i="1"/>
  <c r="AA51" i="1"/>
  <c r="R51" i="1"/>
  <c r="L51" i="1"/>
  <c r="H50" i="1"/>
  <c r="G50" i="1"/>
  <c r="AA50" i="1"/>
  <c r="G49" i="1"/>
  <c r="AA49" i="1"/>
  <c r="H49" i="1"/>
  <c r="L49" i="1"/>
  <c r="G48" i="1"/>
  <c r="AA48" i="1"/>
  <c r="L48" i="1"/>
  <c r="H48" i="1"/>
  <c r="AA47" i="1"/>
  <c r="R47" i="1"/>
  <c r="L47" i="1"/>
  <c r="AA46" i="1"/>
  <c r="R46" i="1"/>
  <c r="L46" i="1"/>
  <c r="AA45" i="1"/>
  <c r="R45" i="1"/>
  <c r="L45" i="1"/>
  <c r="AA44" i="1"/>
  <c r="R44" i="1"/>
  <c r="L44" i="1"/>
  <c r="AA43" i="1"/>
  <c r="R43" i="1"/>
  <c r="L43" i="1"/>
  <c r="AA42" i="1"/>
  <c r="R42" i="1"/>
  <c r="L42" i="1"/>
  <c r="AA41" i="1"/>
  <c r="R41" i="1"/>
  <c r="L41" i="1"/>
  <c r="AA40" i="1"/>
  <c r="R40" i="1"/>
  <c r="L40" i="1"/>
  <c r="AA39" i="1"/>
  <c r="AA38" i="1"/>
  <c r="Z38" i="1"/>
  <c r="K38" i="1"/>
  <c r="AA37" i="1"/>
  <c r="Z37" i="1"/>
  <c r="K37" i="1"/>
  <c r="AD36" i="1"/>
  <c r="AA36" i="1"/>
  <c r="Z36" i="1"/>
  <c r="L36" i="1"/>
  <c r="AD35" i="1"/>
  <c r="AA35" i="1"/>
  <c r="Z35" i="1"/>
  <c r="L35" i="1"/>
  <c r="AD34" i="1"/>
  <c r="AA34" i="1"/>
  <c r="Z34" i="1"/>
  <c r="L34" i="1"/>
  <c r="AA33" i="1"/>
  <c r="R33" i="1"/>
  <c r="L33" i="1"/>
  <c r="AA32" i="1"/>
  <c r="R32" i="1"/>
  <c r="L32" i="1"/>
  <c r="AE31" i="1"/>
  <c r="AD31" i="1"/>
  <c r="AA31" i="1"/>
  <c r="L31" i="1"/>
  <c r="AE30" i="1"/>
  <c r="AD30" i="1"/>
  <c r="AA30" i="1"/>
  <c r="L30" i="1"/>
  <c r="AE29" i="1"/>
  <c r="AD29" i="1"/>
  <c r="AA29" i="1"/>
  <c r="W29" i="1"/>
  <c r="W30" i="1"/>
  <c r="W31" i="1"/>
  <c r="L29" i="1"/>
  <c r="AE28" i="1"/>
  <c r="AD28" i="1"/>
  <c r="AA28" i="1"/>
  <c r="L28" i="1"/>
  <c r="AE27" i="1"/>
  <c r="AD27" i="1"/>
  <c r="AA27" i="1"/>
  <c r="W27" i="1"/>
  <c r="W28" i="1"/>
  <c r="L27" i="1"/>
  <c r="AE26" i="1"/>
  <c r="AD26" i="1"/>
  <c r="AA26" i="1"/>
  <c r="L26" i="1"/>
  <c r="AE25" i="1"/>
  <c r="AD25" i="1"/>
  <c r="AA25" i="1"/>
  <c r="Z25" i="1"/>
  <c r="L25" i="1"/>
  <c r="AE24" i="1"/>
  <c r="AD24" i="1"/>
  <c r="AA24" i="1"/>
  <c r="Y24" i="1"/>
  <c r="Y25" i="1"/>
  <c r="Y26" i="1"/>
  <c r="Y27" i="1"/>
  <c r="Y28" i="1"/>
  <c r="Y29" i="1"/>
  <c r="Y30" i="1"/>
  <c r="Y31" i="1"/>
  <c r="W24" i="1"/>
  <c r="W25" i="1"/>
  <c r="L24" i="1"/>
  <c r="AE23" i="1"/>
  <c r="AD23" i="1"/>
  <c r="AA23" i="1"/>
  <c r="L23" i="1"/>
  <c r="AE22" i="1"/>
  <c r="AA22" i="1"/>
  <c r="L22" i="1"/>
  <c r="AE21" i="1"/>
  <c r="AA21" i="1"/>
  <c r="L21" i="1"/>
  <c r="AE20" i="1"/>
  <c r="AA20" i="1"/>
  <c r="L2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E19" i="1"/>
  <c r="AA19" i="1"/>
  <c r="L19" i="1"/>
  <c r="AE18" i="1"/>
  <c r="AA18" i="1"/>
  <c r="L18" i="1"/>
  <c r="AE17" i="1"/>
  <c r="AA17" i="1"/>
  <c r="L17" i="1"/>
  <c r="AA16" i="1"/>
  <c r="W16" i="1"/>
  <c r="R16" i="1"/>
  <c r="L16" i="1"/>
  <c r="AA15" i="1"/>
  <c r="W15" i="1"/>
  <c r="R15" i="1"/>
  <c r="L15" i="1"/>
  <c r="AA14" i="1"/>
  <c r="W14" i="1"/>
  <c r="R14" i="1"/>
  <c r="L14" i="1"/>
  <c r="AA13" i="1"/>
  <c r="W13" i="1"/>
  <c r="R13" i="1"/>
  <c r="L13" i="1"/>
  <c r="AA12" i="1"/>
  <c r="L12" i="1"/>
  <c r="AA11" i="1"/>
  <c r="L11" i="1"/>
  <c r="R10" i="1"/>
  <c r="L10" i="1"/>
  <c r="R9" i="1"/>
  <c r="L9" i="1"/>
  <c r="AA8" i="1"/>
  <c r="R8" i="1"/>
  <c r="L8" i="1"/>
  <c r="AA7" i="1"/>
  <c r="R7" i="1"/>
  <c r="L7" i="1"/>
  <c r="AA6" i="1"/>
  <c r="L6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A5" i="1"/>
  <c r="L5" i="1"/>
  <c r="AA4" i="1"/>
  <c r="L4" i="1"/>
  <c r="F1" i="1"/>
  <c r="G1" i="1"/>
  <c r="K1" i="1"/>
  <c r="L1" i="1"/>
  <c r="M1" i="1"/>
  <c r="N1" i="1"/>
  <c r="O1" i="1"/>
  <c r="P1" i="1"/>
  <c r="Q1" i="1"/>
  <c r="R1" i="1"/>
  <c r="S1" i="1"/>
  <c r="T1" i="1"/>
  <c r="V1" i="1"/>
  <c r="W1" i="1"/>
  <c r="X1" i="1"/>
  <c r="Y1" i="1"/>
  <c r="Z1" i="1"/>
  <c r="AA1" i="1"/>
  <c r="AB1" i="1"/>
  <c r="AC1" i="1"/>
  <c r="AD1" i="1"/>
  <c r="AE1" i="1"/>
  <c r="L50" i="1"/>
  <c r="L84" i="1"/>
</calcChain>
</file>

<file path=xl/comments1.xml><?xml version="1.0" encoding="utf-8"?>
<comments xmlns="http://schemas.openxmlformats.org/spreadsheetml/2006/main">
  <authors>
    <author>作者</author>
  </authors>
  <commentList>
    <comment ref="W60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  <comment ref="M122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146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W60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B78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This reference listed the crack angle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M32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Guess from the section information</t>
        </r>
      </text>
    </comment>
    <comment ref="W75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W76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W77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Deduced from another paper by the same author</t>
        </r>
      </text>
    </comment>
    <comment ref="I78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figures</t>
        </r>
      </text>
    </comment>
    <comment ref="I88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figures</t>
        </r>
      </text>
    </comment>
    <comment ref="AD104" authorId="0">
      <text>
        <r>
          <rPr>
            <b/>
            <sz val="9"/>
            <color indexed="81"/>
            <rFont val="宋体"/>
            <charset val="1"/>
          </rPr>
          <t>作者:</t>
        </r>
        <r>
          <rPr>
            <sz val="9"/>
            <color indexed="81"/>
            <rFont val="宋体"/>
            <charset val="1"/>
          </rPr>
          <t xml:space="preserve">
要不要除2？</t>
        </r>
      </text>
    </comment>
    <comment ref="E107" authorId="0">
      <text>
        <r>
          <rPr>
            <b/>
            <sz val="10"/>
            <color indexed="81"/>
            <rFont val="宋体"/>
            <family val="2"/>
          </rPr>
          <t>作者:</t>
        </r>
        <r>
          <rPr>
            <sz val="10"/>
            <color indexed="81"/>
            <rFont val="宋体"/>
            <family val="2"/>
          </rPr>
          <t xml:space="preserve">
from another paper by Chaallel</t>
        </r>
      </text>
    </comment>
  </commentList>
</comments>
</file>

<file path=xl/sharedStrings.xml><?xml version="1.0" encoding="utf-8"?>
<sst xmlns="http://schemas.openxmlformats.org/spreadsheetml/2006/main" count="3429" uniqueCount="452">
  <si>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</si>
  <si>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</si>
  <si>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</si>
  <si>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</si>
  <si>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</si>
  <si>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</si>
  <si>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</si>
  <si>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</si>
  <si>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</si>
  <si>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</si>
  <si>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t>h</t>
  </si>
  <si>
    <t>d</t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</si>
  <si>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</si>
  <si>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</si>
  <si>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</si>
  <si>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</si>
  <si>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</si>
  <si>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</si>
  <si>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</si>
  <si>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</si>
  <si>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</si>
  <si>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</si>
  <si>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</si>
  <si>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</si>
  <si>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</si>
  <si>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t>Form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</si>
  <si>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</si>
  <si>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</si>
  <si>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</si>
  <si>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</si>
  <si>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</si>
  <si>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</si>
  <si>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b</t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</si>
  <si>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</si>
  <si>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</si>
  <si>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</si>
  <si>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</si>
  <si>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</si>
  <si>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</si>
  <si>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</si>
  <si>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Side</t>
  </si>
  <si>
    <t>Uji 1992</t>
  </si>
  <si>
    <t>SO</t>
  </si>
  <si>
    <t>Strip</t>
  </si>
  <si>
    <t>Al-Sulaimani et al. 1994</t>
  </si>
  <si>
    <t>SP</t>
  </si>
  <si>
    <t>WO</t>
  </si>
  <si>
    <t>WP</t>
  </si>
  <si>
    <t>S2</t>
  </si>
  <si>
    <t xml:space="preserve">Sato et al. 1996 </t>
  </si>
  <si>
    <t>S4</t>
  </si>
  <si>
    <t>SB1310</t>
  </si>
  <si>
    <t>R</t>
  </si>
  <si>
    <t>Kage et al. 1997</t>
  </si>
  <si>
    <t>SB1210</t>
  </si>
  <si>
    <t>SB1214</t>
  </si>
  <si>
    <t>SB1218</t>
  </si>
  <si>
    <t>A1</t>
  </si>
  <si>
    <t>B1</t>
  </si>
  <si>
    <t>Mitsui et al. 1998</t>
  </si>
  <si>
    <t>C1</t>
  </si>
  <si>
    <t>D1</t>
  </si>
  <si>
    <t>E1</t>
  </si>
  <si>
    <t>F1</t>
  </si>
  <si>
    <t>S1a</t>
  </si>
  <si>
    <t>S1b</t>
  </si>
  <si>
    <t>S1(45)</t>
  </si>
  <si>
    <t>Triantafillou 1998</t>
  </si>
  <si>
    <t>S2a</t>
  </si>
  <si>
    <t>S2b</t>
  </si>
  <si>
    <t>S2(45)</t>
  </si>
  <si>
    <t>S3a</t>
  </si>
  <si>
    <t>S3b</t>
  </si>
  <si>
    <t>S3(45)</t>
  </si>
  <si>
    <t>RS90</t>
  </si>
  <si>
    <t>Chaallal et al. 1998</t>
  </si>
  <si>
    <t>RS135</t>
  </si>
  <si>
    <t>C1, 1-layer</t>
  </si>
  <si>
    <t>Kachlakev and Barnes 1999</t>
  </si>
  <si>
    <t>C1, 2-layer</t>
  </si>
  <si>
    <t>C1, 3-layer</t>
  </si>
  <si>
    <t>SR1</t>
  </si>
  <si>
    <t>Taljsten and Elfgren 2000</t>
  </si>
  <si>
    <t>SR2</t>
  </si>
  <si>
    <t>Khalifa and Nanni 2000</t>
  </si>
  <si>
    <t>BT5</t>
  </si>
  <si>
    <t>T</t>
  </si>
  <si>
    <t>TR30C2</t>
  </si>
  <si>
    <t>TR30C3</t>
  </si>
  <si>
    <t>TR30C4</t>
  </si>
  <si>
    <t>TR30D10</t>
  </si>
  <si>
    <t>Pellegrino and Modena 2002</t>
  </si>
  <si>
    <t>TR30D2</t>
  </si>
  <si>
    <t>TR30D20</t>
  </si>
  <si>
    <t>TR30D4</t>
  </si>
  <si>
    <t>TR30D40</t>
  </si>
  <si>
    <t>Z4-90</t>
  </si>
  <si>
    <t>Zhang and Hsu 2005</t>
  </si>
  <si>
    <t>Z4-45</t>
  </si>
  <si>
    <t>Z6-90</t>
  </si>
  <si>
    <t>RS2Sa</t>
  </si>
  <si>
    <t>Grande and Rasulo 2009</t>
  </si>
  <si>
    <t>RS3Sa</t>
  </si>
  <si>
    <t>RS3Sb</t>
  </si>
  <si>
    <t>RS4Sb</t>
  </si>
  <si>
    <t>V3</t>
  </si>
  <si>
    <t>GFRP</t>
  </si>
  <si>
    <t>Sundarraja and Rajamohan 2008</t>
  </si>
  <si>
    <t>V4</t>
  </si>
  <si>
    <t>CP2-1DS</t>
  </si>
  <si>
    <t>Kim et al. 2008</t>
  </si>
  <si>
    <t>CP3-1VS</t>
  </si>
  <si>
    <t>Monti and Loitta 2007</t>
  </si>
  <si>
    <t>SF90</t>
  </si>
  <si>
    <t>290a</t>
  </si>
  <si>
    <t>290b</t>
  </si>
  <si>
    <t>Corolin and Taljsten 2005</t>
  </si>
  <si>
    <t>V9_A</t>
  </si>
  <si>
    <t>V9_B</t>
  </si>
  <si>
    <t>V21_A</t>
  </si>
  <si>
    <t>V12_B</t>
  </si>
  <si>
    <t>Beber and  Campos Filho 2005</t>
  </si>
  <si>
    <t>V14_B</t>
  </si>
  <si>
    <t>V13_A</t>
  </si>
  <si>
    <t>V13_B</t>
  </si>
  <si>
    <t>V14_A</t>
  </si>
  <si>
    <t>V15_A</t>
  </si>
  <si>
    <t>V20_B</t>
  </si>
  <si>
    <t>V22_B</t>
  </si>
  <si>
    <t>V21_B</t>
  </si>
  <si>
    <t>V22_A</t>
  </si>
  <si>
    <t>RC1</t>
  </si>
  <si>
    <t>Taljsten 2003</t>
  </si>
  <si>
    <t>C2</t>
  </si>
  <si>
    <t>C3</t>
  </si>
  <si>
    <t>C5</t>
  </si>
  <si>
    <t xml:space="preserve">Park et al. 2001 </t>
  </si>
  <si>
    <t>Dash 2009</t>
  </si>
  <si>
    <t>Berset 1992</t>
  </si>
  <si>
    <t>Kamiiharako et al. 1999</t>
  </si>
  <si>
    <t>AFRP</t>
  </si>
  <si>
    <t>Taljsten 1997</t>
  </si>
  <si>
    <t>S3</t>
  </si>
  <si>
    <t>BT2</t>
  </si>
  <si>
    <t>U</t>
  </si>
  <si>
    <t>Khallifa and Nanni 2000</t>
  </si>
  <si>
    <t>BT3</t>
  </si>
  <si>
    <t>BT4</t>
  </si>
  <si>
    <t>SO3-2</t>
  </si>
  <si>
    <t>Khallifa and Nanni 2002</t>
  </si>
  <si>
    <t>SO4-2</t>
  </si>
  <si>
    <t>SO3-3</t>
  </si>
  <si>
    <t>SO3-4</t>
  </si>
  <si>
    <t>SO4-3</t>
  </si>
  <si>
    <t>PU1</t>
  </si>
  <si>
    <t>`</t>
  </si>
  <si>
    <t>Diagana et al. 2003</t>
  </si>
  <si>
    <t>PU2</t>
  </si>
  <si>
    <t>PU3</t>
  </si>
  <si>
    <t>PU4</t>
  </si>
  <si>
    <t>US60</t>
  </si>
  <si>
    <t>Monti and Liotta 2007</t>
  </si>
  <si>
    <t>UF90</t>
  </si>
  <si>
    <t>Matthys 2000</t>
  </si>
  <si>
    <t>BS5</t>
  </si>
  <si>
    <t>A-U1-C-17</t>
  </si>
  <si>
    <t>Pellegrino and Modena 2006</t>
  </si>
  <si>
    <t>A-U2-C-17</t>
  </si>
  <si>
    <t>A-U1-C-20</t>
  </si>
  <si>
    <t>A-U2-C-20</t>
  </si>
  <si>
    <t>A-U1-S-17</t>
  </si>
  <si>
    <t>A-U1-S-20</t>
  </si>
  <si>
    <t>Sato et al. 1996</t>
  </si>
  <si>
    <t>S5</t>
  </si>
  <si>
    <t>Sato et al. 1997</t>
  </si>
  <si>
    <t>No.2</t>
  </si>
  <si>
    <t>Malek and Saadatmanesh 1998</t>
  </si>
  <si>
    <t>IIGu</t>
  </si>
  <si>
    <t>CO2</t>
  </si>
  <si>
    <t>Khallifa et al. 1999</t>
  </si>
  <si>
    <t>CO3</t>
  </si>
  <si>
    <t>Hatchinson and Rizkalla 1999</t>
  </si>
  <si>
    <t>S-Diag-CL</t>
  </si>
  <si>
    <t>I</t>
  </si>
  <si>
    <t>Rizzo and Lorenzis 2009</t>
  </si>
  <si>
    <t>UW 90</t>
  </si>
  <si>
    <t>A10_M</t>
  </si>
  <si>
    <t>Barros and Dias 2006</t>
  </si>
  <si>
    <t>A12_M</t>
  </si>
  <si>
    <t>2S-M</t>
  </si>
  <si>
    <t>Dias and Barros  2010</t>
  </si>
  <si>
    <t>2S-M(1)</t>
  </si>
  <si>
    <t>2S-M(2)</t>
  </si>
  <si>
    <t>SB1-3</t>
  </si>
  <si>
    <t>SB1-4</t>
  </si>
  <si>
    <t>Feng  et al. 2004</t>
  </si>
  <si>
    <t>SB1-5</t>
  </si>
  <si>
    <t>SB1-6</t>
  </si>
  <si>
    <t>SB1-9</t>
  </si>
  <si>
    <t>SB1-10</t>
  </si>
  <si>
    <t>SB2-3</t>
  </si>
  <si>
    <t>SB3-2</t>
  </si>
  <si>
    <t>V10_A</t>
  </si>
  <si>
    <t>V10_B</t>
  </si>
  <si>
    <t>V17_A</t>
  </si>
  <si>
    <t>V11_A</t>
  </si>
  <si>
    <t>V11_B</t>
  </si>
  <si>
    <t>V17_B</t>
  </si>
  <si>
    <t>V19_A</t>
  </si>
  <si>
    <t>V19_B</t>
  </si>
  <si>
    <t>V15_B</t>
  </si>
  <si>
    <t>V16_B</t>
  </si>
  <si>
    <t>T6NS-C45</t>
  </si>
  <si>
    <t>Deniaud and Cheng 2001</t>
  </si>
  <si>
    <t>T6S4-C90</t>
  </si>
  <si>
    <t>T6S4-G45</t>
  </si>
  <si>
    <t>C-1</t>
  </si>
  <si>
    <t>Adhikary et al. 2004</t>
  </si>
  <si>
    <t>A-1</t>
  </si>
  <si>
    <t>PC1</t>
  </si>
  <si>
    <t>W</t>
  </si>
  <si>
    <t>PC2</t>
  </si>
  <si>
    <t>PC3</t>
  </si>
  <si>
    <t>PC4</t>
  </si>
  <si>
    <t>C-2</t>
  </si>
  <si>
    <t>Sheet</t>
  </si>
  <si>
    <t>C-3</t>
  </si>
  <si>
    <t>C-4</t>
  </si>
  <si>
    <t>A-2</t>
  </si>
  <si>
    <t>A-3</t>
  </si>
  <si>
    <t>A-4</t>
  </si>
  <si>
    <t>245W</t>
  </si>
  <si>
    <t>290W</t>
  </si>
  <si>
    <t>290WR</t>
  </si>
  <si>
    <t>W45+</t>
  </si>
  <si>
    <t>SB-F1</t>
  </si>
  <si>
    <t>SB-F2</t>
  </si>
  <si>
    <t>Leung et al. 2007</t>
  </si>
  <si>
    <t>MB-F1</t>
  </si>
  <si>
    <t>MB-F2</t>
  </si>
  <si>
    <t>LB-F1</t>
  </si>
  <si>
    <t>LB-F2</t>
  </si>
  <si>
    <t>ST1b</t>
  </si>
  <si>
    <t>Ianniruberto et al. 2004</t>
  </si>
  <si>
    <t>ST2b</t>
  </si>
  <si>
    <t>ST3a</t>
  </si>
  <si>
    <t>ST3b</t>
  </si>
  <si>
    <t>V4L</t>
  </si>
  <si>
    <t>Alzate et al. 2009</t>
  </si>
  <si>
    <t>V4C</t>
  </si>
  <si>
    <t>V6L</t>
  </si>
  <si>
    <t>V6C</t>
  </si>
  <si>
    <t>Melo et al. 2006</t>
  </si>
  <si>
    <t>(FRPRCS-6)</t>
  </si>
  <si>
    <t>AN-1/5Z-3</t>
  </si>
  <si>
    <t>AN-1/2Z-3</t>
  </si>
  <si>
    <t>Miyauchi et al. 1997</t>
  </si>
  <si>
    <t>AS150-1/5Z-2.7S</t>
  </si>
  <si>
    <t>AN-1/5Z-2.4</t>
  </si>
  <si>
    <t>AN-1/5Z-1.8</t>
  </si>
  <si>
    <t>CN-1/2Z-2</t>
  </si>
  <si>
    <t>AS1</t>
  </si>
  <si>
    <t>AS2</t>
  </si>
  <si>
    <t>AS3</t>
  </si>
  <si>
    <t>CS1</t>
  </si>
  <si>
    <t>CS2</t>
  </si>
  <si>
    <t>CS3</t>
  </si>
  <si>
    <t>AB1</t>
  </si>
  <si>
    <t>Umezu et al. 1997</t>
  </si>
  <si>
    <t>AB2</t>
  </si>
  <si>
    <t>AB3</t>
  </si>
  <si>
    <t>AB4</t>
  </si>
  <si>
    <t>AB5</t>
  </si>
  <si>
    <t>AB8</t>
  </si>
  <si>
    <t>AB9</t>
  </si>
  <si>
    <t>AB10</t>
  </si>
  <si>
    <t>AB11</t>
  </si>
  <si>
    <t>Taerwe et al. 1997</t>
  </si>
  <si>
    <t>BS7</t>
  </si>
  <si>
    <t>ef</t>
  </si>
  <si>
    <t>Panda et al. 2013</t>
  </si>
  <si>
    <t>S0-1L-SZ-S-90</t>
  </si>
  <si>
    <t>S300-1L-SZ-S-90</t>
  </si>
  <si>
    <t>S200-1L-SZ-S-90</t>
  </si>
  <si>
    <t>S0-1L-SZ-U-90</t>
  </si>
  <si>
    <t>S200-1L-SZ-U-90</t>
  </si>
  <si>
    <t>S300-1L-SZ-U-90</t>
  </si>
  <si>
    <t>Mostofinejad et al. 2013</t>
  </si>
  <si>
    <t>IIVSUA55</t>
  </si>
  <si>
    <t>IIIVSUA55</t>
  </si>
  <si>
    <t>IVVSUA60</t>
  </si>
  <si>
    <t>IVVWUA60</t>
  </si>
  <si>
    <t>IVVWUA80</t>
  </si>
  <si>
    <t>IVVSUA80</t>
  </si>
  <si>
    <t>IVVWLA80</t>
  </si>
  <si>
    <t>IVVSLA80</t>
  </si>
  <si>
    <t>Koutas and Triantafillou 2013</t>
  </si>
  <si>
    <t>U2C</t>
  </si>
  <si>
    <t>Godat and Chaallal 2013</t>
  </si>
  <si>
    <t>LSB-140-1L</t>
  </si>
  <si>
    <t>LSB-140-2L</t>
  </si>
  <si>
    <t>LSB-203-1L</t>
  </si>
  <si>
    <t>LSB-203-2L</t>
  </si>
  <si>
    <t>LSB-203-3L</t>
  </si>
  <si>
    <t>LSB-406-1L</t>
  </si>
  <si>
    <t>LSB-406-2L</t>
  </si>
  <si>
    <t>LSB-610-1L</t>
  </si>
  <si>
    <t>LSB-610-2L</t>
  </si>
  <si>
    <t>LSB-610-3L</t>
  </si>
  <si>
    <t>Ebead and Saeed 2013</t>
    <phoneticPr fontId="16" type="noConversion"/>
  </si>
  <si>
    <t>G1-B-4W-V</t>
    <phoneticPr fontId="16" type="noConversion"/>
  </si>
  <si>
    <t>Rec.</t>
    <phoneticPr fontId="16" type="noConversion"/>
  </si>
  <si>
    <t>NA</t>
    <phoneticPr fontId="16" type="noConversion"/>
  </si>
  <si>
    <t>CFRP</t>
    <phoneticPr fontId="16" type="noConversion"/>
  </si>
  <si>
    <t>C/GFRP</t>
    <phoneticPr fontId="16" type="noConversion"/>
  </si>
  <si>
    <t>Strip</t>
    <phoneticPr fontId="16" type="noConversion"/>
  </si>
  <si>
    <t>Side</t>
    <phoneticPr fontId="16" type="noConversion"/>
  </si>
  <si>
    <t>G2-B-8N-V</t>
    <phoneticPr fontId="16" type="noConversion"/>
  </si>
  <si>
    <t>G2-B-6N-V</t>
    <phoneticPr fontId="16" type="noConversion"/>
  </si>
  <si>
    <t>G3-B-6N-I</t>
    <phoneticPr fontId="16" type="noConversion"/>
  </si>
  <si>
    <t>G3-B-8N-I</t>
    <phoneticPr fontId="16" type="noConversion"/>
  </si>
  <si>
    <t>G4-B-6N-V-S</t>
    <phoneticPr fontId="16" type="noConversion"/>
  </si>
  <si>
    <t>D</t>
    <phoneticPr fontId="16" type="noConversion"/>
  </si>
  <si>
    <t>RC-8-S90-NA</t>
    <phoneticPr fontId="16" type="noConversion"/>
  </si>
  <si>
    <t>RC-12-S90-NA</t>
    <phoneticPr fontId="16" type="noConversion"/>
  </si>
  <si>
    <t>RC-12-S45-NA</t>
    <phoneticPr fontId="16" type="noConversion"/>
  </si>
  <si>
    <t>T</t>
    <phoneticPr fontId="16" type="noConversion"/>
  </si>
  <si>
    <t>D</t>
    <phoneticPr fontId="16" type="noConversion"/>
  </si>
  <si>
    <t>Strip</t>
    <phoneticPr fontId="16" type="noConversion"/>
  </si>
  <si>
    <t>U</t>
    <phoneticPr fontId="16" type="noConversion"/>
  </si>
  <si>
    <t>Bae and Belarbi 2013</t>
    <phoneticPr fontId="16" type="noConversion"/>
  </si>
  <si>
    <t>U90C5-a-long</t>
    <phoneticPr fontId="16" type="noConversion"/>
  </si>
  <si>
    <t>U90C5-a-short</t>
    <phoneticPr fontId="16" type="noConversion"/>
  </si>
  <si>
    <t>Rec.</t>
    <phoneticPr fontId="16" type="noConversion"/>
  </si>
  <si>
    <t>D</t>
    <phoneticPr fontId="16" type="noConversion"/>
  </si>
  <si>
    <t xml:space="preserve">Sheet </t>
    <phoneticPr fontId="16" type="noConversion"/>
  </si>
  <si>
    <t>U</t>
    <phoneticPr fontId="16" type="noConversion"/>
  </si>
  <si>
    <t>U90C5-b-long</t>
    <phoneticPr fontId="16" type="noConversion"/>
  </si>
  <si>
    <t>U90C5-b-short</t>
    <phoneticPr fontId="16" type="noConversion"/>
  </si>
  <si>
    <t>U90S5-a-long</t>
    <phoneticPr fontId="16" type="noConversion"/>
  </si>
  <si>
    <t>U90S5-a-short</t>
    <phoneticPr fontId="16" type="noConversion"/>
  </si>
  <si>
    <t>U90S5-b-long</t>
    <phoneticPr fontId="16" type="noConversion"/>
  </si>
  <si>
    <t>U90S5-b-short</t>
    <phoneticPr fontId="16" type="noConversion"/>
  </si>
  <si>
    <t>U45S5-short</t>
    <phoneticPr fontId="16" type="noConversion"/>
  </si>
  <si>
    <t>U45S5-long</t>
    <phoneticPr fontId="16" type="noConversion"/>
  </si>
  <si>
    <t>U90C3-a-long</t>
    <phoneticPr fontId="16" type="noConversion"/>
  </si>
  <si>
    <t>U90C3-a-short</t>
    <phoneticPr fontId="16" type="noConversion"/>
  </si>
  <si>
    <t>U90C3-b-long</t>
    <phoneticPr fontId="16" type="noConversion"/>
  </si>
  <si>
    <t>U90C3-b-short</t>
    <phoneticPr fontId="16" type="noConversion"/>
  </si>
  <si>
    <t>U90S3-a-long</t>
    <phoneticPr fontId="16" type="noConversion"/>
  </si>
  <si>
    <t>U90S3-a-short</t>
    <phoneticPr fontId="16" type="noConversion"/>
  </si>
  <si>
    <t>U90S3-b-long</t>
    <phoneticPr fontId="16" type="noConversion"/>
  </si>
  <si>
    <t>U90S3-b-short</t>
    <phoneticPr fontId="16" type="noConversion"/>
  </si>
  <si>
    <t>U90S3-c-long</t>
    <phoneticPr fontId="16" type="noConversion"/>
  </si>
  <si>
    <t>U90S3-c-short</t>
    <phoneticPr fontId="16" type="noConversion"/>
  </si>
  <si>
    <t>U45S3-a-long</t>
    <phoneticPr fontId="16" type="noConversion"/>
  </si>
  <si>
    <t>U45S3-a-short</t>
    <phoneticPr fontId="16" type="noConversion"/>
  </si>
  <si>
    <t>U45S3-b-long</t>
    <phoneticPr fontId="16" type="noConversion"/>
  </si>
  <si>
    <t>U45S3-b-short</t>
    <phoneticPr fontId="16" type="noConversion"/>
  </si>
  <si>
    <t>Alzate et al. 2013</t>
    <phoneticPr fontId="16" type="noConversion"/>
  </si>
  <si>
    <t>W90S3-a-long</t>
    <phoneticPr fontId="16" type="noConversion"/>
  </si>
  <si>
    <t>W90S3-a-short</t>
    <phoneticPr fontId="16" type="noConversion"/>
  </si>
  <si>
    <t>W90S3-b-long</t>
    <phoneticPr fontId="16" type="noConversion"/>
  </si>
  <si>
    <t>W90S3-b-short</t>
    <phoneticPr fontId="16" type="noConversion"/>
  </si>
  <si>
    <t>BSV-1</t>
    <phoneticPr fontId="16" type="noConversion"/>
  </si>
  <si>
    <t>BSV-2</t>
    <phoneticPr fontId="16" type="noConversion"/>
  </si>
  <si>
    <t>BSI-1</t>
    <phoneticPr fontId="16" type="noConversion"/>
  </si>
  <si>
    <t>BSI-2</t>
    <phoneticPr fontId="16" type="noConversion"/>
  </si>
  <si>
    <t>Rec.</t>
    <phoneticPr fontId="16" type="noConversion"/>
  </si>
  <si>
    <t>R</t>
    <phoneticPr fontId="16" type="noConversion"/>
  </si>
  <si>
    <t>CFRP</t>
    <phoneticPr fontId="16" type="noConversion"/>
  </si>
  <si>
    <t>Strip</t>
    <phoneticPr fontId="16" type="noConversion"/>
  </si>
  <si>
    <t>Side</t>
    <phoneticPr fontId="16" type="noConversion"/>
  </si>
  <si>
    <t>Alsayed and Siddiqui et al. 2013</t>
    <phoneticPr fontId="16" type="noConversion"/>
  </si>
  <si>
    <t>Ahmad et al. 2013</t>
  </si>
  <si>
    <t>D2</t>
  </si>
  <si>
    <t>D3</t>
  </si>
  <si>
    <t>D4</t>
  </si>
  <si>
    <t>EB</t>
  </si>
  <si>
    <t>Morsy et al. 2012</t>
  </si>
  <si>
    <t>S3-EB-NA</t>
  </si>
  <si>
    <t>Mofidi et al. 2012</t>
  </si>
  <si>
    <t>G1</t>
  </si>
  <si>
    <t>G2</t>
  </si>
  <si>
    <t>G3</t>
  </si>
  <si>
    <t>G4</t>
  </si>
  <si>
    <t>GS1</t>
  </si>
  <si>
    <t>GS1a</t>
  </si>
  <si>
    <t>GS3</t>
  </si>
  <si>
    <t>GS5</t>
  </si>
  <si>
    <t>Lee et al. 2012</t>
  </si>
  <si>
    <t>RIT12</t>
  </si>
  <si>
    <t>RIT18</t>
  </si>
  <si>
    <t>RT18</t>
  </si>
  <si>
    <t>IT</t>
  </si>
  <si>
    <t>Higgins et al. 2012</t>
  </si>
  <si>
    <t>TSCV</t>
  </si>
  <si>
    <t>TSCI</t>
  </si>
  <si>
    <t>Etman 2012</t>
  </si>
  <si>
    <t>Panda et al. 2011</t>
  </si>
  <si>
    <t>S0-1L-CT-S-90</t>
  </si>
  <si>
    <t>S0-2L-CT-S-90</t>
  </si>
  <si>
    <t>S0-3L-CT-S-90</t>
  </si>
  <si>
    <t>S300-1L-CT-S-90</t>
  </si>
  <si>
    <t>S300-2L-CT-S-90</t>
  </si>
  <si>
    <t>S300-3L-CT-S-90</t>
  </si>
  <si>
    <t>S200-1L-CT-S-90</t>
  </si>
  <si>
    <t>S200-2L-CT-S-90</t>
  </si>
  <si>
    <t>S200-3L-CT-S-90</t>
  </si>
  <si>
    <t>S0-0.12R</t>
  </si>
  <si>
    <t>S0-0.17R1</t>
  </si>
  <si>
    <t>S0-0.17R2</t>
  </si>
  <si>
    <t>S0-0.20R1</t>
  </si>
  <si>
    <t>S0-0.20R2</t>
  </si>
  <si>
    <t>S0-0.23R</t>
  </si>
  <si>
    <t>S0-0.33R</t>
  </si>
  <si>
    <t>S0-0.66R</t>
  </si>
  <si>
    <t>S1-0.17R1</t>
  </si>
  <si>
    <t>S1-0.17R2</t>
  </si>
  <si>
    <t>S1-0.23R</t>
  </si>
  <si>
    <t>S1-0.33R</t>
  </si>
  <si>
    <t>Strip</t>
    <phoneticPr fontId="16" type="noConversion"/>
  </si>
  <si>
    <t>T</t>
    <phoneticPr fontId="16" type="noConversion"/>
  </si>
  <si>
    <t>NA</t>
    <phoneticPr fontId="16" type="noConversion"/>
  </si>
  <si>
    <t xml:space="preserve">Sheet </t>
    <phoneticPr fontId="16" type="noConversion"/>
  </si>
  <si>
    <t>R</t>
    <phoneticPr fontId="16" type="noConversion"/>
  </si>
  <si>
    <t>D</t>
    <phoneticPr fontId="16" type="noConversion"/>
  </si>
  <si>
    <t>D</t>
    <phoneticPr fontId="16" type="noConversion"/>
  </si>
  <si>
    <t>D</t>
    <phoneticPr fontId="16" type="noConversion"/>
  </si>
  <si>
    <t>Mofidi and Chaallal 2011</t>
    <phoneticPr fontId="16" type="noConversion"/>
  </si>
  <si>
    <t>B2S</t>
    <phoneticPr fontId="16" type="noConversion"/>
  </si>
  <si>
    <t>Rec.</t>
    <phoneticPr fontId="16" type="noConversion"/>
  </si>
  <si>
    <t>CFRP</t>
    <phoneticPr fontId="16" type="noConversion"/>
  </si>
  <si>
    <t>U</t>
    <phoneticPr fontId="16" type="noConversion"/>
  </si>
  <si>
    <t>El-Ghandour 2011</t>
    <phoneticPr fontId="16" type="noConversion"/>
  </si>
  <si>
    <t>Lim 2010</t>
    <phoneticPr fontId="16" type="noConversion"/>
  </si>
  <si>
    <t>Side</t>
    <phoneticPr fontId="16" type="noConversion"/>
  </si>
  <si>
    <t>SCF-12.5-NO</t>
    <phoneticPr fontId="16" type="noConversion"/>
  </si>
  <si>
    <t>SCF-15-NO</t>
    <phoneticPr fontId="16" type="noConversion"/>
  </si>
  <si>
    <t>SCF-25-NO</t>
    <phoneticPr fontId="16" type="noConversion"/>
  </si>
  <si>
    <t>SCF-25-A</t>
    <phoneticPr fontId="16" type="noConversion"/>
  </si>
  <si>
    <t>SCF-25-B</t>
    <phoneticPr fontId="16" type="noConversion"/>
  </si>
  <si>
    <t>C3</t>
    <phoneticPr fontId="16" type="noConversion"/>
  </si>
  <si>
    <t>C4</t>
    <phoneticPr fontId="16" type="noConversion"/>
  </si>
  <si>
    <t>C6</t>
    <phoneticPr fontId="16" type="noConversion"/>
  </si>
  <si>
    <t>D6</t>
    <phoneticPr fontId="16" type="noConversion"/>
  </si>
  <si>
    <t>Rec.</t>
    <phoneticPr fontId="16" type="noConversion"/>
  </si>
  <si>
    <t>NA</t>
    <phoneticPr fontId="16" type="noConversion"/>
  </si>
  <si>
    <t>CFRP</t>
    <phoneticPr fontId="16" type="noConversion"/>
  </si>
  <si>
    <t xml:space="preserve">Sheet </t>
    <phoneticPr fontId="16" type="noConversion"/>
  </si>
  <si>
    <t>Side</t>
    <phoneticPr fontId="16" type="noConversion"/>
  </si>
  <si>
    <t>Bukhari et al. 2010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</si>
</sst>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1"/>
      <name val="宋体"/>
      <family val="2"/>
    </font>
    <font>
      <b/>
      <sz val="10"/>
      <color indexed="81"/>
      <name val="宋体"/>
      <family val="2"/>
    </font>
    <font>
      <sz val="9"/>
      <color indexed="81"/>
      <name val="宋体"/>
      <charset val="1"/>
    </font>
    <font>
      <b/>
      <sz val="9"/>
      <color indexed="81"/>
      <name val="宋体"/>
      <charset val="1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61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/>
    <xf numFmtId="0" fontId="0" fillId="12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12" borderId="0" xfId="0" applyFill="1"/>
    <xf numFmtId="0" fontId="0" fillId="13" borderId="0" xfId="0" applyFill="1" applyAlignment="1">
      <alignment horizontal="center"/>
    </xf>
    <xf numFmtId="2" fontId="0" fillId="1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0" fillId="14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2" fontId="0" fillId="15" borderId="0" xfId="0" applyNumberFormat="1" applyFill="1" applyAlignment="1">
      <alignment horizontal="center"/>
    </xf>
    <xf numFmtId="2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0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0" fontId="0" fillId="0" borderId="0" xfId="0" applyFill="1" applyBorder="1"/>
    <xf numFmtId="11" fontId="0" fillId="0" borderId="0" xfId="0" applyNumberFormat="1"/>
    <xf numFmtId="11" fontId="0" fillId="0" borderId="1" xfId="0" applyNumberFormat="1" applyBorder="1"/>
    <xf numFmtId="0" fontId="0" fillId="0" borderId="1" xfId="0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</cellXfs>
  <cellStyles count="161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5"/>
  <sheetViews>
    <sheetView workbookViewId="0">
      <pane ySplit="3" topLeftCell="A180" activePane="bottomLeft" state="frozen"/>
      <selection pane="bottomLeft" activeCell="D201" sqref="D201"/>
    </sheetView>
  </sheetViews>
  <sheetFormatPr defaultColWidth="8.85546875" defaultRowHeight="15" x14ac:dyDescent="0.25"/>
  <cols>
    <col min="2" max="2" width="17.42578125" customWidth="1"/>
  </cols>
  <sheetData>
    <row r="1" spans="1:32" x14ac:dyDescent="0.25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 x14ac:dyDescent="0.25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 x14ac:dyDescent="0.3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 x14ac:dyDescent="0.25">
      <c r="A4" s="16">
        <v>1</v>
      </c>
      <c r="B4" s="17"/>
      <c r="C4" s="2">
        <v>5</v>
      </c>
      <c r="D4" s="18">
        <v>24.1</v>
      </c>
      <c r="E4" s="18">
        <v>100</v>
      </c>
      <c r="F4" s="18">
        <v>200</v>
      </c>
      <c r="G4" s="18">
        <v>160</v>
      </c>
      <c r="H4" s="18">
        <v>200</v>
      </c>
      <c r="I4" s="18">
        <v>0</v>
      </c>
      <c r="J4" s="18" t="s">
        <v>36</v>
      </c>
      <c r="K4" s="18">
        <v>425</v>
      </c>
      <c r="L4" s="19">
        <f>K4/G4</f>
        <v>2.65625</v>
      </c>
      <c r="M4" s="17" t="s">
        <v>37</v>
      </c>
      <c r="N4" s="17"/>
      <c r="O4" s="17">
        <v>70</v>
      </c>
      <c r="P4" s="17">
        <v>200000</v>
      </c>
      <c r="Q4" s="17">
        <v>333.2</v>
      </c>
      <c r="R4" s="18"/>
      <c r="S4" s="18" t="s">
        <v>38</v>
      </c>
      <c r="T4" s="18" t="s">
        <v>39</v>
      </c>
      <c r="U4" s="18" t="s">
        <v>40</v>
      </c>
      <c r="V4" s="18">
        <v>230000</v>
      </c>
      <c r="W4" s="18">
        <v>9.7000000000000003E-2</v>
      </c>
      <c r="X4" s="18">
        <v>2454</v>
      </c>
      <c r="Y4" s="18">
        <v>100</v>
      </c>
      <c r="Z4" s="18">
        <v>100</v>
      </c>
      <c r="AA4" s="20">
        <f>0.9*G4</f>
        <v>144</v>
      </c>
      <c r="AB4" s="18">
        <v>90</v>
      </c>
      <c r="AC4" s="21">
        <v>45</v>
      </c>
      <c r="AD4" s="22">
        <v>44.59</v>
      </c>
      <c r="AE4" s="22">
        <v>20.100000000000001</v>
      </c>
      <c r="AF4">
        <f>X4/V4</f>
        <v>1.0669565217391304E-2</v>
      </c>
    </row>
    <row r="5" spans="1:32" x14ac:dyDescent="0.25">
      <c r="A5" s="16">
        <f t="shared" ref="A5:A68" si="1">A4+1</f>
        <v>2</v>
      </c>
      <c r="B5" s="17" t="s">
        <v>41</v>
      </c>
      <c r="C5" s="2">
        <v>6</v>
      </c>
      <c r="D5" s="18">
        <v>26.9</v>
      </c>
      <c r="E5" s="18">
        <v>100</v>
      </c>
      <c r="F5" s="18">
        <v>200</v>
      </c>
      <c r="G5" s="18">
        <v>160</v>
      </c>
      <c r="H5" s="18">
        <v>200</v>
      </c>
      <c r="I5" s="18">
        <v>0</v>
      </c>
      <c r="J5" s="18" t="s">
        <v>36</v>
      </c>
      <c r="K5" s="18">
        <v>425</v>
      </c>
      <c r="L5" s="19">
        <f>K5/G5</f>
        <v>2.65625</v>
      </c>
      <c r="M5" s="17" t="s">
        <v>37</v>
      </c>
      <c r="N5" s="17"/>
      <c r="O5" s="17">
        <v>70</v>
      </c>
      <c r="P5" s="17">
        <v>200000</v>
      </c>
      <c r="Q5" s="17">
        <v>333.2</v>
      </c>
      <c r="R5" s="18"/>
      <c r="S5" s="18" t="s">
        <v>38</v>
      </c>
      <c r="T5" s="18" t="s">
        <v>39</v>
      </c>
      <c r="U5" s="18" t="s">
        <v>40</v>
      </c>
      <c r="V5" s="18">
        <v>230000</v>
      </c>
      <c r="W5" s="18">
        <v>9.7000000000000003E-2</v>
      </c>
      <c r="X5" s="18">
        <v>2454</v>
      </c>
      <c r="Y5" s="18">
        <v>100</v>
      </c>
      <c r="Z5" s="18">
        <v>141.42135619999999</v>
      </c>
      <c r="AA5" s="20">
        <f>0.9*G5</f>
        <v>144</v>
      </c>
      <c r="AB5" s="18">
        <v>45</v>
      </c>
      <c r="AC5" s="18">
        <f>AC4</f>
        <v>45</v>
      </c>
      <c r="AD5" s="22">
        <v>56.84</v>
      </c>
      <c r="AE5" s="22">
        <v>31.4</v>
      </c>
      <c r="AF5">
        <f t="shared" ref="AF5:AF68" si="2">X5/V5</f>
        <v>1.0669565217391304E-2</v>
      </c>
    </row>
    <row r="6" spans="1:32" x14ac:dyDescent="0.25">
      <c r="A6" s="16">
        <f t="shared" si="1"/>
        <v>3</v>
      </c>
      <c r="B6" s="17"/>
      <c r="C6" s="2">
        <v>7</v>
      </c>
      <c r="D6" s="18">
        <v>26.9</v>
      </c>
      <c r="E6" s="18">
        <v>100</v>
      </c>
      <c r="F6" s="18">
        <v>200</v>
      </c>
      <c r="G6" s="18">
        <v>160</v>
      </c>
      <c r="H6" s="18">
        <v>200</v>
      </c>
      <c r="I6" s="18">
        <v>0</v>
      </c>
      <c r="J6" s="18" t="s">
        <v>36</v>
      </c>
      <c r="K6" s="18">
        <v>425</v>
      </c>
      <c r="L6" s="19">
        <f>K6/G6</f>
        <v>2.65625</v>
      </c>
      <c r="M6" s="17" t="s">
        <v>37</v>
      </c>
      <c r="N6" s="17"/>
      <c r="O6" s="17">
        <v>70</v>
      </c>
      <c r="P6" s="17">
        <v>200000</v>
      </c>
      <c r="Q6" s="17">
        <v>333.2</v>
      </c>
      <c r="R6" s="18"/>
      <c r="S6" s="18" t="s">
        <v>38</v>
      </c>
      <c r="T6" s="18" t="s">
        <v>39</v>
      </c>
      <c r="U6" s="18" t="s">
        <v>40</v>
      </c>
      <c r="V6" s="18">
        <v>230000</v>
      </c>
      <c r="W6" s="18">
        <v>0.19400000000000001</v>
      </c>
      <c r="X6" s="18">
        <v>2454</v>
      </c>
      <c r="Y6" s="18">
        <v>100</v>
      </c>
      <c r="Z6" s="18">
        <v>100</v>
      </c>
      <c r="AA6" s="20">
        <f>0.9*G6</f>
        <v>144</v>
      </c>
      <c r="AB6" s="18">
        <v>90</v>
      </c>
      <c r="AC6" s="18">
        <f t="shared" ref="AC6:AC69" si="3">AC5</f>
        <v>45</v>
      </c>
      <c r="AD6" s="22">
        <v>44.59</v>
      </c>
      <c r="AE6" s="22">
        <v>19.2</v>
      </c>
      <c r="AF6">
        <f t="shared" si="2"/>
        <v>1.0669565217391304E-2</v>
      </c>
    </row>
    <row r="7" spans="1:32" x14ac:dyDescent="0.25">
      <c r="A7" s="2">
        <f t="shared" si="1"/>
        <v>4</v>
      </c>
      <c r="B7" s="23"/>
      <c r="C7" s="2" t="s">
        <v>42</v>
      </c>
      <c r="D7" s="18">
        <v>37.700000000000003</v>
      </c>
      <c r="E7" s="18">
        <v>150</v>
      </c>
      <c r="F7" s="18">
        <v>150</v>
      </c>
      <c r="G7" s="18">
        <v>113</v>
      </c>
      <c r="H7" s="18">
        <v>150</v>
      </c>
      <c r="I7" s="18">
        <v>0</v>
      </c>
      <c r="J7" s="18" t="s">
        <v>36</v>
      </c>
      <c r="K7" s="18">
        <v>400</v>
      </c>
      <c r="L7" s="19">
        <f t="shared" ref="L7:L36" si="4">K7/G7</f>
        <v>3.5398230088495577</v>
      </c>
      <c r="M7" s="23" t="s">
        <v>18</v>
      </c>
      <c r="N7" s="18">
        <v>6</v>
      </c>
      <c r="O7" s="18">
        <v>200</v>
      </c>
      <c r="P7" s="18">
        <v>200000</v>
      </c>
      <c r="Q7" s="18">
        <v>450</v>
      </c>
      <c r="R7" s="18">
        <f t="shared" ref="R7:R47" si="5">100*2*3.1416*N7^2/4/O7/E7</f>
        <v>0.18849599999999997</v>
      </c>
      <c r="S7" s="16" t="s">
        <v>38</v>
      </c>
      <c r="T7" s="18" t="s">
        <v>43</v>
      </c>
      <c r="U7" s="18" t="s">
        <v>40</v>
      </c>
      <c r="V7" s="18">
        <v>16000</v>
      </c>
      <c r="W7" s="18">
        <v>3</v>
      </c>
      <c r="X7" s="18">
        <v>200</v>
      </c>
      <c r="Y7" s="18">
        <v>20</v>
      </c>
      <c r="Z7" s="18">
        <v>50</v>
      </c>
      <c r="AA7" s="20">
        <f>0.9*G7</f>
        <v>101.7</v>
      </c>
      <c r="AB7" s="18">
        <v>90</v>
      </c>
      <c r="AC7" s="18">
        <f t="shared" si="3"/>
        <v>45</v>
      </c>
      <c r="AD7" s="22">
        <v>41.5</v>
      </c>
      <c r="AE7" s="22">
        <v>8.15</v>
      </c>
      <c r="AF7">
        <f t="shared" si="2"/>
        <v>1.2500000000000001E-2</v>
      </c>
    </row>
    <row r="8" spans="1:32" x14ac:dyDescent="0.25">
      <c r="A8" s="2">
        <f t="shared" si="1"/>
        <v>5</v>
      </c>
      <c r="B8" s="23" t="s">
        <v>44</v>
      </c>
      <c r="C8" s="2" t="s">
        <v>45</v>
      </c>
      <c r="D8" s="18">
        <v>37.700000000000003</v>
      </c>
      <c r="E8" s="18">
        <v>150</v>
      </c>
      <c r="F8" s="18">
        <v>150</v>
      </c>
      <c r="G8" s="18">
        <v>113</v>
      </c>
      <c r="H8" s="18">
        <v>150</v>
      </c>
      <c r="I8" s="18">
        <v>0</v>
      </c>
      <c r="J8" s="18" t="s">
        <v>36</v>
      </c>
      <c r="K8" s="18">
        <v>400</v>
      </c>
      <c r="L8" s="19">
        <f t="shared" si="4"/>
        <v>3.5398230088495577</v>
      </c>
      <c r="M8" s="23" t="s">
        <v>18</v>
      </c>
      <c r="N8" s="18">
        <v>6</v>
      </c>
      <c r="O8" s="18">
        <v>200</v>
      </c>
      <c r="P8" s="18">
        <v>200000</v>
      </c>
      <c r="Q8" s="18">
        <v>450</v>
      </c>
      <c r="R8" s="18">
        <f t="shared" si="5"/>
        <v>0.18849599999999997</v>
      </c>
      <c r="S8" s="16" t="s">
        <v>38</v>
      </c>
      <c r="T8" s="18" t="s">
        <v>43</v>
      </c>
      <c r="U8" s="18" t="s">
        <v>40</v>
      </c>
      <c r="V8" s="18">
        <v>16000</v>
      </c>
      <c r="W8" s="18">
        <v>3</v>
      </c>
      <c r="X8" s="18">
        <v>200</v>
      </c>
      <c r="Y8" s="18">
        <v>20</v>
      </c>
      <c r="Z8" s="18">
        <v>50</v>
      </c>
      <c r="AA8" s="20">
        <f>0.9*G8</f>
        <v>101.7</v>
      </c>
      <c r="AB8" s="18">
        <v>90</v>
      </c>
      <c r="AC8" s="18">
        <f t="shared" si="3"/>
        <v>45</v>
      </c>
      <c r="AD8" s="22">
        <v>41.2</v>
      </c>
      <c r="AE8" s="22">
        <v>7.85</v>
      </c>
      <c r="AF8">
        <f t="shared" si="2"/>
        <v>1.2500000000000001E-2</v>
      </c>
    </row>
    <row r="9" spans="1:32" x14ac:dyDescent="0.25">
      <c r="A9" s="2">
        <f t="shared" si="1"/>
        <v>6</v>
      </c>
      <c r="B9" s="23"/>
      <c r="C9" s="2" t="s">
        <v>46</v>
      </c>
      <c r="D9" s="18">
        <v>37.700000000000003</v>
      </c>
      <c r="E9" s="18">
        <v>150</v>
      </c>
      <c r="F9" s="18">
        <v>150</v>
      </c>
      <c r="G9" s="18">
        <v>113</v>
      </c>
      <c r="H9" s="18">
        <v>135</v>
      </c>
      <c r="I9" s="18">
        <v>15</v>
      </c>
      <c r="J9" s="18" t="s">
        <v>36</v>
      </c>
      <c r="K9" s="18">
        <v>400</v>
      </c>
      <c r="L9" s="19">
        <f t="shared" si="4"/>
        <v>3.5398230088495577</v>
      </c>
      <c r="M9" s="23" t="s">
        <v>18</v>
      </c>
      <c r="N9" s="18">
        <v>6</v>
      </c>
      <c r="O9" s="18">
        <v>200</v>
      </c>
      <c r="P9" s="18">
        <v>200000</v>
      </c>
      <c r="Q9" s="18">
        <v>450</v>
      </c>
      <c r="R9" s="18">
        <f t="shared" si="5"/>
        <v>0.18849599999999997</v>
      </c>
      <c r="S9" s="16" t="s">
        <v>38</v>
      </c>
      <c r="T9" s="18" t="s">
        <v>39</v>
      </c>
      <c r="U9" s="18" t="s">
        <v>40</v>
      </c>
      <c r="V9" s="18">
        <v>16000</v>
      </c>
      <c r="W9" s="18">
        <v>3</v>
      </c>
      <c r="X9" s="18">
        <v>200</v>
      </c>
      <c r="Y9" s="18">
        <v>20</v>
      </c>
      <c r="Z9" s="18">
        <v>20</v>
      </c>
      <c r="AA9" s="20">
        <v>71.7</v>
      </c>
      <c r="AB9" s="18">
        <v>90</v>
      </c>
      <c r="AC9" s="18">
        <f t="shared" si="3"/>
        <v>45</v>
      </c>
      <c r="AD9" s="22">
        <v>42</v>
      </c>
      <c r="AE9" s="22">
        <v>8.65</v>
      </c>
      <c r="AF9">
        <f t="shared" si="2"/>
        <v>1.2500000000000001E-2</v>
      </c>
    </row>
    <row r="10" spans="1:32" x14ac:dyDescent="0.25">
      <c r="A10" s="2">
        <f t="shared" si="1"/>
        <v>7</v>
      </c>
      <c r="B10" s="23"/>
      <c r="C10" s="2" t="s">
        <v>47</v>
      </c>
      <c r="D10" s="18">
        <v>37.700000000000003</v>
      </c>
      <c r="E10" s="18">
        <v>150</v>
      </c>
      <c r="F10" s="18">
        <v>150</v>
      </c>
      <c r="G10" s="18">
        <v>113</v>
      </c>
      <c r="H10" s="18">
        <v>135</v>
      </c>
      <c r="I10" s="18">
        <v>15</v>
      </c>
      <c r="J10" s="18" t="s">
        <v>36</v>
      </c>
      <c r="K10" s="18">
        <v>400</v>
      </c>
      <c r="L10" s="19">
        <f t="shared" si="4"/>
        <v>3.5398230088495577</v>
      </c>
      <c r="M10" s="23" t="s">
        <v>18</v>
      </c>
      <c r="N10" s="18">
        <v>6</v>
      </c>
      <c r="O10" s="18">
        <v>200</v>
      </c>
      <c r="P10" s="18">
        <v>200000</v>
      </c>
      <c r="Q10" s="18">
        <v>450</v>
      </c>
      <c r="R10" s="18">
        <f t="shared" si="5"/>
        <v>0.18849599999999997</v>
      </c>
      <c r="S10" s="16" t="s">
        <v>38</v>
      </c>
      <c r="T10" s="18" t="s">
        <v>39</v>
      </c>
      <c r="U10" s="18" t="s">
        <v>40</v>
      </c>
      <c r="V10" s="18">
        <v>16000</v>
      </c>
      <c r="W10" s="18">
        <v>3</v>
      </c>
      <c r="X10" s="18">
        <v>200</v>
      </c>
      <c r="Y10" s="18">
        <v>20</v>
      </c>
      <c r="Z10" s="18">
        <v>20</v>
      </c>
      <c r="AA10" s="20">
        <v>71.7</v>
      </c>
      <c r="AB10" s="18">
        <v>90</v>
      </c>
      <c r="AC10" s="18">
        <f t="shared" si="3"/>
        <v>45</v>
      </c>
      <c r="AD10" s="22">
        <v>45.2</v>
      </c>
      <c r="AE10" s="22">
        <v>11.85</v>
      </c>
      <c r="AF10">
        <f t="shared" si="2"/>
        <v>1.2500000000000001E-2</v>
      </c>
    </row>
    <row r="11" spans="1:32" x14ac:dyDescent="0.25">
      <c r="A11" s="16">
        <f t="shared" si="1"/>
        <v>8</v>
      </c>
      <c r="B11" s="17"/>
      <c r="C11" s="2" t="s">
        <v>48</v>
      </c>
      <c r="D11" s="18">
        <v>45.2</v>
      </c>
      <c r="E11" s="18">
        <v>200</v>
      </c>
      <c r="F11" s="18">
        <v>300</v>
      </c>
      <c r="G11" s="18">
        <v>260</v>
      </c>
      <c r="H11" s="18">
        <v>300</v>
      </c>
      <c r="I11" s="18">
        <v>0</v>
      </c>
      <c r="J11" s="18" t="s">
        <v>36</v>
      </c>
      <c r="K11" s="18">
        <v>700</v>
      </c>
      <c r="L11" s="19">
        <f t="shared" si="4"/>
        <v>2.6923076923076925</v>
      </c>
      <c r="M11" s="17" t="s">
        <v>37</v>
      </c>
      <c r="N11" s="17"/>
      <c r="O11" s="17">
        <v>120</v>
      </c>
      <c r="P11" s="17">
        <v>197000</v>
      </c>
      <c r="Q11" s="17">
        <v>390</v>
      </c>
      <c r="R11" s="18"/>
      <c r="S11" s="18" t="s">
        <v>38</v>
      </c>
      <c r="T11" s="18" t="s">
        <v>43</v>
      </c>
      <c r="U11" s="18" t="s">
        <v>40</v>
      </c>
      <c r="V11" s="18">
        <v>230000</v>
      </c>
      <c r="W11" s="18">
        <v>0.11</v>
      </c>
      <c r="X11" s="18">
        <v>3480</v>
      </c>
      <c r="Y11" s="18">
        <v>30</v>
      </c>
      <c r="Z11" s="18">
        <v>60</v>
      </c>
      <c r="AA11" s="20">
        <f t="shared" ref="AA11:AA38" si="6">0.9*G11</f>
        <v>234</v>
      </c>
      <c r="AB11" s="18">
        <v>90</v>
      </c>
      <c r="AC11" s="18">
        <f t="shared" si="3"/>
        <v>45</v>
      </c>
      <c r="AD11" s="22">
        <v>80.25</v>
      </c>
      <c r="AE11" s="22">
        <v>34.200000000000003</v>
      </c>
      <c r="AF11">
        <f t="shared" si="2"/>
        <v>1.5130434782608696E-2</v>
      </c>
    </row>
    <row r="12" spans="1:32" x14ac:dyDescent="0.25">
      <c r="A12" s="16">
        <f t="shared" si="1"/>
        <v>9</v>
      </c>
      <c r="B12" s="17" t="s">
        <v>49</v>
      </c>
      <c r="C12" s="2" t="s">
        <v>50</v>
      </c>
      <c r="D12" s="18">
        <v>37.5</v>
      </c>
      <c r="E12" s="18">
        <v>200</v>
      </c>
      <c r="F12" s="18">
        <v>300</v>
      </c>
      <c r="G12" s="18">
        <v>260</v>
      </c>
      <c r="H12" s="18">
        <v>300</v>
      </c>
      <c r="I12" s="18">
        <v>0</v>
      </c>
      <c r="J12" s="18" t="s">
        <v>36</v>
      </c>
      <c r="K12" s="18">
        <v>700</v>
      </c>
      <c r="L12" s="19">
        <f t="shared" si="4"/>
        <v>2.6923076923076925</v>
      </c>
      <c r="M12" s="17" t="s">
        <v>37</v>
      </c>
      <c r="N12" s="17"/>
      <c r="O12" s="17">
        <v>120</v>
      </c>
      <c r="P12" s="17">
        <v>197000</v>
      </c>
      <c r="Q12" s="17">
        <v>390</v>
      </c>
      <c r="R12" s="18"/>
      <c r="S12" s="18" t="s">
        <v>38</v>
      </c>
      <c r="T12" s="18" t="s">
        <v>39</v>
      </c>
      <c r="U12" s="18" t="s">
        <v>40</v>
      </c>
      <c r="V12" s="18">
        <v>230000</v>
      </c>
      <c r="W12" s="18">
        <v>0.11</v>
      </c>
      <c r="X12" s="18">
        <v>3480</v>
      </c>
      <c r="Y12" s="18">
        <v>30</v>
      </c>
      <c r="Z12" s="18">
        <v>30</v>
      </c>
      <c r="AA12" s="20">
        <f t="shared" si="6"/>
        <v>234</v>
      </c>
      <c r="AB12" s="18">
        <v>90</v>
      </c>
      <c r="AC12" s="18">
        <f t="shared" si="3"/>
        <v>45</v>
      </c>
      <c r="AD12" s="22">
        <v>78.150000000000006</v>
      </c>
      <c r="AE12" s="22">
        <v>32.1</v>
      </c>
      <c r="AF12">
        <f t="shared" si="2"/>
        <v>1.5130434782608696E-2</v>
      </c>
    </row>
    <row r="13" spans="1:32" x14ac:dyDescent="0.25">
      <c r="A13" s="2">
        <f t="shared" si="1"/>
        <v>10</v>
      </c>
      <c r="B13" s="23"/>
      <c r="C13" s="2" t="s">
        <v>51</v>
      </c>
      <c r="D13" s="18">
        <v>39.200000000000003</v>
      </c>
      <c r="E13" s="18">
        <v>200</v>
      </c>
      <c r="F13" s="18">
        <v>200</v>
      </c>
      <c r="G13" s="18">
        <v>160</v>
      </c>
      <c r="H13" s="18">
        <v>200</v>
      </c>
      <c r="I13" s="18">
        <v>0</v>
      </c>
      <c r="J13" s="18" t="s">
        <v>36</v>
      </c>
      <c r="K13" s="18">
        <v>650</v>
      </c>
      <c r="L13" s="19">
        <f t="shared" si="4"/>
        <v>4.0625</v>
      </c>
      <c r="M13" s="23" t="s">
        <v>52</v>
      </c>
      <c r="N13" s="18">
        <v>3</v>
      </c>
      <c r="O13" s="18">
        <v>100</v>
      </c>
      <c r="P13" s="18">
        <v>178360</v>
      </c>
      <c r="Q13" s="18">
        <v>132.30000000000001</v>
      </c>
      <c r="R13" s="18">
        <f t="shared" si="5"/>
        <v>7.0685999999999985E-2</v>
      </c>
      <c r="S13" s="18" t="s">
        <v>38</v>
      </c>
      <c r="T13" s="18" t="s">
        <v>39</v>
      </c>
      <c r="U13" s="18" t="s">
        <v>40</v>
      </c>
      <c r="V13" s="18">
        <v>284200</v>
      </c>
      <c r="W13" s="24">
        <f>0.097*1</f>
        <v>9.7000000000000003E-2</v>
      </c>
      <c r="X13" s="18">
        <v>3430</v>
      </c>
      <c r="Y13" s="18">
        <v>100</v>
      </c>
      <c r="Z13" s="18">
        <v>100</v>
      </c>
      <c r="AA13" s="20">
        <f t="shared" si="6"/>
        <v>144</v>
      </c>
      <c r="AB13" s="18">
        <v>90</v>
      </c>
      <c r="AC13" s="18">
        <f t="shared" si="3"/>
        <v>45</v>
      </c>
      <c r="AD13" s="22">
        <v>84.67</v>
      </c>
      <c r="AE13" s="22">
        <v>31.1</v>
      </c>
      <c r="AF13">
        <f t="shared" si="2"/>
        <v>1.2068965517241379E-2</v>
      </c>
    </row>
    <row r="14" spans="1:32" x14ac:dyDescent="0.25">
      <c r="A14" s="2">
        <f t="shared" si="1"/>
        <v>11</v>
      </c>
      <c r="B14" s="23" t="s">
        <v>53</v>
      </c>
      <c r="C14" s="2" t="s">
        <v>54</v>
      </c>
      <c r="D14" s="18">
        <v>39.200000000000003</v>
      </c>
      <c r="E14" s="18">
        <v>200</v>
      </c>
      <c r="F14" s="18">
        <v>200</v>
      </c>
      <c r="G14" s="18">
        <v>160</v>
      </c>
      <c r="H14" s="18">
        <v>200</v>
      </c>
      <c r="I14" s="18">
        <v>0</v>
      </c>
      <c r="J14" s="18" t="s">
        <v>36</v>
      </c>
      <c r="K14" s="18">
        <v>650</v>
      </c>
      <c r="L14" s="19">
        <f t="shared" si="4"/>
        <v>4.0625</v>
      </c>
      <c r="M14" s="23" t="s">
        <v>52</v>
      </c>
      <c r="N14" s="18">
        <v>3</v>
      </c>
      <c r="O14" s="18">
        <v>100</v>
      </c>
      <c r="P14" s="18">
        <v>178360</v>
      </c>
      <c r="Q14" s="18">
        <v>132.30000000000001</v>
      </c>
      <c r="R14" s="18">
        <f t="shared" si="5"/>
        <v>7.0685999999999985E-2</v>
      </c>
      <c r="S14" s="18" t="s">
        <v>38</v>
      </c>
      <c r="T14" s="18" t="s">
        <v>39</v>
      </c>
      <c r="U14" s="18" t="s">
        <v>40</v>
      </c>
      <c r="V14" s="18">
        <v>284200</v>
      </c>
      <c r="W14" s="24">
        <f>0.097*1</f>
        <v>9.7000000000000003E-2</v>
      </c>
      <c r="X14" s="18">
        <v>3430</v>
      </c>
      <c r="Y14" s="18">
        <v>100</v>
      </c>
      <c r="Z14" s="18">
        <v>100</v>
      </c>
      <c r="AA14" s="20">
        <f t="shared" si="6"/>
        <v>144</v>
      </c>
      <c r="AB14" s="18">
        <v>90</v>
      </c>
      <c r="AC14" s="18">
        <f t="shared" si="3"/>
        <v>45</v>
      </c>
      <c r="AD14" s="22">
        <v>78.95</v>
      </c>
      <c r="AE14" s="22">
        <v>22.1</v>
      </c>
      <c r="AF14">
        <f t="shared" si="2"/>
        <v>1.2068965517241379E-2</v>
      </c>
    </row>
    <row r="15" spans="1:32" x14ac:dyDescent="0.25">
      <c r="A15" s="2">
        <f t="shared" si="1"/>
        <v>12</v>
      </c>
      <c r="B15" s="23"/>
      <c r="C15" s="2" t="s">
        <v>55</v>
      </c>
      <c r="D15" s="18">
        <v>39.200000000000003</v>
      </c>
      <c r="E15" s="18">
        <v>200</v>
      </c>
      <c r="F15" s="18">
        <v>200</v>
      </c>
      <c r="G15" s="18">
        <v>160</v>
      </c>
      <c r="H15" s="18">
        <v>200</v>
      </c>
      <c r="I15" s="18">
        <v>0</v>
      </c>
      <c r="J15" s="18" t="s">
        <v>36</v>
      </c>
      <c r="K15" s="18">
        <v>650</v>
      </c>
      <c r="L15" s="19">
        <f t="shared" si="4"/>
        <v>4.0625</v>
      </c>
      <c r="M15" s="23" t="s">
        <v>52</v>
      </c>
      <c r="N15" s="18">
        <v>3</v>
      </c>
      <c r="O15" s="18">
        <v>100</v>
      </c>
      <c r="P15" s="18">
        <v>178360</v>
      </c>
      <c r="Q15" s="18">
        <v>132.30000000000001</v>
      </c>
      <c r="R15" s="18">
        <f t="shared" si="5"/>
        <v>7.0685999999999985E-2</v>
      </c>
      <c r="S15" s="18" t="s">
        <v>38</v>
      </c>
      <c r="T15" s="18" t="s">
        <v>39</v>
      </c>
      <c r="U15" s="18" t="s">
        <v>40</v>
      </c>
      <c r="V15" s="18">
        <v>284200</v>
      </c>
      <c r="W15" s="24">
        <f>0.097*1</f>
        <v>9.7000000000000003E-2</v>
      </c>
      <c r="X15" s="18">
        <v>3430</v>
      </c>
      <c r="Y15" s="18">
        <v>100</v>
      </c>
      <c r="Z15" s="18">
        <v>100</v>
      </c>
      <c r="AA15" s="20">
        <f t="shared" si="6"/>
        <v>144</v>
      </c>
      <c r="AB15" s="18">
        <v>90</v>
      </c>
      <c r="AC15" s="18">
        <f t="shared" si="3"/>
        <v>45</v>
      </c>
      <c r="AD15" s="22">
        <v>78.2</v>
      </c>
      <c r="AE15" s="22">
        <v>24.7</v>
      </c>
      <c r="AF15">
        <f t="shared" si="2"/>
        <v>1.2068965517241379E-2</v>
      </c>
    </row>
    <row r="16" spans="1:32" x14ac:dyDescent="0.25">
      <c r="A16" s="2">
        <f t="shared" si="1"/>
        <v>13</v>
      </c>
      <c r="B16" s="23"/>
      <c r="C16" s="2" t="s">
        <v>56</v>
      </c>
      <c r="D16" s="18">
        <v>39.200000000000003</v>
      </c>
      <c r="E16" s="18">
        <v>200</v>
      </c>
      <c r="F16" s="18">
        <v>200</v>
      </c>
      <c r="G16" s="18">
        <v>160</v>
      </c>
      <c r="H16" s="18">
        <v>200</v>
      </c>
      <c r="I16" s="18">
        <v>0</v>
      </c>
      <c r="J16" s="18" t="s">
        <v>36</v>
      </c>
      <c r="K16" s="18">
        <v>650</v>
      </c>
      <c r="L16" s="19">
        <f t="shared" si="4"/>
        <v>4.0625</v>
      </c>
      <c r="M16" s="23" t="s">
        <v>52</v>
      </c>
      <c r="N16" s="18">
        <v>3</v>
      </c>
      <c r="O16" s="18">
        <v>100</v>
      </c>
      <c r="P16" s="18">
        <v>178360</v>
      </c>
      <c r="Q16" s="18">
        <v>132.30000000000001</v>
      </c>
      <c r="R16" s="18">
        <f t="shared" si="5"/>
        <v>7.0685999999999985E-2</v>
      </c>
      <c r="S16" s="18" t="s">
        <v>38</v>
      </c>
      <c r="T16" s="18" t="s">
        <v>39</v>
      </c>
      <c r="U16" s="18" t="s">
        <v>40</v>
      </c>
      <c r="V16" s="18">
        <v>284200</v>
      </c>
      <c r="W16" s="24">
        <f>0.097*1</f>
        <v>9.7000000000000003E-2</v>
      </c>
      <c r="X16" s="18">
        <v>3430</v>
      </c>
      <c r="Y16" s="18">
        <v>100</v>
      </c>
      <c r="Z16" s="18">
        <v>100</v>
      </c>
      <c r="AA16" s="20">
        <f t="shared" si="6"/>
        <v>144</v>
      </c>
      <c r="AB16" s="18">
        <v>90</v>
      </c>
      <c r="AC16" s="18">
        <f t="shared" si="3"/>
        <v>45</v>
      </c>
      <c r="AD16" s="22">
        <v>79.183999999999997</v>
      </c>
      <c r="AE16" s="22">
        <v>25.6</v>
      </c>
      <c r="AF16">
        <f t="shared" si="2"/>
        <v>1.2068965517241379E-2</v>
      </c>
    </row>
    <row r="17" spans="1:32" x14ac:dyDescent="0.25">
      <c r="A17" s="2">
        <f t="shared" si="1"/>
        <v>14</v>
      </c>
      <c r="B17" s="17"/>
      <c r="C17" s="2" t="s">
        <v>57</v>
      </c>
      <c r="D17" s="18">
        <v>28.5</v>
      </c>
      <c r="E17" s="18">
        <v>150</v>
      </c>
      <c r="F17" s="18">
        <v>250</v>
      </c>
      <c r="G17" s="18">
        <v>220</v>
      </c>
      <c r="H17" s="18">
        <v>250</v>
      </c>
      <c r="I17" s="18">
        <v>0</v>
      </c>
      <c r="J17" s="18" t="s">
        <v>36</v>
      </c>
      <c r="K17" s="18">
        <v>250</v>
      </c>
      <c r="L17" s="19">
        <f t="shared" si="4"/>
        <v>1.1363636363636365</v>
      </c>
      <c r="M17" s="20" t="s">
        <v>37</v>
      </c>
      <c r="N17" s="18"/>
      <c r="O17" s="18"/>
      <c r="P17" s="18"/>
      <c r="Q17" s="18"/>
      <c r="R17" s="18"/>
      <c r="S17" s="18" t="s">
        <v>38</v>
      </c>
      <c r="T17" s="18" t="s">
        <v>39</v>
      </c>
      <c r="U17" s="18" t="s">
        <v>40</v>
      </c>
      <c r="V17" s="18">
        <v>230000</v>
      </c>
      <c r="W17" s="18">
        <v>0.16700000000000001</v>
      </c>
      <c r="X17" s="18">
        <v>3430</v>
      </c>
      <c r="Y17" s="18">
        <v>50</v>
      </c>
      <c r="Z17" s="18">
        <v>50</v>
      </c>
      <c r="AA17" s="20">
        <f t="shared" si="6"/>
        <v>198</v>
      </c>
      <c r="AB17" s="18">
        <v>90</v>
      </c>
      <c r="AC17" s="18">
        <f t="shared" si="3"/>
        <v>45</v>
      </c>
      <c r="AD17" s="22">
        <v>134.35</v>
      </c>
      <c r="AE17" s="22">
        <f>40.2</f>
        <v>40.200000000000003</v>
      </c>
      <c r="AF17">
        <f t="shared" si="2"/>
        <v>1.4913043478260869E-2</v>
      </c>
    </row>
    <row r="18" spans="1:32" x14ac:dyDescent="0.25">
      <c r="A18" s="2">
        <f t="shared" si="1"/>
        <v>15</v>
      </c>
      <c r="B18" s="17"/>
      <c r="C18" s="2" t="s">
        <v>58</v>
      </c>
      <c r="D18" s="18">
        <v>28.5</v>
      </c>
      <c r="E18" s="18">
        <v>150</v>
      </c>
      <c r="F18" s="18">
        <v>250</v>
      </c>
      <c r="G18" s="18">
        <v>220</v>
      </c>
      <c r="H18" s="18">
        <v>250</v>
      </c>
      <c r="I18" s="18">
        <v>0</v>
      </c>
      <c r="J18" s="18" t="s">
        <v>36</v>
      </c>
      <c r="K18" s="18">
        <v>250</v>
      </c>
      <c r="L18" s="19">
        <f t="shared" si="4"/>
        <v>1.1363636363636365</v>
      </c>
      <c r="M18" s="20" t="s">
        <v>37</v>
      </c>
      <c r="N18" s="18"/>
      <c r="O18" s="18"/>
      <c r="P18" s="18"/>
      <c r="Q18" s="18"/>
      <c r="R18" s="18"/>
      <c r="S18" s="18" t="s">
        <v>38</v>
      </c>
      <c r="T18" s="18" t="s">
        <v>39</v>
      </c>
      <c r="U18" s="18" t="s">
        <v>40</v>
      </c>
      <c r="V18" s="18">
        <v>230000</v>
      </c>
      <c r="W18" s="18">
        <v>0.16700000000000001</v>
      </c>
      <c r="X18" s="18">
        <v>3430</v>
      </c>
      <c r="Y18" s="18">
        <v>50</v>
      </c>
      <c r="Z18" s="18">
        <v>50</v>
      </c>
      <c r="AA18" s="20">
        <f t="shared" si="6"/>
        <v>198</v>
      </c>
      <c r="AB18" s="18">
        <v>90</v>
      </c>
      <c r="AC18" s="18">
        <f t="shared" si="3"/>
        <v>45</v>
      </c>
      <c r="AD18" s="22">
        <v>137.30000000000001</v>
      </c>
      <c r="AE18" s="22">
        <f>43.15</f>
        <v>43.15</v>
      </c>
      <c r="AF18">
        <f t="shared" si="2"/>
        <v>1.4913043478260869E-2</v>
      </c>
    </row>
    <row r="19" spans="1:32" x14ac:dyDescent="0.25">
      <c r="A19" s="2">
        <f t="shared" si="1"/>
        <v>16</v>
      </c>
      <c r="B19" s="17" t="s">
        <v>59</v>
      </c>
      <c r="C19" s="2" t="s">
        <v>60</v>
      </c>
      <c r="D19" s="18">
        <v>28.5</v>
      </c>
      <c r="E19" s="18">
        <v>150</v>
      </c>
      <c r="F19" s="18">
        <v>250</v>
      </c>
      <c r="G19" s="18">
        <v>220</v>
      </c>
      <c r="H19" s="18">
        <v>250</v>
      </c>
      <c r="I19" s="18">
        <v>0</v>
      </c>
      <c r="J19" s="18" t="s">
        <v>36</v>
      </c>
      <c r="K19" s="18">
        <v>250</v>
      </c>
      <c r="L19" s="19">
        <f t="shared" si="4"/>
        <v>1.1363636363636365</v>
      </c>
      <c r="M19" s="20" t="s">
        <v>37</v>
      </c>
      <c r="N19" s="18"/>
      <c r="O19" s="18"/>
      <c r="P19" s="18"/>
      <c r="Q19" s="18"/>
      <c r="R19" s="18"/>
      <c r="S19" s="18" t="s">
        <v>38</v>
      </c>
      <c r="T19" s="18" t="s">
        <v>39</v>
      </c>
      <c r="U19" s="18" t="s">
        <v>40</v>
      </c>
      <c r="V19" s="18">
        <v>230000</v>
      </c>
      <c r="W19" s="18">
        <v>0.16700000000000001</v>
      </c>
      <c r="X19" s="18">
        <v>3430</v>
      </c>
      <c r="Y19" s="18">
        <v>50</v>
      </c>
      <c r="Z19" s="18">
        <v>50</v>
      </c>
      <c r="AA19" s="20">
        <f t="shared" si="6"/>
        <v>198</v>
      </c>
      <c r="AB19" s="18">
        <v>90</v>
      </c>
      <c r="AC19" s="18">
        <f t="shared" si="3"/>
        <v>45</v>
      </c>
      <c r="AD19" s="22">
        <v>128.44999999999999</v>
      </c>
      <c r="AE19" s="22">
        <f>34.3</f>
        <v>34.299999999999997</v>
      </c>
      <c r="AF19">
        <f t="shared" si="2"/>
        <v>1.4913043478260869E-2</v>
      </c>
    </row>
    <row r="20" spans="1:32" x14ac:dyDescent="0.25">
      <c r="A20" s="2">
        <f t="shared" si="1"/>
        <v>17</v>
      </c>
      <c r="B20" s="17"/>
      <c r="C20" s="2" t="s">
        <v>61</v>
      </c>
      <c r="D20" s="18">
        <v>28.5</v>
      </c>
      <c r="E20" s="18">
        <v>150</v>
      </c>
      <c r="F20" s="18">
        <v>250</v>
      </c>
      <c r="G20" s="18">
        <v>220</v>
      </c>
      <c r="H20" s="18">
        <v>250</v>
      </c>
      <c r="I20" s="18">
        <v>0</v>
      </c>
      <c r="J20" s="18" t="s">
        <v>36</v>
      </c>
      <c r="K20" s="18">
        <v>350</v>
      </c>
      <c r="L20" s="19">
        <f t="shared" si="4"/>
        <v>1.5909090909090908</v>
      </c>
      <c r="M20" s="20" t="s">
        <v>37</v>
      </c>
      <c r="N20" s="18"/>
      <c r="O20" s="18"/>
      <c r="P20" s="18"/>
      <c r="Q20" s="18"/>
      <c r="R20" s="18"/>
      <c r="S20" s="18" t="s">
        <v>38</v>
      </c>
      <c r="T20" s="18" t="s">
        <v>39</v>
      </c>
      <c r="U20" s="18" t="s">
        <v>40</v>
      </c>
      <c r="V20" s="18">
        <v>230000</v>
      </c>
      <c r="W20" s="18">
        <v>0.16700000000000001</v>
      </c>
      <c r="X20" s="18">
        <v>3430</v>
      </c>
      <c r="Y20" s="18">
        <v>50</v>
      </c>
      <c r="Z20" s="18">
        <v>50</v>
      </c>
      <c r="AA20" s="20">
        <f t="shared" si="6"/>
        <v>198</v>
      </c>
      <c r="AB20" s="18">
        <v>90</v>
      </c>
      <c r="AC20" s="18">
        <f t="shared" si="3"/>
        <v>45</v>
      </c>
      <c r="AD20" s="22">
        <v>126.5</v>
      </c>
      <c r="AE20" s="22">
        <f>55.4</f>
        <v>55.4</v>
      </c>
      <c r="AF20">
        <f t="shared" si="2"/>
        <v>1.4913043478260869E-2</v>
      </c>
    </row>
    <row r="21" spans="1:32" x14ac:dyDescent="0.25">
      <c r="A21" s="2">
        <f t="shared" si="1"/>
        <v>18</v>
      </c>
      <c r="B21" s="17"/>
      <c r="C21" s="2" t="s">
        <v>62</v>
      </c>
      <c r="D21" s="18">
        <v>28.5</v>
      </c>
      <c r="E21" s="18">
        <v>150</v>
      </c>
      <c r="F21" s="18">
        <v>250</v>
      </c>
      <c r="G21" s="18">
        <v>220</v>
      </c>
      <c r="H21" s="18">
        <v>250</v>
      </c>
      <c r="I21" s="18">
        <v>0</v>
      </c>
      <c r="J21" s="18" t="s">
        <v>36</v>
      </c>
      <c r="K21" s="18">
        <v>350</v>
      </c>
      <c r="L21" s="19">
        <f t="shared" si="4"/>
        <v>1.5909090909090908</v>
      </c>
      <c r="M21" s="20" t="s">
        <v>37</v>
      </c>
      <c r="N21" s="18"/>
      <c r="O21" s="18"/>
      <c r="P21" s="18"/>
      <c r="Q21" s="18"/>
      <c r="R21" s="18"/>
      <c r="S21" s="18" t="s">
        <v>38</v>
      </c>
      <c r="T21" s="18" t="s">
        <v>39</v>
      </c>
      <c r="U21" s="18" t="s">
        <v>40</v>
      </c>
      <c r="V21" s="18">
        <v>230000</v>
      </c>
      <c r="W21" s="18">
        <v>0.16700000000000001</v>
      </c>
      <c r="X21" s="18">
        <v>3430</v>
      </c>
      <c r="Y21" s="18">
        <v>50</v>
      </c>
      <c r="Z21" s="18">
        <v>50</v>
      </c>
      <c r="AA21" s="20">
        <f t="shared" si="6"/>
        <v>198</v>
      </c>
      <c r="AB21" s="18">
        <v>90</v>
      </c>
      <c r="AC21" s="18">
        <f t="shared" si="3"/>
        <v>45</v>
      </c>
      <c r="AD21" s="22">
        <v>108.85</v>
      </c>
      <c r="AE21" s="22">
        <f>37.75</f>
        <v>37.75</v>
      </c>
      <c r="AF21">
        <f t="shared" si="2"/>
        <v>1.4913043478260869E-2</v>
      </c>
    </row>
    <row r="22" spans="1:32" x14ac:dyDescent="0.25">
      <c r="A22" s="2">
        <f t="shared" si="1"/>
        <v>19</v>
      </c>
      <c r="B22" s="17"/>
      <c r="C22" s="17" t="s">
        <v>63</v>
      </c>
      <c r="D22" s="17">
        <v>28.5</v>
      </c>
      <c r="E22" s="17">
        <v>150</v>
      </c>
      <c r="F22" s="17">
        <v>250</v>
      </c>
      <c r="G22" s="17">
        <v>220</v>
      </c>
      <c r="H22" s="17">
        <v>250</v>
      </c>
      <c r="I22" s="17">
        <v>0</v>
      </c>
      <c r="J22" s="17" t="s">
        <v>36</v>
      </c>
      <c r="K22" s="17">
        <v>350</v>
      </c>
      <c r="L22" s="25">
        <f t="shared" si="4"/>
        <v>1.5909090909090908</v>
      </c>
      <c r="M22" s="17" t="s">
        <v>37</v>
      </c>
      <c r="N22" s="17"/>
      <c r="O22" s="17"/>
      <c r="P22" s="17"/>
      <c r="Q22" s="17"/>
      <c r="R22" s="17"/>
      <c r="S22" s="17" t="s">
        <v>38</v>
      </c>
      <c r="T22" s="17" t="s">
        <v>39</v>
      </c>
      <c r="U22" s="18" t="s">
        <v>40</v>
      </c>
      <c r="V22" s="17">
        <v>230000</v>
      </c>
      <c r="W22" s="17">
        <v>0.16700000000000001</v>
      </c>
      <c r="X22" s="17">
        <v>3430</v>
      </c>
      <c r="Y22" s="17">
        <v>50</v>
      </c>
      <c r="Z22" s="17">
        <v>50</v>
      </c>
      <c r="AA22" s="17">
        <f t="shared" si="6"/>
        <v>198</v>
      </c>
      <c r="AB22" s="17">
        <v>90</v>
      </c>
      <c r="AC22" s="17">
        <f t="shared" si="3"/>
        <v>45</v>
      </c>
      <c r="AD22" s="22">
        <v>88.75</v>
      </c>
      <c r="AE22" s="20">
        <f>17.65</f>
        <v>17.649999999999999</v>
      </c>
      <c r="AF22">
        <f t="shared" si="2"/>
        <v>1.4913043478260869E-2</v>
      </c>
    </row>
    <row r="23" spans="1:32" x14ac:dyDescent="0.25">
      <c r="A23" s="26">
        <f t="shared" si="1"/>
        <v>20</v>
      </c>
      <c r="B23" s="23"/>
      <c r="C23" s="2" t="s">
        <v>64</v>
      </c>
      <c r="D23" s="18">
        <v>30</v>
      </c>
      <c r="E23" s="18">
        <v>70</v>
      </c>
      <c r="F23" s="18">
        <v>110</v>
      </c>
      <c r="G23" s="18">
        <v>100</v>
      </c>
      <c r="H23" s="18">
        <v>110</v>
      </c>
      <c r="I23" s="18">
        <v>0</v>
      </c>
      <c r="J23" s="18" t="s">
        <v>36</v>
      </c>
      <c r="K23" s="18">
        <v>320</v>
      </c>
      <c r="L23" s="19">
        <f t="shared" si="4"/>
        <v>3.2</v>
      </c>
      <c r="M23" s="18" t="s">
        <v>37</v>
      </c>
      <c r="N23" s="18">
        <v>0</v>
      </c>
      <c r="O23" s="18"/>
      <c r="P23" s="18"/>
      <c r="Q23" s="18"/>
      <c r="R23" s="18"/>
      <c r="S23" s="18" t="s">
        <v>38</v>
      </c>
      <c r="T23" s="18" t="s">
        <v>43</v>
      </c>
      <c r="U23" s="18" t="s">
        <v>40</v>
      </c>
      <c r="V23" s="24">
        <v>235000</v>
      </c>
      <c r="W23" s="27">
        <v>0.11</v>
      </c>
      <c r="X23" s="24">
        <v>3300</v>
      </c>
      <c r="Y23" s="28">
        <v>30</v>
      </c>
      <c r="Z23" s="18">
        <v>45</v>
      </c>
      <c r="AA23" s="20">
        <f t="shared" si="6"/>
        <v>90</v>
      </c>
      <c r="AB23" s="18">
        <v>90</v>
      </c>
      <c r="AC23" s="18">
        <f t="shared" si="3"/>
        <v>45</v>
      </c>
      <c r="AD23" s="29">
        <f>43.5/2</f>
        <v>21.75</v>
      </c>
      <c r="AE23" s="22">
        <f>27.1/2</f>
        <v>13.55</v>
      </c>
      <c r="AF23">
        <f t="shared" si="2"/>
        <v>1.4042553191489362E-2</v>
      </c>
    </row>
    <row r="24" spans="1:32" x14ac:dyDescent="0.25">
      <c r="A24" s="26">
        <f t="shared" si="1"/>
        <v>21</v>
      </c>
      <c r="B24" s="23"/>
      <c r="C24" s="2" t="s">
        <v>65</v>
      </c>
      <c r="D24" s="18">
        <v>30</v>
      </c>
      <c r="E24" s="18">
        <v>70</v>
      </c>
      <c r="F24" s="18">
        <v>110</v>
      </c>
      <c r="G24" s="18">
        <v>100</v>
      </c>
      <c r="H24" s="18">
        <v>110</v>
      </c>
      <c r="I24" s="18">
        <v>0</v>
      </c>
      <c r="J24" s="18" t="s">
        <v>36</v>
      </c>
      <c r="K24" s="18">
        <v>320</v>
      </c>
      <c r="L24" s="19">
        <f t="shared" si="4"/>
        <v>3.2</v>
      </c>
      <c r="M24" s="18" t="s">
        <v>37</v>
      </c>
      <c r="N24" s="18">
        <v>0</v>
      </c>
      <c r="O24" s="18"/>
      <c r="P24" s="18"/>
      <c r="Q24" s="18"/>
      <c r="R24" s="18"/>
      <c r="S24" s="18" t="s">
        <v>38</v>
      </c>
      <c r="T24" s="18" t="s">
        <v>43</v>
      </c>
      <c r="U24" s="18" t="s">
        <v>40</v>
      </c>
      <c r="V24" s="24">
        <v>235000</v>
      </c>
      <c r="W24" s="27">
        <f>W23</f>
        <v>0.11</v>
      </c>
      <c r="X24" s="24">
        <v>3300</v>
      </c>
      <c r="Y24" s="28">
        <f>Y23</f>
        <v>30</v>
      </c>
      <c r="Z24" s="18">
        <v>45</v>
      </c>
      <c r="AA24" s="20">
        <f t="shared" si="6"/>
        <v>90</v>
      </c>
      <c r="AB24" s="18">
        <v>90</v>
      </c>
      <c r="AC24" s="18">
        <f t="shared" si="3"/>
        <v>45</v>
      </c>
      <c r="AD24" s="29">
        <f>38.9/2</f>
        <v>19.45</v>
      </c>
      <c r="AE24" s="22">
        <f>22.5/2</f>
        <v>11.25</v>
      </c>
      <c r="AF24">
        <f t="shared" si="2"/>
        <v>1.4042553191489362E-2</v>
      </c>
    </row>
    <row r="25" spans="1:32" x14ac:dyDescent="0.25">
      <c r="A25" s="26">
        <f t="shared" si="1"/>
        <v>22</v>
      </c>
      <c r="B25" s="23"/>
      <c r="C25" s="2" t="s">
        <v>66</v>
      </c>
      <c r="D25" s="18">
        <v>30</v>
      </c>
      <c r="E25" s="18">
        <v>70</v>
      </c>
      <c r="F25" s="18">
        <v>110</v>
      </c>
      <c r="G25" s="18">
        <v>100</v>
      </c>
      <c r="H25" s="18">
        <v>110</v>
      </c>
      <c r="I25" s="18">
        <v>0</v>
      </c>
      <c r="J25" s="18" t="s">
        <v>36</v>
      </c>
      <c r="K25" s="18">
        <v>320</v>
      </c>
      <c r="L25" s="19">
        <f t="shared" si="4"/>
        <v>3.2</v>
      </c>
      <c r="M25" s="18" t="s">
        <v>37</v>
      </c>
      <c r="N25" s="18">
        <v>0</v>
      </c>
      <c r="O25" s="18"/>
      <c r="P25" s="18"/>
      <c r="Q25" s="18"/>
      <c r="R25" s="18"/>
      <c r="S25" s="18" t="s">
        <v>38</v>
      </c>
      <c r="T25" s="18" t="s">
        <v>43</v>
      </c>
      <c r="U25" s="18" t="s">
        <v>40</v>
      </c>
      <c r="V25" s="24">
        <v>235000</v>
      </c>
      <c r="W25" s="27">
        <f>W24</f>
        <v>0.11</v>
      </c>
      <c r="X25" s="24">
        <v>3300</v>
      </c>
      <c r="Y25" s="28">
        <f t="shared" ref="Y25:Y31" si="7">Y24</f>
        <v>30</v>
      </c>
      <c r="Z25" s="17">
        <f>Z24*1.41421</f>
        <v>63.639449999999997</v>
      </c>
      <c r="AA25" s="20">
        <f t="shared" si="6"/>
        <v>90</v>
      </c>
      <c r="AB25" s="18">
        <v>45</v>
      </c>
      <c r="AC25" s="18">
        <f t="shared" si="3"/>
        <v>45</v>
      </c>
      <c r="AD25" s="29">
        <f>44.5/2</f>
        <v>22.25</v>
      </c>
      <c r="AE25" s="22">
        <f>28.1/2</f>
        <v>14.05</v>
      </c>
      <c r="AF25">
        <f t="shared" si="2"/>
        <v>1.4042553191489362E-2</v>
      </c>
    </row>
    <row r="26" spans="1:32" x14ac:dyDescent="0.25">
      <c r="A26" s="26">
        <f t="shared" si="1"/>
        <v>23</v>
      </c>
      <c r="B26" s="23" t="s">
        <v>67</v>
      </c>
      <c r="C26" s="2" t="s">
        <v>68</v>
      </c>
      <c r="D26" s="18">
        <v>30</v>
      </c>
      <c r="E26" s="18">
        <v>70</v>
      </c>
      <c r="F26" s="18">
        <v>110</v>
      </c>
      <c r="G26" s="18">
        <v>100</v>
      </c>
      <c r="H26" s="18">
        <v>110</v>
      </c>
      <c r="I26" s="18">
        <v>0</v>
      </c>
      <c r="J26" s="18" t="s">
        <v>36</v>
      </c>
      <c r="K26" s="18">
        <v>320</v>
      </c>
      <c r="L26" s="19">
        <f t="shared" si="4"/>
        <v>3.2</v>
      </c>
      <c r="M26" s="18" t="s">
        <v>37</v>
      </c>
      <c r="N26" s="18">
        <v>0</v>
      </c>
      <c r="O26" s="18"/>
      <c r="P26" s="18"/>
      <c r="Q26" s="18"/>
      <c r="R26" s="18"/>
      <c r="S26" s="18" t="s">
        <v>38</v>
      </c>
      <c r="T26" s="18" t="s">
        <v>43</v>
      </c>
      <c r="U26" s="18" t="s">
        <v>40</v>
      </c>
      <c r="V26" s="24">
        <v>235000</v>
      </c>
      <c r="W26" s="27">
        <v>0.11</v>
      </c>
      <c r="X26" s="24">
        <v>3300</v>
      </c>
      <c r="Y26" s="28">
        <f t="shared" si="7"/>
        <v>30</v>
      </c>
      <c r="Z26" s="18">
        <v>30</v>
      </c>
      <c r="AA26" s="20">
        <f t="shared" si="6"/>
        <v>90</v>
      </c>
      <c r="AB26" s="18">
        <v>90</v>
      </c>
      <c r="AC26" s="18">
        <f t="shared" si="3"/>
        <v>45</v>
      </c>
      <c r="AD26" s="29">
        <f>48.1/2</f>
        <v>24.05</v>
      </c>
      <c r="AE26" s="22">
        <f>31.7/2</f>
        <v>15.85</v>
      </c>
      <c r="AF26">
        <f t="shared" si="2"/>
        <v>1.4042553191489362E-2</v>
      </c>
    </row>
    <row r="27" spans="1:32" x14ac:dyDescent="0.25">
      <c r="A27" s="26">
        <f t="shared" si="1"/>
        <v>24</v>
      </c>
      <c r="B27" s="23"/>
      <c r="C27" s="2" t="s">
        <v>69</v>
      </c>
      <c r="D27" s="18">
        <v>30</v>
      </c>
      <c r="E27" s="18">
        <v>70</v>
      </c>
      <c r="F27" s="18">
        <v>110</v>
      </c>
      <c r="G27" s="18">
        <v>100</v>
      </c>
      <c r="H27" s="18">
        <v>110</v>
      </c>
      <c r="I27" s="18">
        <v>0</v>
      </c>
      <c r="J27" s="18" t="s">
        <v>36</v>
      </c>
      <c r="K27" s="18">
        <v>320</v>
      </c>
      <c r="L27" s="19">
        <f t="shared" si="4"/>
        <v>3.2</v>
      </c>
      <c r="M27" s="18" t="s">
        <v>37</v>
      </c>
      <c r="N27" s="18">
        <v>0</v>
      </c>
      <c r="O27" s="18"/>
      <c r="P27" s="18"/>
      <c r="Q27" s="18"/>
      <c r="R27" s="18"/>
      <c r="S27" s="18" t="s">
        <v>38</v>
      </c>
      <c r="T27" s="18" t="s">
        <v>43</v>
      </c>
      <c r="U27" s="18" t="s">
        <v>40</v>
      </c>
      <c r="V27" s="24">
        <v>235000</v>
      </c>
      <c r="W27" s="27">
        <f>W26</f>
        <v>0.11</v>
      </c>
      <c r="X27" s="24">
        <v>3300</v>
      </c>
      <c r="Y27" s="28">
        <f t="shared" si="7"/>
        <v>30</v>
      </c>
      <c r="Z27" s="18">
        <v>30</v>
      </c>
      <c r="AA27" s="20">
        <f t="shared" si="6"/>
        <v>90</v>
      </c>
      <c r="AB27" s="18">
        <v>90</v>
      </c>
      <c r="AC27" s="18">
        <f t="shared" si="3"/>
        <v>45</v>
      </c>
      <c r="AD27" s="29">
        <f>42.2/2</f>
        <v>21.1</v>
      </c>
      <c r="AE27" s="22">
        <f>25.8/2</f>
        <v>12.9</v>
      </c>
      <c r="AF27">
        <f t="shared" si="2"/>
        <v>1.4042553191489362E-2</v>
      </c>
    </row>
    <row r="28" spans="1:32" x14ac:dyDescent="0.25">
      <c r="A28" s="26">
        <f t="shared" si="1"/>
        <v>25</v>
      </c>
      <c r="B28" s="23"/>
      <c r="C28" s="2" t="s">
        <v>70</v>
      </c>
      <c r="D28" s="18">
        <v>30</v>
      </c>
      <c r="E28" s="18">
        <v>70</v>
      </c>
      <c r="F28" s="18">
        <v>110</v>
      </c>
      <c r="G28" s="18">
        <v>100</v>
      </c>
      <c r="H28" s="18">
        <v>110</v>
      </c>
      <c r="I28" s="18">
        <v>0</v>
      </c>
      <c r="J28" s="18" t="s">
        <v>36</v>
      </c>
      <c r="K28" s="18">
        <v>320</v>
      </c>
      <c r="L28" s="19">
        <f t="shared" si="4"/>
        <v>3.2</v>
      </c>
      <c r="M28" s="18" t="s">
        <v>37</v>
      </c>
      <c r="N28" s="18">
        <v>0</v>
      </c>
      <c r="O28" s="18"/>
      <c r="P28" s="18"/>
      <c r="Q28" s="18"/>
      <c r="R28" s="18"/>
      <c r="S28" s="18" t="s">
        <v>38</v>
      </c>
      <c r="T28" s="18" t="s">
        <v>43</v>
      </c>
      <c r="U28" s="18" t="s">
        <v>40</v>
      </c>
      <c r="V28" s="24">
        <v>235000</v>
      </c>
      <c r="W28" s="27">
        <f>W27</f>
        <v>0.11</v>
      </c>
      <c r="X28" s="24">
        <v>3300</v>
      </c>
      <c r="Y28" s="28">
        <f t="shared" si="7"/>
        <v>30</v>
      </c>
      <c r="Z28" s="18">
        <v>42.426406870000001</v>
      </c>
      <c r="AA28" s="20">
        <f t="shared" si="6"/>
        <v>90</v>
      </c>
      <c r="AB28" s="18">
        <v>45</v>
      </c>
      <c r="AC28" s="18">
        <f t="shared" si="3"/>
        <v>45</v>
      </c>
      <c r="AD28" s="29">
        <f>47.3/2</f>
        <v>23.65</v>
      </c>
      <c r="AE28" s="22">
        <f>30.9/2</f>
        <v>15.45</v>
      </c>
      <c r="AF28">
        <f t="shared" si="2"/>
        <v>1.4042553191489362E-2</v>
      </c>
    </row>
    <row r="29" spans="1:32" x14ac:dyDescent="0.25">
      <c r="A29" s="26">
        <f t="shared" si="1"/>
        <v>26</v>
      </c>
      <c r="B29" s="23"/>
      <c r="C29" s="2" t="s">
        <v>71</v>
      </c>
      <c r="D29" s="18">
        <v>30</v>
      </c>
      <c r="E29" s="18">
        <v>70</v>
      </c>
      <c r="F29" s="18">
        <v>110</v>
      </c>
      <c r="G29" s="18">
        <v>100</v>
      </c>
      <c r="H29" s="18">
        <v>110</v>
      </c>
      <c r="I29" s="18">
        <v>0</v>
      </c>
      <c r="J29" s="18" t="s">
        <v>36</v>
      </c>
      <c r="K29" s="18">
        <v>320</v>
      </c>
      <c r="L29" s="19">
        <f t="shared" si="4"/>
        <v>3.2</v>
      </c>
      <c r="M29" s="18" t="s">
        <v>37</v>
      </c>
      <c r="N29" s="18">
        <v>0</v>
      </c>
      <c r="O29" s="18"/>
      <c r="P29" s="18"/>
      <c r="Q29" s="18"/>
      <c r="R29" s="18"/>
      <c r="S29" s="18" t="s">
        <v>38</v>
      </c>
      <c r="T29" s="18" t="s">
        <v>43</v>
      </c>
      <c r="U29" s="18" t="s">
        <v>40</v>
      </c>
      <c r="V29" s="24">
        <v>235000</v>
      </c>
      <c r="W29" s="27">
        <f>0.11*(1+3/9)</f>
        <v>0.14666666666666667</v>
      </c>
      <c r="X29" s="24">
        <v>3300</v>
      </c>
      <c r="Y29" s="28">
        <f t="shared" si="7"/>
        <v>30</v>
      </c>
      <c r="Z29" s="18">
        <v>30</v>
      </c>
      <c r="AA29" s="20">
        <f t="shared" si="6"/>
        <v>90</v>
      </c>
      <c r="AB29" s="18">
        <v>90</v>
      </c>
      <c r="AC29" s="18">
        <f t="shared" si="3"/>
        <v>45</v>
      </c>
      <c r="AD29" s="22">
        <f>42.8/2</f>
        <v>21.4</v>
      </c>
      <c r="AE29" s="22">
        <f>26.4/2</f>
        <v>13.2</v>
      </c>
      <c r="AF29">
        <f t="shared" si="2"/>
        <v>1.4042553191489362E-2</v>
      </c>
    </row>
    <row r="30" spans="1:32" x14ac:dyDescent="0.25">
      <c r="A30" s="26">
        <f t="shared" si="1"/>
        <v>27</v>
      </c>
      <c r="B30" s="23"/>
      <c r="C30" s="2" t="s">
        <v>72</v>
      </c>
      <c r="D30" s="18">
        <v>30</v>
      </c>
      <c r="E30" s="18">
        <v>70</v>
      </c>
      <c r="F30" s="18">
        <v>110</v>
      </c>
      <c r="G30" s="18">
        <v>100</v>
      </c>
      <c r="H30" s="18">
        <v>110</v>
      </c>
      <c r="I30" s="18">
        <v>0</v>
      </c>
      <c r="J30" s="18" t="s">
        <v>36</v>
      </c>
      <c r="K30" s="18">
        <v>320</v>
      </c>
      <c r="L30" s="19">
        <f t="shared" si="4"/>
        <v>3.2</v>
      </c>
      <c r="M30" s="18" t="s">
        <v>37</v>
      </c>
      <c r="N30" s="18">
        <v>0</v>
      </c>
      <c r="O30" s="18"/>
      <c r="P30" s="18"/>
      <c r="Q30" s="18"/>
      <c r="R30" s="18"/>
      <c r="S30" s="18" t="s">
        <v>38</v>
      </c>
      <c r="T30" s="18" t="s">
        <v>43</v>
      </c>
      <c r="U30" s="18" t="s">
        <v>40</v>
      </c>
      <c r="V30" s="24">
        <v>235000</v>
      </c>
      <c r="W30" s="27">
        <f>W29</f>
        <v>0.14666666666666667</v>
      </c>
      <c r="X30" s="24">
        <v>3300</v>
      </c>
      <c r="Y30" s="28">
        <f t="shared" si="7"/>
        <v>30</v>
      </c>
      <c r="Z30" s="18">
        <v>30</v>
      </c>
      <c r="AA30" s="20">
        <f t="shared" si="6"/>
        <v>90</v>
      </c>
      <c r="AB30" s="18">
        <v>90</v>
      </c>
      <c r="AC30" s="18">
        <f t="shared" si="3"/>
        <v>45</v>
      </c>
      <c r="AD30" s="22">
        <f>37.5/2</f>
        <v>18.75</v>
      </c>
      <c r="AE30" s="22">
        <f>21.1/2</f>
        <v>10.55</v>
      </c>
      <c r="AF30">
        <f t="shared" si="2"/>
        <v>1.4042553191489362E-2</v>
      </c>
    </row>
    <row r="31" spans="1:32" x14ac:dyDescent="0.25">
      <c r="A31" s="26">
        <f t="shared" si="1"/>
        <v>28</v>
      </c>
      <c r="B31" s="23"/>
      <c r="C31" s="2" t="s">
        <v>73</v>
      </c>
      <c r="D31" s="18">
        <v>30</v>
      </c>
      <c r="E31" s="18">
        <v>70</v>
      </c>
      <c r="F31" s="18">
        <v>110</v>
      </c>
      <c r="G31" s="18">
        <v>100</v>
      </c>
      <c r="H31" s="18">
        <v>110</v>
      </c>
      <c r="I31" s="18">
        <v>0</v>
      </c>
      <c r="J31" s="18" t="s">
        <v>36</v>
      </c>
      <c r="K31" s="18">
        <v>320</v>
      </c>
      <c r="L31" s="19">
        <f t="shared" si="4"/>
        <v>3.2</v>
      </c>
      <c r="M31" s="18" t="s">
        <v>37</v>
      </c>
      <c r="N31" s="18">
        <v>0</v>
      </c>
      <c r="O31" s="18"/>
      <c r="P31" s="18"/>
      <c r="Q31" s="18"/>
      <c r="R31" s="18"/>
      <c r="S31" s="18" t="s">
        <v>38</v>
      </c>
      <c r="T31" s="18" t="s">
        <v>43</v>
      </c>
      <c r="U31" s="18" t="s">
        <v>40</v>
      </c>
      <c r="V31" s="24">
        <v>235000</v>
      </c>
      <c r="W31" s="27">
        <f>W30</f>
        <v>0.14666666666666667</v>
      </c>
      <c r="X31" s="24">
        <v>3300</v>
      </c>
      <c r="Y31" s="28">
        <f t="shared" si="7"/>
        <v>30</v>
      </c>
      <c r="Z31" s="18">
        <v>42.426406870000001</v>
      </c>
      <c r="AA31" s="20">
        <f t="shared" si="6"/>
        <v>90</v>
      </c>
      <c r="AB31" s="18">
        <v>45</v>
      </c>
      <c r="AC31" s="18">
        <f t="shared" si="3"/>
        <v>45</v>
      </c>
      <c r="AD31" s="22">
        <f>40.7/2</f>
        <v>20.350000000000001</v>
      </c>
      <c r="AE31" s="22">
        <f>24.3/2</f>
        <v>12.15</v>
      </c>
      <c r="AF31">
        <f t="shared" si="2"/>
        <v>1.4042553191489362E-2</v>
      </c>
    </row>
    <row r="32" spans="1:32" x14ac:dyDescent="0.25">
      <c r="A32" s="2">
        <f t="shared" si="1"/>
        <v>29</v>
      </c>
      <c r="B32" s="17"/>
      <c r="C32" s="2" t="s">
        <v>74</v>
      </c>
      <c r="D32" s="18">
        <v>35</v>
      </c>
      <c r="E32" s="18">
        <v>150</v>
      </c>
      <c r="F32" s="2">
        <v>250</v>
      </c>
      <c r="G32" s="18">
        <v>210</v>
      </c>
      <c r="H32" s="18">
        <v>250</v>
      </c>
      <c r="I32" s="18">
        <v>0</v>
      </c>
      <c r="J32" s="18" t="s">
        <v>36</v>
      </c>
      <c r="K32" s="18">
        <v>500</v>
      </c>
      <c r="L32" s="19">
        <f t="shared" si="4"/>
        <v>2.3809523809523809</v>
      </c>
      <c r="M32" s="18" t="s">
        <v>18</v>
      </c>
      <c r="N32" s="18">
        <v>6</v>
      </c>
      <c r="O32" s="18">
        <v>200</v>
      </c>
      <c r="P32" s="18">
        <v>200000</v>
      </c>
      <c r="Q32" s="18">
        <v>400</v>
      </c>
      <c r="R32" s="18">
        <f t="shared" si="5"/>
        <v>0.18849599999999997</v>
      </c>
      <c r="S32" s="18" t="s">
        <v>38</v>
      </c>
      <c r="T32" s="18" t="s">
        <v>43</v>
      </c>
      <c r="U32" s="18" t="s">
        <v>40</v>
      </c>
      <c r="V32" s="18">
        <v>150000</v>
      </c>
      <c r="W32" s="18">
        <v>1</v>
      </c>
      <c r="X32" s="18">
        <v>2400</v>
      </c>
      <c r="Y32" s="18">
        <v>50</v>
      </c>
      <c r="Z32" s="18">
        <v>100</v>
      </c>
      <c r="AA32" s="20">
        <f t="shared" si="6"/>
        <v>189</v>
      </c>
      <c r="AB32" s="18">
        <v>90</v>
      </c>
      <c r="AC32" s="18">
        <f t="shared" si="3"/>
        <v>45</v>
      </c>
      <c r="AD32" s="22">
        <v>91.25</v>
      </c>
      <c r="AE32" s="22">
        <v>34.25</v>
      </c>
      <c r="AF32">
        <f t="shared" si="2"/>
        <v>1.6E-2</v>
      </c>
    </row>
    <row r="33" spans="1:32" x14ac:dyDescent="0.25">
      <c r="A33" s="2">
        <f t="shared" si="1"/>
        <v>30</v>
      </c>
      <c r="B33" s="17" t="s">
        <v>75</v>
      </c>
      <c r="C33" s="2" t="s">
        <v>76</v>
      </c>
      <c r="D33" s="18">
        <v>35</v>
      </c>
      <c r="E33" s="18">
        <v>150</v>
      </c>
      <c r="F33" s="18">
        <v>250</v>
      </c>
      <c r="G33" s="18">
        <v>210</v>
      </c>
      <c r="H33" s="18">
        <v>250</v>
      </c>
      <c r="I33" s="18">
        <v>0</v>
      </c>
      <c r="J33" s="18" t="s">
        <v>36</v>
      </c>
      <c r="K33" s="18">
        <v>500</v>
      </c>
      <c r="L33" s="19">
        <f t="shared" si="4"/>
        <v>2.3809523809523809</v>
      </c>
      <c r="M33" s="18" t="s">
        <v>18</v>
      </c>
      <c r="N33" s="18">
        <v>6</v>
      </c>
      <c r="O33" s="18">
        <v>200</v>
      </c>
      <c r="P33" s="18">
        <v>200000</v>
      </c>
      <c r="Q33" s="18">
        <v>400</v>
      </c>
      <c r="R33" s="18">
        <f t="shared" si="5"/>
        <v>0.18849599999999997</v>
      </c>
      <c r="S33" s="18" t="s">
        <v>38</v>
      </c>
      <c r="T33" s="18" t="s">
        <v>43</v>
      </c>
      <c r="U33" s="18" t="s">
        <v>40</v>
      </c>
      <c r="V33" s="18">
        <v>150000</v>
      </c>
      <c r="W33" s="18">
        <v>1</v>
      </c>
      <c r="X33" s="18">
        <v>2400</v>
      </c>
      <c r="Y33" s="18">
        <v>50</v>
      </c>
      <c r="Z33" s="18">
        <v>150</v>
      </c>
      <c r="AA33" s="20">
        <f t="shared" si="6"/>
        <v>189</v>
      </c>
      <c r="AB33" s="18">
        <v>45</v>
      </c>
      <c r="AC33" s="18">
        <f t="shared" si="3"/>
        <v>45</v>
      </c>
      <c r="AD33" s="22">
        <v>96.75</v>
      </c>
      <c r="AE33" s="22">
        <v>43.5</v>
      </c>
      <c r="AF33">
        <f t="shared" si="2"/>
        <v>1.6E-2</v>
      </c>
    </row>
    <row r="34" spans="1:32" x14ac:dyDescent="0.25">
      <c r="A34" s="16">
        <f t="shared" si="1"/>
        <v>31</v>
      </c>
      <c r="B34" s="30"/>
      <c r="C34" s="2" t="s">
        <v>77</v>
      </c>
      <c r="D34" s="18">
        <v>27.5</v>
      </c>
      <c r="E34" s="18">
        <v>152</v>
      </c>
      <c r="F34" s="18">
        <v>152</v>
      </c>
      <c r="G34" s="18">
        <v>101</v>
      </c>
      <c r="H34" s="18">
        <v>152</v>
      </c>
      <c r="I34" s="18">
        <v>0</v>
      </c>
      <c r="J34" s="18" t="s">
        <v>36</v>
      </c>
      <c r="K34" s="18">
        <v>152.4</v>
      </c>
      <c r="L34" s="19">
        <f t="shared" si="4"/>
        <v>1.5089108910891089</v>
      </c>
      <c r="M34" s="17" t="s">
        <v>37</v>
      </c>
      <c r="N34" s="18"/>
      <c r="O34" s="18">
        <v>100</v>
      </c>
      <c r="P34" s="18"/>
      <c r="Q34" s="18"/>
      <c r="R34" s="18"/>
      <c r="S34" s="18" t="s">
        <v>38</v>
      </c>
      <c r="T34" s="18" t="s">
        <v>39</v>
      </c>
      <c r="U34" s="18" t="s">
        <v>40</v>
      </c>
      <c r="V34" s="18">
        <v>230000</v>
      </c>
      <c r="W34" s="18">
        <v>0.111</v>
      </c>
      <c r="X34" s="18">
        <v>3400</v>
      </c>
      <c r="Y34" s="18">
        <v>1</v>
      </c>
      <c r="Z34" s="18">
        <f>Y34/SIN(AB34/180*PI())</f>
        <v>1.4142135623730951</v>
      </c>
      <c r="AA34" s="20">
        <f t="shared" si="6"/>
        <v>90.9</v>
      </c>
      <c r="AB34" s="18">
        <v>45</v>
      </c>
      <c r="AC34" s="18">
        <f t="shared" si="3"/>
        <v>45</v>
      </c>
      <c r="AD34" s="22">
        <f>129.2/2</f>
        <v>64.599999999999994</v>
      </c>
      <c r="AE34" s="22" t="s">
        <v>37</v>
      </c>
      <c r="AF34">
        <f t="shared" si="2"/>
        <v>1.4782608695652174E-2</v>
      </c>
    </row>
    <row r="35" spans="1:32" x14ac:dyDescent="0.25">
      <c r="A35" s="16">
        <f t="shared" si="1"/>
        <v>32</v>
      </c>
      <c r="B35" s="30" t="s">
        <v>78</v>
      </c>
      <c r="C35" s="2" t="s">
        <v>79</v>
      </c>
      <c r="D35" s="18">
        <v>27.5</v>
      </c>
      <c r="E35" s="18">
        <v>152</v>
      </c>
      <c r="F35" s="18">
        <v>152</v>
      </c>
      <c r="G35" s="18">
        <v>101</v>
      </c>
      <c r="H35" s="18">
        <v>152</v>
      </c>
      <c r="I35" s="18">
        <v>0</v>
      </c>
      <c r="J35" s="18" t="s">
        <v>36</v>
      </c>
      <c r="K35" s="18">
        <v>152.4</v>
      </c>
      <c r="L35" s="19">
        <f t="shared" si="4"/>
        <v>1.5089108910891089</v>
      </c>
      <c r="M35" s="17" t="s">
        <v>37</v>
      </c>
      <c r="N35" s="31"/>
      <c r="O35" s="18">
        <v>100</v>
      </c>
      <c r="P35" s="31"/>
      <c r="Q35" s="31"/>
      <c r="R35" s="18"/>
      <c r="S35" s="18" t="s">
        <v>38</v>
      </c>
      <c r="T35" s="18" t="s">
        <v>39</v>
      </c>
      <c r="U35" s="18" t="s">
        <v>40</v>
      </c>
      <c r="V35" s="18">
        <v>230000</v>
      </c>
      <c r="W35" s="18">
        <v>0.222</v>
      </c>
      <c r="X35" s="18">
        <v>3400</v>
      </c>
      <c r="Y35" s="18">
        <v>1</v>
      </c>
      <c r="Z35" s="18">
        <f t="shared" ref="Z35:Z36" si="8">Y35/SIN(AB35/180*PI())</f>
        <v>1.4142135623730951</v>
      </c>
      <c r="AA35" s="20">
        <f t="shared" si="6"/>
        <v>90.9</v>
      </c>
      <c r="AB35" s="18">
        <v>45</v>
      </c>
      <c r="AC35" s="18">
        <f t="shared" si="3"/>
        <v>45</v>
      </c>
      <c r="AD35" s="22">
        <f>160.6/2</f>
        <v>80.3</v>
      </c>
      <c r="AE35" s="22" t="s">
        <v>37</v>
      </c>
      <c r="AF35">
        <f t="shared" si="2"/>
        <v>1.4782608695652174E-2</v>
      </c>
    </row>
    <row r="36" spans="1:32" x14ac:dyDescent="0.25">
      <c r="A36" s="16">
        <f t="shared" si="1"/>
        <v>33</v>
      </c>
      <c r="B36" s="30"/>
      <c r="C36" s="2" t="s">
        <v>80</v>
      </c>
      <c r="D36" s="18">
        <v>27.5</v>
      </c>
      <c r="E36" s="18">
        <v>152</v>
      </c>
      <c r="F36" s="18">
        <v>152</v>
      </c>
      <c r="G36" s="18">
        <v>101</v>
      </c>
      <c r="H36" s="18">
        <v>152</v>
      </c>
      <c r="I36" s="18">
        <v>0</v>
      </c>
      <c r="J36" s="18" t="s">
        <v>36</v>
      </c>
      <c r="K36" s="18">
        <v>152.4</v>
      </c>
      <c r="L36" s="19">
        <f t="shared" si="4"/>
        <v>1.5089108910891089</v>
      </c>
      <c r="M36" s="17" t="s">
        <v>37</v>
      </c>
      <c r="N36" s="31"/>
      <c r="O36" s="18">
        <v>100</v>
      </c>
      <c r="P36" s="31"/>
      <c r="Q36" s="31"/>
      <c r="R36" s="18"/>
      <c r="S36" s="18" t="s">
        <v>38</v>
      </c>
      <c r="T36" s="18" t="s">
        <v>39</v>
      </c>
      <c r="U36" s="18" t="s">
        <v>40</v>
      </c>
      <c r="V36" s="18">
        <v>230000</v>
      </c>
      <c r="W36" s="18">
        <v>0.33300000000000002</v>
      </c>
      <c r="X36" s="18">
        <v>3400</v>
      </c>
      <c r="Y36" s="18">
        <v>1</v>
      </c>
      <c r="Z36" s="18">
        <f t="shared" si="8"/>
        <v>1.4142135623730951</v>
      </c>
      <c r="AA36" s="20">
        <f t="shared" si="6"/>
        <v>90.9</v>
      </c>
      <c r="AB36" s="18">
        <v>45</v>
      </c>
      <c r="AC36" s="18">
        <f t="shared" si="3"/>
        <v>45</v>
      </c>
      <c r="AD36" s="22">
        <f>170.1/2</f>
        <v>85.05</v>
      </c>
      <c r="AE36" s="22" t="s">
        <v>37</v>
      </c>
      <c r="AF36">
        <f t="shared" si="2"/>
        <v>1.4782608695652174E-2</v>
      </c>
    </row>
    <row r="37" spans="1:32" x14ac:dyDescent="0.25">
      <c r="A37" s="26">
        <f t="shared" si="1"/>
        <v>34</v>
      </c>
      <c r="B37" s="32"/>
      <c r="C37" s="18" t="s">
        <v>81</v>
      </c>
      <c r="D37" s="18">
        <v>53.8</v>
      </c>
      <c r="E37" s="18">
        <v>180</v>
      </c>
      <c r="F37" s="17">
        <v>500</v>
      </c>
      <c r="G37" s="18">
        <v>460</v>
      </c>
      <c r="H37" s="18">
        <v>500</v>
      </c>
      <c r="I37" s="18">
        <v>0</v>
      </c>
      <c r="J37" s="18" t="s">
        <v>36</v>
      </c>
      <c r="K37" s="17">
        <f>L37*G37</f>
        <v>1610</v>
      </c>
      <c r="L37" s="19">
        <v>3.5</v>
      </c>
      <c r="M37" s="18" t="s">
        <v>37</v>
      </c>
      <c r="N37" s="18">
        <v>0</v>
      </c>
      <c r="O37" s="31"/>
      <c r="P37" s="31"/>
      <c r="Q37" s="31"/>
      <c r="R37" s="18"/>
      <c r="S37" s="18" t="s">
        <v>38</v>
      </c>
      <c r="T37" s="18" t="s">
        <v>39</v>
      </c>
      <c r="U37" s="18" t="s">
        <v>40</v>
      </c>
      <c r="V37" s="18">
        <v>70800</v>
      </c>
      <c r="W37" s="18">
        <v>0.8</v>
      </c>
      <c r="X37" s="18">
        <v>860</v>
      </c>
      <c r="Y37" s="17">
        <v>300</v>
      </c>
      <c r="Z37" s="16">
        <f>4*Y37/SQRT(2)</f>
        <v>848.52813742385695</v>
      </c>
      <c r="AA37" s="20">
        <f t="shared" si="6"/>
        <v>414</v>
      </c>
      <c r="AB37" s="18">
        <v>45</v>
      </c>
      <c r="AC37" s="18">
        <f t="shared" si="3"/>
        <v>45</v>
      </c>
      <c r="AD37" s="22">
        <v>195</v>
      </c>
      <c r="AE37" s="22">
        <v>89</v>
      </c>
      <c r="AF37">
        <f t="shared" si="2"/>
        <v>1.2146892655367232E-2</v>
      </c>
    </row>
    <row r="38" spans="1:32" x14ac:dyDescent="0.25">
      <c r="A38" s="26">
        <f t="shared" si="1"/>
        <v>35</v>
      </c>
      <c r="B38" s="32" t="s">
        <v>82</v>
      </c>
      <c r="C38" s="18" t="s">
        <v>83</v>
      </c>
      <c r="D38" s="18">
        <v>52.7</v>
      </c>
      <c r="E38" s="18">
        <v>180</v>
      </c>
      <c r="F38" s="17">
        <v>500</v>
      </c>
      <c r="G38" s="18">
        <v>460</v>
      </c>
      <c r="H38" s="18">
        <v>500</v>
      </c>
      <c r="I38" s="18">
        <v>0</v>
      </c>
      <c r="J38" s="18" t="s">
        <v>36</v>
      </c>
      <c r="K38" s="17">
        <f>L38*G38</f>
        <v>1196</v>
      </c>
      <c r="L38" s="19">
        <v>2.6</v>
      </c>
      <c r="M38" s="18" t="s">
        <v>37</v>
      </c>
      <c r="N38" s="18">
        <v>0</v>
      </c>
      <c r="O38" s="18"/>
      <c r="P38" s="18"/>
      <c r="Q38" s="18"/>
      <c r="R38" s="18"/>
      <c r="S38" s="18" t="s">
        <v>38</v>
      </c>
      <c r="T38" s="18" t="s">
        <v>39</v>
      </c>
      <c r="U38" s="18" t="s">
        <v>40</v>
      </c>
      <c r="V38" s="18">
        <v>70800</v>
      </c>
      <c r="W38" s="18">
        <v>0.8</v>
      </c>
      <c r="X38" s="18">
        <v>860</v>
      </c>
      <c r="Y38" s="17">
        <v>1</v>
      </c>
      <c r="Z38" s="17">
        <f>2*Y38/SQRT(2)</f>
        <v>1.4142135623730949</v>
      </c>
      <c r="AA38" s="20">
        <f t="shared" si="6"/>
        <v>414</v>
      </c>
      <c r="AB38" s="18">
        <v>45</v>
      </c>
      <c r="AC38" s="18">
        <f t="shared" si="3"/>
        <v>45</v>
      </c>
      <c r="AD38" s="22">
        <v>243</v>
      </c>
      <c r="AE38" s="22">
        <v>122.5</v>
      </c>
      <c r="AF38">
        <f t="shared" si="2"/>
        <v>1.2146892655367232E-2</v>
      </c>
    </row>
    <row r="39" spans="1:32" x14ac:dyDescent="0.25">
      <c r="A39" s="26">
        <f t="shared" si="1"/>
        <v>36</v>
      </c>
      <c r="B39" s="17" t="s">
        <v>84</v>
      </c>
      <c r="C39" s="2" t="s">
        <v>85</v>
      </c>
      <c r="D39" s="18">
        <v>35</v>
      </c>
      <c r="E39" s="18">
        <v>150</v>
      </c>
      <c r="F39" s="18">
        <v>405</v>
      </c>
      <c r="G39" s="18">
        <v>360</v>
      </c>
      <c r="H39" s="18">
        <v>405</v>
      </c>
      <c r="I39" s="18">
        <v>100</v>
      </c>
      <c r="J39" s="18" t="s">
        <v>86</v>
      </c>
      <c r="K39" s="18">
        <v>1070</v>
      </c>
      <c r="L39" s="19">
        <v>2.6</v>
      </c>
      <c r="M39" s="18" t="s">
        <v>37</v>
      </c>
      <c r="N39" s="18">
        <v>0</v>
      </c>
      <c r="O39" s="18"/>
      <c r="P39" s="18"/>
      <c r="Q39" s="18"/>
      <c r="R39" s="18"/>
      <c r="S39" s="18" t="s">
        <v>38</v>
      </c>
      <c r="T39" s="18" t="s">
        <v>43</v>
      </c>
      <c r="U39" s="18" t="s">
        <v>40</v>
      </c>
      <c r="V39" s="18">
        <v>228000</v>
      </c>
      <c r="W39" s="18">
        <v>0.16500000000000001</v>
      </c>
      <c r="X39" s="18">
        <v>3790</v>
      </c>
      <c r="Y39" s="18">
        <v>50</v>
      </c>
      <c r="Z39" s="18">
        <v>125</v>
      </c>
      <c r="AA39" s="33">
        <f t="shared" ref="AA39:AA93" si="9">0.9*G39-I39</f>
        <v>224</v>
      </c>
      <c r="AB39" s="18">
        <v>90</v>
      </c>
      <c r="AC39" s="18">
        <f t="shared" si="3"/>
        <v>45</v>
      </c>
      <c r="AD39" s="22">
        <v>121.5</v>
      </c>
      <c r="AE39" s="22">
        <v>31.5</v>
      </c>
      <c r="AF39">
        <f t="shared" si="2"/>
        <v>1.6622807017543859E-2</v>
      </c>
    </row>
    <row r="40" spans="1:32" x14ac:dyDescent="0.25">
      <c r="A40" s="2">
        <f t="shared" si="1"/>
        <v>37</v>
      </c>
      <c r="B40" s="32"/>
      <c r="C40" s="2" t="s">
        <v>87</v>
      </c>
      <c r="D40" s="18">
        <v>27.5</v>
      </c>
      <c r="E40" s="18">
        <v>150</v>
      </c>
      <c r="F40" s="18">
        <v>300</v>
      </c>
      <c r="G40" s="18">
        <v>250</v>
      </c>
      <c r="H40" s="18">
        <v>300</v>
      </c>
      <c r="I40" s="18">
        <v>0</v>
      </c>
      <c r="J40" s="18" t="s">
        <v>36</v>
      </c>
      <c r="K40" s="18">
        <v>750</v>
      </c>
      <c r="L40" s="19">
        <f t="shared" ref="L40:L56" si="10">K40/G40</f>
        <v>3</v>
      </c>
      <c r="M40" s="17" t="s">
        <v>18</v>
      </c>
      <c r="N40" s="18">
        <v>8</v>
      </c>
      <c r="O40" s="18">
        <v>200</v>
      </c>
      <c r="P40" s="18">
        <v>210000</v>
      </c>
      <c r="Q40" s="18">
        <v>548</v>
      </c>
      <c r="R40" s="18">
        <f t="shared" si="5"/>
        <v>0.33510399999999996</v>
      </c>
      <c r="S40" s="18" t="s">
        <v>38</v>
      </c>
      <c r="T40" s="18" t="s">
        <v>39</v>
      </c>
      <c r="U40" s="18" t="s">
        <v>40</v>
      </c>
      <c r="V40" s="18">
        <v>233600</v>
      </c>
      <c r="W40" s="18">
        <v>0.16500000000000001</v>
      </c>
      <c r="X40" s="18">
        <v>3550</v>
      </c>
      <c r="Y40" s="18">
        <v>1</v>
      </c>
      <c r="Z40" s="18">
        <v>1</v>
      </c>
      <c r="AA40" s="20">
        <f t="shared" si="9"/>
        <v>225</v>
      </c>
      <c r="AB40" s="18">
        <v>90</v>
      </c>
      <c r="AC40" s="18">
        <f t="shared" si="3"/>
        <v>45</v>
      </c>
      <c r="AD40" s="22">
        <v>120</v>
      </c>
      <c r="AE40" s="22">
        <v>45.3</v>
      </c>
      <c r="AF40">
        <f t="shared" si="2"/>
        <v>1.5196917808219178E-2</v>
      </c>
    </row>
    <row r="41" spans="1:32" x14ac:dyDescent="0.25">
      <c r="A41" s="2">
        <f t="shared" si="1"/>
        <v>38</v>
      </c>
      <c r="B41" s="32"/>
      <c r="C41" s="2" t="s">
        <v>88</v>
      </c>
      <c r="D41" s="18">
        <v>27.5</v>
      </c>
      <c r="E41" s="18">
        <v>150</v>
      </c>
      <c r="F41" s="18">
        <v>300</v>
      </c>
      <c r="G41" s="18">
        <v>250</v>
      </c>
      <c r="H41" s="18">
        <v>300</v>
      </c>
      <c r="I41" s="18">
        <v>0</v>
      </c>
      <c r="J41" s="18" t="s">
        <v>36</v>
      </c>
      <c r="K41" s="18">
        <v>750</v>
      </c>
      <c r="L41" s="19">
        <f t="shared" si="10"/>
        <v>3</v>
      </c>
      <c r="M41" s="17" t="s">
        <v>18</v>
      </c>
      <c r="N41" s="18">
        <v>8</v>
      </c>
      <c r="O41" s="18">
        <v>200</v>
      </c>
      <c r="P41" s="18">
        <v>210000</v>
      </c>
      <c r="Q41" s="18">
        <v>548</v>
      </c>
      <c r="R41" s="18">
        <f t="shared" si="5"/>
        <v>0.33510399999999996</v>
      </c>
      <c r="S41" s="18" t="s">
        <v>38</v>
      </c>
      <c r="T41" s="18" t="s">
        <v>39</v>
      </c>
      <c r="U41" s="18" t="s">
        <v>40</v>
      </c>
      <c r="V41" s="18">
        <v>233600</v>
      </c>
      <c r="W41" s="18">
        <v>0.495</v>
      </c>
      <c r="X41" s="18">
        <v>3550</v>
      </c>
      <c r="Y41" s="18">
        <v>1</v>
      </c>
      <c r="Z41" s="18">
        <v>1</v>
      </c>
      <c r="AA41" s="20">
        <f t="shared" si="9"/>
        <v>225</v>
      </c>
      <c r="AB41" s="18">
        <v>90</v>
      </c>
      <c r="AC41" s="18">
        <f t="shared" si="3"/>
        <v>45</v>
      </c>
      <c r="AD41" s="22">
        <v>112.8</v>
      </c>
      <c r="AE41" s="22">
        <v>38.1</v>
      </c>
      <c r="AF41">
        <f t="shared" si="2"/>
        <v>1.5196917808219178E-2</v>
      </c>
    </row>
    <row r="42" spans="1:32" x14ac:dyDescent="0.25">
      <c r="A42" s="2">
        <f t="shared" si="1"/>
        <v>39</v>
      </c>
      <c r="B42" s="32"/>
      <c r="C42" s="2" t="s">
        <v>89</v>
      </c>
      <c r="D42" s="18">
        <v>27.5</v>
      </c>
      <c r="E42" s="18">
        <v>150</v>
      </c>
      <c r="F42" s="18">
        <v>300</v>
      </c>
      <c r="G42" s="18">
        <v>250</v>
      </c>
      <c r="H42" s="18">
        <v>300</v>
      </c>
      <c r="I42" s="18">
        <v>0</v>
      </c>
      <c r="J42" s="18" t="s">
        <v>36</v>
      </c>
      <c r="K42" s="18">
        <v>750</v>
      </c>
      <c r="L42" s="19">
        <f t="shared" si="10"/>
        <v>3</v>
      </c>
      <c r="M42" s="17" t="s">
        <v>18</v>
      </c>
      <c r="N42" s="18">
        <v>8</v>
      </c>
      <c r="O42" s="18">
        <v>200</v>
      </c>
      <c r="P42" s="18">
        <v>210000</v>
      </c>
      <c r="Q42" s="18">
        <v>548</v>
      </c>
      <c r="R42" s="18">
        <f t="shared" si="5"/>
        <v>0.33510399999999996</v>
      </c>
      <c r="S42" s="18" t="s">
        <v>38</v>
      </c>
      <c r="T42" s="18" t="s">
        <v>39</v>
      </c>
      <c r="U42" s="18" t="s">
        <v>40</v>
      </c>
      <c r="V42" s="18">
        <v>233600</v>
      </c>
      <c r="W42" s="18">
        <v>0.495</v>
      </c>
      <c r="X42" s="18">
        <v>3550</v>
      </c>
      <c r="Y42" s="18">
        <v>1</v>
      </c>
      <c r="Z42" s="18">
        <v>1</v>
      </c>
      <c r="AA42" s="20">
        <f t="shared" si="9"/>
        <v>225</v>
      </c>
      <c r="AB42" s="18">
        <v>90</v>
      </c>
      <c r="AC42" s="18">
        <f t="shared" si="3"/>
        <v>45</v>
      </c>
      <c r="AD42" s="22">
        <v>140.19999999999999</v>
      </c>
      <c r="AE42" s="22">
        <v>65.5</v>
      </c>
      <c r="AF42">
        <f t="shared" si="2"/>
        <v>1.5196917808219178E-2</v>
      </c>
    </row>
    <row r="43" spans="1:32" x14ac:dyDescent="0.25">
      <c r="A43" s="2">
        <f t="shared" si="1"/>
        <v>40</v>
      </c>
      <c r="B43" s="32"/>
      <c r="C43" s="2" t="s">
        <v>90</v>
      </c>
      <c r="D43" s="18">
        <v>31.4</v>
      </c>
      <c r="E43" s="18">
        <v>150</v>
      </c>
      <c r="F43" s="18">
        <v>300</v>
      </c>
      <c r="G43" s="18">
        <v>250</v>
      </c>
      <c r="H43" s="18">
        <v>300</v>
      </c>
      <c r="I43" s="18">
        <v>0</v>
      </c>
      <c r="J43" s="18" t="s">
        <v>36</v>
      </c>
      <c r="K43" s="18">
        <v>750</v>
      </c>
      <c r="L43" s="19">
        <f t="shared" si="10"/>
        <v>3</v>
      </c>
      <c r="M43" s="17" t="s">
        <v>18</v>
      </c>
      <c r="N43" s="18">
        <v>8</v>
      </c>
      <c r="O43" s="18">
        <v>200</v>
      </c>
      <c r="P43" s="18">
        <v>210000</v>
      </c>
      <c r="Q43" s="18">
        <v>548</v>
      </c>
      <c r="R43" s="18">
        <f t="shared" si="5"/>
        <v>0.33510399999999996</v>
      </c>
      <c r="S43" s="18" t="s">
        <v>38</v>
      </c>
      <c r="T43" s="18" t="s">
        <v>39</v>
      </c>
      <c r="U43" s="18" t="s">
        <v>40</v>
      </c>
      <c r="V43" s="18">
        <v>233600</v>
      </c>
      <c r="W43" s="18">
        <v>0.33</v>
      </c>
      <c r="X43" s="18">
        <v>3550</v>
      </c>
      <c r="Y43" s="18">
        <v>1</v>
      </c>
      <c r="Z43" s="18">
        <v>1</v>
      </c>
      <c r="AA43" s="20">
        <f t="shared" si="9"/>
        <v>225</v>
      </c>
      <c r="AB43" s="18">
        <v>90</v>
      </c>
      <c r="AC43" s="18">
        <f t="shared" si="3"/>
        <v>45</v>
      </c>
      <c r="AD43" s="22">
        <v>193</v>
      </c>
      <c r="AE43" s="22">
        <v>31.5</v>
      </c>
      <c r="AF43">
        <f t="shared" si="2"/>
        <v>1.5196917808219178E-2</v>
      </c>
    </row>
    <row r="44" spans="1:32" x14ac:dyDescent="0.25">
      <c r="A44" s="2">
        <f t="shared" si="1"/>
        <v>41</v>
      </c>
      <c r="B44" s="32" t="s">
        <v>91</v>
      </c>
      <c r="C44" s="2" t="s">
        <v>92</v>
      </c>
      <c r="D44" s="18">
        <v>31.4</v>
      </c>
      <c r="E44" s="18">
        <v>150</v>
      </c>
      <c r="F44" s="18">
        <v>300</v>
      </c>
      <c r="G44" s="18">
        <v>250</v>
      </c>
      <c r="H44" s="18">
        <v>300</v>
      </c>
      <c r="I44" s="18">
        <v>0</v>
      </c>
      <c r="J44" s="18" t="s">
        <v>36</v>
      </c>
      <c r="K44" s="18">
        <v>750</v>
      </c>
      <c r="L44" s="19">
        <f t="shared" si="10"/>
        <v>3</v>
      </c>
      <c r="M44" s="17" t="s">
        <v>18</v>
      </c>
      <c r="N44" s="18">
        <v>8</v>
      </c>
      <c r="O44" s="18">
        <v>200</v>
      </c>
      <c r="P44" s="18">
        <v>210000</v>
      </c>
      <c r="Q44" s="18">
        <v>548</v>
      </c>
      <c r="R44" s="18">
        <f t="shared" si="5"/>
        <v>0.33510399999999996</v>
      </c>
      <c r="S44" s="18" t="s">
        <v>38</v>
      </c>
      <c r="T44" s="18" t="s">
        <v>39</v>
      </c>
      <c r="U44" s="18" t="s">
        <v>40</v>
      </c>
      <c r="V44" s="18">
        <v>233600</v>
      </c>
      <c r="W44" s="18">
        <v>0.495</v>
      </c>
      <c r="X44" s="18">
        <v>3550</v>
      </c>
      <c r="Y44" s="18">
        <v>1</v>
      </c>
      <c r="Z44" s="18">
        <v>1</v>
      </c>
      <c r="AA44" s="20">
        <f t="shared" si="9"/>
        <v>225</v>
      </c>
      <c r="AB44" s="18">
        <v>90</v>
      </c>
      <c r="AC44" s="18">
        <f t="shared" si="3"/>
        <v>45</v>
      </c>
      <c r="AD44" s="22">
        <v>213.3</v>
      </c>
      <c r="AE44" s="22">
        <v>51.8</v>
      </c>
      <c r="AF44">
        <f t="shared" si="2"/>
        <v>1.5196917808219178E-2</v>
      </c>
    </row>
    <row r="45" spans="1:32" x14ac:dyDescent="0.25">
      <c r="A45" s="2">
        <f t="shared" si="1"/>
        <v>42</v>
      </c>
      <c r="B45" s="32"/>
      <c r="C45" s="2" t="s">
        <v>93</v>
      </c>
      <c r="D45" s="18">
        <v>31.4</v>
      </c>
      <c r="E45" s="18">
        <v>150</v>
      </c>
      <c r="F45" s="18">
        <v>300</v>
      </c>
      <c r="G45" s="18">
        <v>250</v>
      </c>
      <c r="H45" s="18">
        <v>300</v>
      </c>
      <c r="I45" s="18">
        <v>0</v>
      </c>
      <c r="J45" s="18" t="s">
        <v>36</v>
      </c>
      <c r="K45" s="18">
        <v>750</v>
      </c>
      <c r="L45" s="19">
        <f t="shared" si="10"/>
        <v>3</v>
      </c>
      <c r="M45" s="17" t="s">
        <v>18</v>
      </c>
      <c r="N45" s="18">
        <v>8</v>
      </c>
      <c r="O45" s="18">
        <v>200</v>
      </c>
      <c r="P45" s="18">
        <v>210000</v>
      </c>
      <c r="Q45" s="18">
        <v>548</v>
      </c>
      <c r="R45" s="18">
        <f t="shared" si="5"/>
        <v>0.33510399999999996</v>
      </c>
      <c r="S45" s="18" t="s">
        <v>38</v>
      </c>
      <c r="T45" s="18" t="s">
        <v>39</v>
      </c>
      <c r="U45" s="18" t="s">
        <v>40</v>
      </c>
      <c r="V45" s="18">
        <v>233600</v>
      </c>
      <c r="W45" s="18">
        <v>0.495</v>
      </c>
      <c r="X45" s="18">
        <v>3550</v>
      </c>
      <c r="Y45" s="18">
        <v>1</v>
      </c>
      <c r="Z45" s="18">
        <v>1</v>
      </c>
      <c r="AA45" s="20">
        <f t="shared" si="9"/>
        <v>225</v>
      </c>
      <c r="AB45" s="18">
        <v>90</v>
      </c>
      <c r="AC45" s="18">
        <f t="shared" si="3"/>
        <v>45</v>
      </c>
      <c r="AD45" s="22">
        <v>247.5</v>
      </c>
      <c r="AE45" s="22">
        <v>86</v>
      </c>
      <c r="AF45">
        <f t="shared" si="2"/>
        <v>1.5196917808219178E-2</v>
      </c>
    </row>
    <row r="46" spans="1:32" x14ac:dyDescent="0.25">
      <c r="A46" s="2">
        <f t="shared" si="1"/>
        <v>43</v>
      </c>
      <c r="B46" s="32"/>
      <c r="C46" s="2" t="s">
        <v>94</v>
      </c>
      <c r="D46" s="18">
        <v>31.4</v>
      </c>
      <c r="E46" s="18">
        <v>150</v>
      </c>
      <c r="F46" s="18">
        <v>300</v>
      </c>
      <c r="G46" s="18">
        <v>250</v>
      </c>
      <c r="H46" s="18">
        <v>300</v>
      </c>
      <c r="I46" s="18">
        <v>0</v>
      </c>
      <c r="J46" s="18" t="s">
        <v>36</v>
      </c>
      <c r="K46" s="18">
        <v>750</v>
      </c>
      <c r="L46" s="19">
        <f t="shared" si="10"/>
        <v>3</v>
      </c>
      <c r="M46" s="17" t="s">
        <v>18</v>
      </c>
      <c r="N46" s="18">
        <v>8</v>
      </c>
      <c r="O46" s="18">
        <v>200</v>
      </c>
      <c r="P46" s="18">
        <v>210000</v>
      </c>
      <c r="Q46" s="18">
        <v>548</v>
      </c>
      <c r="R46" s="18">
        <f t="shared" si="5"/>
        <v>0.33510399999999996</v>
      </c>
      <c r="S46" s="18" t="s">
        <v>38</v>
      </c>
      <c r="T46" s="18" t="s">
        <v>39</v>
      </c>
      <c r="U46" s="18" t="s">
        <v>40</v>
      </c>
      <c r="V46" s="18">
        <v>233600</v>
      </c>
      <c r="W46" s="18">
        <v>0.33</v>
      </c>
      <c r="X46" s="18">
        <v>3550</v>
      </c>
      <c r="Y46" s="18">
        <v>1</v>
      </c>
      <c r="Z46" s="18">
        <v>1</v>
      </c>
      <c r="AA46" s="20">
        <f t="shared" si="9"/>
        <v>225</v>
      </c>
      <c r="AB46" s="18">
        <v>90</v>
      </c>
      <c r="AC46" s="18">
        <f t="shared" si="3"/>
        <v>45</v>
      </c>
      <c r="AD46" s="22">
        <v>208.8</v>
      </c>
      <c r="AE46" s="22">
        <v>47.3</v>
      </c>
      <c r="AF46">
        <f t="shared" si="2"/>
        <v>1.5196917808219178E-2</v>
      </c>
    </row>
    <row r="47" spans="1:32" x14ac:dyDescent="0.25">
      <c r="A47" s="2">
        <f t="shared" si="1"/>
        <v>44</v>
      </c>
      <c r="B47" s="32"/>
      <c r="C47" s="2" t="s">
        <v>95</v>
      </c>
      <c r="D47" s="18">
        <v>31.4</v>
      </c>
      <c r="E47" s="18">
        <v>150</v>
      </c>
      <c r="F47" s="18">
        <v>300</v>
      </c>
      <c r="G47" s="18">
        <v>250</v>
      </c>
      <c r="H47" s="18">
        <v>300</v>
      </c>
      <c r="I47" s="18">
        <v>0</v>
      </c>
      <c r="J47" s="18" t="s">
        <v>36</v>
      </c>
      <c r="K47" s="18">
        <v>750</v>
      </c>
      <c r="L47" s="19">
        <f t="shared" si="10"/>
        <v>3</v>
      </c>
      <c r="M47" s="17" t="s">
        <v>18</v>
      </c>
      <c r="N47" s="18">
        <v>8</v>
      </c>
      <c r="O47" s="18">
        <v>200</v>
      </c>
      <c r="P47" s="18">
        <v>210000</v>
      </c>
      <c r="Q47" s="18">
        <v>548</v>
      </c>
      <c r="R47" s="18">
        <f t="shared" si="5"/>
        <v>0.33510399999999996</v>
      </c>
      <c r="S47" s="18" t="s">
        <v>38</v>
      </c>
      <c r="T47" s="18" t="s">
        <v>39</v>
      </c>
      <c r="U47" s="18" t="s">
        <v>40</v>
      </c>
      <c r="V47" s="18">
        <v>233600</v>
      </c>
      <c r="W47" s="18">
        <v>0.33</v>
      </c>
      <c r="X47" s="18">
        <v>3550</v>
      </c>
      <c r="Y47" s="18">
        <v>1</v>
      </c>
      <c r="Z47" s="18">
        <v>1</v>
      </c>
      <c r="AA47" s="20">
        <f t="shared" si="9"/>
        <v>225</v>
      </c>
      <c r="AB47" s="18">
        <v>90</v>
      </c>
      <c r="AC47" s="18">
        <f t="shared" si="3"/>
        <v>45</v>
      </c>
      <c r="AD47" s="22">
        <v>212</v>
      </c>
      <c r="AE47" s="22">
        <v>50.5</v>
      </c>
      <c r="AF47">
        <f t="shared" si="2"/>
        <v>1.5196917808219178E-2</v>
      </c>
    </row>
    <row r="48" spans="1:32" x14ac:dyDescent="0.25">
      <c r="A48" s="2">
        <f t="shared" si="1"/>
        <v>45</v>
      </c>
      <c r="B48" s="33"/>
      <c r="C48" s="18" t="s">
        <v>96</v>
      </c>
      <c r="D48" s="18">
        <v>43.83</v>
      </c>
      <c r="E48" s="18">
        <v>152.4</v>
      </c>
      <c r="F48" s="18">
        <v>228.6</v>
      </c>
      <c r="G48" s="18">
        <f>F48-40</f>
        <v>188.6</v>
      </c>
      <c r="H48" s="18">
        <f>F48</f>
        <v>228.6</v>
      </c>
      <c r="I48" s="18">
        <v>0</v>
      </c>
      <c r="J48" s="18" t="s">
        <v>36</v>
      </c>
      <c r="K48" s="18">
        <v>533.4</v>
      </c>
      <c r="L48" s="19">
        <f t="shared" si="10"/>
        <v>2.8282078472958641</v>
      </c>
      <c r="M48" s="18" t="s">
        <v>37</v>
      </c>
      <c r="N48" s="18">
        <v>0</v>
      </c>
      <c r="O48" s="18"/>
      <c r="P48" s="18"/>
      <c r="Q48" s="18"/>
      <c r="R48" s="18"/>
      <c r="S48" s="18" t="s">
        <v>38</v>
      </c>
      <c r="T48" s="18" t="s">
        <v>43</v>
      </c>
      <c r="U48" s="18" t="s">
        <v>40</v>
      </c>
      <c r="V48" s="18">
        <v>165000</v>
      </c>
      <c r="W48" s="18">
        <v>1.2</v>
      </c>
      <c r="X48" s="18">
        <v>2800</v>
      </c>
      <c r="Y48" s="18">
        <v>40</v>
      </c>
      <c r="Z48" s="18">
        <v>127</v>
      </c>
      <c r="AA48" s="20">
        <f t="shared" si="9"/>
        <v>169.74</v>
      </c>
      <c r="AB48" s="18">
        <v>90</v>
      </c>
      <c r="AC48" s="18">
        <f t="shared" si="3"/>
        <v>45</v>
      </c>
      <c r="AD48" s="22">
        <v>73.7</v>
      </c>
      <c r="AE48" s="22">
        <v>27.6</v>
      </c>
      <c r="AF48">
        <f t="shared" si="2"/>
        <v>1.6969696969696971E-2</v>
      </c>
    </row>
    <row r="49" spans="1:32" x14ac:dyDescent="0.25">
      <c r="A49" s="2">
        <f t="shared" si="1"/>
        <v>46</v>
      </c>
      <c r="B49" s="33" t="s">
        <v>97</v>
      </c>
      <c r="C49" s="18" t="s">
        <v>98</v>
      </c>
      <c r="D49" s="18">
        <v>43.83</v>
      </c>
      <c r="E49" s="18">
        <v>152.4</v>
      </c>
      <c r="F49" s="18">
        <v>228.6</v>
      </c>
      <c r="G49" s="18">
        <f>F49-40</f>
        <v>188.6</v>
      </c>
      <c r="H49" s="18">
        <f>F49</f>
        <v>228.6</v>
      </c>
      <c r="I49" s="18">
        <v>0</v>
      </c>
      <c r="J49" s="18" t="s">
        <v>36</v>
      </c>
      <c r="K49" s="18">
        <v>533.4</v>
      </c>
      <c r="L49" s="19">
        <f t="shared" si="10"/>
        <v>2.8282078472958641</v>
      </c>
      <c r="M49" s="18" t="s">
        <v>37</v>
      </c>
      <c r="N49" s="18">
        <v>0</v>
      </c>
      <c r="O49" s="18"/>
      <c r="P49" s="18"/>
      <c r="Q49" s="18"/>
      <c r="R49" s="18"/>
      <c r="S49" s="18" t="s">
        <v>38</v>
      </c>
      <c r="T49" s="18" t="s">
        <v>43</v>
      </c>
      <c r="U49" s="18" t="s">
        <v>40</v>
      </c>
      <c r="V49" s="18">
        <v>165000</v>
      </c>
      <c r="W49" s="18">
        <v>1.2</v>
      </c>
      <c r="X49" s="18">
        <v>2800</v>
      </c>
      <c r="Y49" s="18">
        <v>40</v>
      </c>
      <c r="Z49" s="18">
        <v>127</v>
      </c>
      <c r="AA49" s="20">
        <f t="shared" si="9"/>
        <v>169.74</v>
      </c>
      <c r="AB49" s="18">
        <v>45</v>
      </c>
      <c r="AC49" s="18">
        <f t="shared" si="3"/>
        <v>45</v>
      </c>
      <c r="AD49" s="22">
        <v>82.2</v>
      </c>
      <c r="AE49" s="22">
        <v>36.700000000000003</v>
      </c>
      <c r="AF49">
        <f t="shared" si="2"/>
        <v>1.6969696969696971E-2</v>
      </c>
    </row>
    <row r="50" spans="1:32" x14ac:dyDescent="0.25">
      <c r="A50" s="2">
        <f t="shared" si="1"/>
        <v>47</v>
      </c>
      <c r="B50" s="33"/>
      <c r="C50" s="18" t="s">
        <v>99</v>
      </c>
      <c r="D50" s="18">
        <v>43.83</v>
      </c>
      <c r="E50" s="18">
        <v>152.4</v>
      </c>
      <c r="F50" s="18">
        <v>228.6</v>
      </c>
      <c r="G50" s="18">
        <f>F50-40</f>
        <v>188.6</v>
      </c>
      <c r="H50" s="18">
        <f>F50</f>
        <v>228.6</v>
      </c>
      <c r="I50" s="18">
        <v>0</v>
      </c>
      <c r="J50" s="18" t="s">
        <v>36</v>
      </c>
      <c r="K50" s="18">
        <v>533.4</v>
      </c>
      <c r="L50" s="19">
        <f t="shared" si="10"/>
        <v>2.8282078472958641</v>
      </c>
      <c r="M50" s="18" t="s">
        <v>37</v>
      </c>
      <c r="N50" s="18">
        <v>0</v>
      </c>
      <c r="O50" s="18"/>
      <c r="P50" s="18"/>
      <c r="Q50" s="18"/>
      <c r="R50" s="18"/>
      <c r="S50" s="18" t="s">
        <v>38</v>
      </c>
      <c r="T50" s="18" t="s">
        <v>43</v>
      </c>
      <c r="U50" s="18" t="s">
        <v>40</v>
      </c>
      <c r="V50" s="18">
        <v>165000</v>
      </c>
      <c r="W50" s="18">
        <v>1.2</v>
      </c>
      <c r="X50" s="18">
        <v>2800</v>
      </c>
      <c r="Y50" s="18">
        <v>40</v>
      </c>
      <c r="Z50" s="18">
        <v>127</v>
      </c>
      <c r="AA50" s="20">
        <f t="shared" si="9"/>
        <v>169.74</v>
      </c>
      <c r="AB50" s="18">
        <v>90</v>
      </c>
      <c r="AC50" s="18">
        <f t="shared" si="3"/>
        <v>45</v>
      </c>
      <c r="AD50" s="22">
        <v>63.9</v>
      </c>
      <c r="AE50" s="22">
        <v>21</v>
      </c>
      <c r="AF50">
        <f t="shared" si="2"/>
        <v>1.6969696969696971E-2</v>
      </c>
    </row>
    <row r="51" spans="1:32" x14ac:dyDescent="0.25">
      <c r="A51" s="2">
        <f t="shared" si="1"/>
        <v>48</v>
      </c>
      <c r="B51" s="32"/>
      <c r="C51" s="17" t="s">
        <v>100</v>
      </c>
      <c r="D51" s="17">
        <v>21</v>
      </c>
      <c r="E51" s="17">
        <v>250</v>
      </c>
      <c r="F51" s="17">
        <v>450</v>
      </c>
      <c r="G51" s="17">
        <v>410</v>
      </c>
      <c r="H51" s="17">
        <v>450</v>
      </c>
      <c r="I51" s="17">
        <v>0</v>
      </c>
      <c r="J51" s="17" t="s">
        <v>36</v>
      </c>
      <c r="K51" s="17">
        <v>1400</v>
      </c>
      <c r="L51" s="25">
        <f t="shared" si="10"/>
        <v>3.4146341463414633</v>
      </c>
      <c r="M51" s="17" t="s">
        <v>18</v>
      </c>
      <c r="N51" s="17">
        <v>8</v>
      </c>
      <c r="O51" s="17">
        <v>200</v>
      </c>
      <c r="P51" s="17">
        <v>210000</v>
      </c>
      <c r="Q51" s="17">
        <v>476</v>
      </c>
      <c r="R51" s="17">
        <f t="shared" ref="R51:R64" si="11">100*2*3.1416*N51^2/4/O51/E51</f>
        <v>0.20106239999999997</v>
      </c>
      <c r="S51" s="17" t="s">
        <v>38</v>
      </c>
      <c r="T51" s="17" t="s">
        <v>39</v>
      </c>
      <c r="U51" s="18" t="s">
        <v>40</v>
      </c>
      <c r="V51" s="17">
        <v>392000</v>
      </c>
      <c r="W51" s="17">
        <v>0.191</v>
      </c>
      <c r="X51" s="17">
        <v>2600</v>
      </c>
      <c r="Y51" s="17">
        <v>1</v>
      </c>
      <c r="Z51" s="17">
        <v>1</v>
      </c>
      <c r="AA51" s="17">
        <f t="shared" si="9"/>
        <v>369</v>
      </c>
      <c r="AB51" s="17">
        <v>90</v>
      </c>
      <c r="AC51" s="17">
        <f t="shared" si="3"/>
        <v>45</v>
      </c>
      <c r="AD51" s="17">
        <v>240</v>
      </c>
      <c r="AE51" s="17">
        <v>25</v>
      </c>
      <c r="AF51">
        <f t="shared" si="2"/>
        <v>6.6326530612244895E-3</v>
      </c>
    </row>
    <row r="52" spans="1:32" x14ac:dyDescent="0.25">
      <c r="A52" s="2">
        <f t="shared" si="1"/>
        <v>49</v>
      </c>
      <c r="B52" s="32" t="s">
        <v>101</v>
      </c>
      <c r="C52" s="2" t="s">
        <v>102</v>
      </c>
      <c r="D52" s="18">
        <v>21</v>
      </c>
      <c r="E52" s="18">
        <v>250</v>
      </c>
      <c r="F52" s="18">
        <v>450</v>
      </c>
      <c r="G52" s="18">
        <v>410</v>
      </c>
      <c r="H52" s="18">
        <v>450</v>
      </c>
      <c r="I52" s="18">
        <v>0</v>
      </c>
      <c r="J52" s="18" t="s">
        <v>36</v>
      </c>
      <c r="K52" s="18">
        <v>1400</v>
      </c>
      <c r="L52" s="19">
        <f t="shared" si="10"/>
        <v>3.4146341463414633</v>
      </c>
      <c r="M52" s="18" t="s">
        <v>18</v>
      </c>
      <c r="N52" s="18">
        <v>8</v>
      </c>
      <c r="O52" s="18">
        <v>300</v>
      </c>
      <c r="P52" s="18">
        <v>210000</v>
      </c>
      <c r="Q52" s="18">
        <v>476</v>
      </c>
      <c r="R52" s="18">
        <f t="shared" si="11"/>
        <v>0.13404159999999998</v>
      </c>
      <c r="S52" s="18" t="s">
        <v>38</v>
      </c>
      <c r="T52" s="18" t="s">
        <v>39</v>
      </c>
      <c r="U52" s="18" t="s">
        <v>40</v>
      </c>
      <c r="V52" s="18">
        <v>392000</v>
      </c>
      <c r="W52" s="18">
        <v>0.191</v>
      </c>
      <c r="X52" s="18">
        <v>2600</v>
      </c>
      <c r="Y52" s="18">
        <v>1</v>
      </c>
      <c r="Z52" s="18">
        <v>1</v>
      </c>
      <c r="AA52" s="20">
        <f t="shared" si="9"/>
        <v>369</v>
      </c>
      <c r="AB52" s="18">
        <v>90</v>
      </c>
      <c r="AC52" s="18">
        <f t="shared" si="3"/>
        <v>45</v>
      </c>
      <c r="AD52" s="22">
        <v>205</v>
      </c>
      <c r="AE52" s="22">
        <v>45</v>
      </c>
      <c r="AF52">
        <f t="shared" si="2"/>
        <v>6.6326530612244895E-3</v>
      </c>
    </row>
    <row r="53" spans="1:32" x14ac:dyDescent="0.25">
      <c r="A53" s="2">
        <f t="shared" si="1"/>
        <v>50</v>
      </c>
      <c r="B53" s="32"/>
      <c r="C53" s="2" t="s">
        <v>103</v>
      </c>
      <c r="D53" s="18">
        <v>21</v>
      </c>
      <c r="E53" s="18">
        <v>250</v>
      </c>
      <c r="F53" s="18">
        <v>450</v>
      </c>
      <c r="G53" s="18">
        <v>410</v>
      </c>
      <c r="H53" s="18">
        <v>450</v>
      </c>
      <c r="I53" s="18">
        <v>0</v>
      </c>
      <c r="J53" s="18" t="s">
        <v>36</v>
      </c>
      <c r="K53" s="18">
        <v>1400</v>
      </c>
      <c r="L53" s="19">
        <f t="shared" si="10"/>
        <v>3.4146341463414633</v>
      </c>
      <c r="M53" s="18" t="s">
        <v>18</v>
      </c>
      <c r="N53" s="18">
        <v>8</v>
      </c>
      <c r="O53" s="18">
        <v>300</v>
      </c>
      <c r="P53" s="18">
        <v>210000</v>
      </c>
      <c r="Q53" s="18">
        <v>476</v>
      </c>
      <c r="R53" s="18">
        <f t="shared" si="11"/>
        <v>0.13404159999999998</v>
      </c>
      <c r="S53" s="18" t="s">
        <v>38</v>
      </c>
      <c r="T53" s="18" t="s">
        <v>39</v>
      </c>
      <c r="U53" s="18" t="s">
        <v>40</v>
      </c>
      <c r="V53" s="18">
        <v>392000</v>
      </c>
      <c r="W53" s="18">
        <v>0.191</v>
      </c>
      <c r="X53" s="18">
        <v>2600</v>
      </c>
      <c r="Y53" s="18">
        <v>1</v>
      </c>
      <c r="Z53" s="18">
        <v>1</v>
      </c>
      <c r="AA53" s="20">
        <f t="shared" si="9"/>
        <v>369</v>
      </c>
      <c r="AB53" s="18">
        <v>90</v>
      </c>
      <c r="AC53" s="18">
        <f t="shared" si="3"/>
        <v>45</v>
      </c>
      <c r="AD53" s="22">
        <v>220</v>
      </c>
      <c r="AE53" s="22">
        <v>60</v>
      </c>
      <c r="AF53">
        <f t="shared" si="2"/>
        <v>6.6326530612244895E-3</v>
      </c>
    </row>
    <row r="54" spans="1:32" x14ac:dyDescent="0.25">
      <c r="A54" s="2">
        <f t="shared" si="1"/>
        <v>51</v>
      </c>
      <c r="B54" s="32"/>
      <c r="C54" s="2" t="s">
        <v>104</v>
      </c>
      <c r="D54" s="18">
        <v>21</v>
      </c>
      <c r="E54" s="18">
        <v>250</v>
      </c>
      <c r="F54" s="18">
        <v>450</v>
      </c>
      <c r="G54" s="18">
        <v>410</v>
      </c>
      <c r="H54" s="18">
        <v>450</v>
      </c>
      <c r="I54" s="18">
        <v>0</v>
      </c>
      <c r="J54" s="18" t="s">
        <v>36</v>
      </c>
      <c r="K54" s="18">
        <v>1400</v>
      </c>
      <c r="L54" s="19">
        <f t="shared" si="10"/>
        <v>3.4146341463414633</v>
      </c>
      <c r="M54" s="18" t="s">
        <v>18</v>
      </c>
      <c r="N54" s="18">
        <v>8</v>
      </c>
      <c r="O54" s="18">
        <v>400</v>
      </c>
      <c r="P54" s="18">
        <v>210000</v>
      </c>
      <c r="Q54" s="18">
        <v>476</v>
      </c>
      <c r="R54" s="18">
        <f t="shared" si="11"/>
        <v>0.10053119999999999</v>
      </c>
      <c r="S54" s="18" t="s">
        <v>38</v>
      </c>
      <c r="T54" s="18" t="s">
        <v>39</v>
      </c>
      <c r="U54" s="18" t="s">
        <v>40</v>
      </c>
      <c r="V54" s="18">
        <v>392000</v>
      </c>
      <c r="W54" s="18">
        <v>0.191</v>
      </c>
      <c r="X54" s="18">
        <v>2600</v>
      </c>
      <c r="Y54" s="18">
        <v>1</v>
      </c>
      <c r="Z54" s="18">
        <v>1</v>
      </c>
      <c r="AA54" s="20">
        <f t="shared" si="9"/>
        <v>369</v>
      </c>
      <c r="AB54" s="18">
        <v>90</v>
      </c>
      <c r="AC54" s="18">
        <f t="shared" si="3"/>
        <v>45</v>
      </c>
      <c r="AD54" s="22">
        <v>180</v>
      </c>
      <c r="AE54" s="22">
        <v>55</v>
      </c>
      <c r="AF54">
        <f t="shared" si="2"/>
        <v>6.6326530612244895E-3</v>
      </c>
    </row>
    <row r="55" spans="1:32" x14ac:dyDescent="0.25">
      <c r="A55" s="16">
        <f t="shared" si="1"/>
        <v>52</v>
      </c>
      <c r="B55" s="33"/>
      <c r="C55" s="17" t="s">
        <v>105</v>
      </c>
      <c r="D55" s="17">
        <v>29.11</v>
      </c>
      <c r="E55" s="17">
        <v>100</v>
      </c>
      <c r="F55" s="17">
        <v>150</v>
      </c>
      <c r="G55" s="17">
        <v>120</v>
      </c>
      <c r="H55" s="17">
        <v>150</v>
      </c>
      <c r="I55" s="17">
        <v>0</v>
      </c>
      <c r="J55" s="17" t="s">
        <v>36</v>
      </c>
      <c r="K55" s="17">
        <v>330</v>
      </c>
      <c r="L55" s="17">
        <f t="shared" si="10"/>
        <v>2.75</v>
      </c>
      <c r="M55" s="17" t="s">
        <v>52</v>
      </c>
      <c r="N55" s="17">
        <v>6</v>
      </c>
      <c r="O55" s="17">
        <v>150</v>
      </c>
      <c r="P55" s="17">
        <v>200000</v>
      </c>
      <c r="Q55" s="17">
        <v>240</v>
      </c>
      <c r="R55" s="17">
        <f t="shared" si="11"/>
        <v>0.37699199999999999</v>
      </c>
      <c r="S55" s="17" t="s">
        <v>106</v>
      </c>
      <c r="T55" s="17" t="s">
        <v>43</v>
      </c>
      <c r="U55" s="18" t="s">
        <v>40</v>
      </c>
      <c r="V55" s="17">
        <v>73000</v>
      </c>
      <c r="W55" s="17">
        <v>1</v>
      </c>
      <c r="X55" s="17">
        <v>3400</v>
      </c>
      <c r="Y55" s="17">
        <v>20</v>
      </c>
      <c r="Z55" s="17">
        <v>45</v>
      </c>
      <c r="AA55" s="17">
        <f t="shared" si="9"/>
        <v>108</v>
      </c>
      <c r="AB55" s="17">
        <v>90</v>
      </c>
      <c r="AC55" s="17">
        <f t="shared" si="3"/>
        <v>45</v>
      </c>
      <c r="AD55" s="17">
        <v>24.5</v>
      </c>
      <c r="AE55" s="17">
        <v>3.5</v>
      </c>
      <c r="AF55">
        <f t="shared" si="2"/>
        <v>4.6575342465753428E-2</v>
      </c>
    </row>
    <row r="56" spans="1:32" x14ac:dyDescent="0.25">
      <c r="A56" s="16">
        <f t="shared" si="1"/>
        <v>53</v>
      </c>
      <c r="B56" s="33" t="s">
        <v>107</v>
      </c>
      <c r="C56" s="17" t="s">
        <v>108</v>
      </c>
      <c r="D56" s="18">
        <v>29.11</v>
      </c>
      <c r="E56" s="18">
        <v>100</v>
      </c>
      <c r="F56" s="18">
        <v>150</v>
      </c>
      <c r="G56" s="18">
        <v>120</v>
      </c>
      <c r="H56" s="18">
        <v>150</v>
      </c>
      <c r="I56" s="18">
        <v>0</v>
      </c>
      <c r="J56" s="18" t="s">
        <v>36</v>
      </c>
      <c r="K56" s="18">
        <v>330</v>
      </c>
      <c r="L56" s="18">
        <f t="shared" si="10"/>
        <v>2.75</v>
      </c>
      <c r="M56" s="18" t="s">
        <v>37</v>
      </c>
      <c r="N56" s="18">
        <v>0</v>
      </c>
      <c r="O56" s="18"/>
      <c r="P56" s="18"/>
      <c r="Q56" s="18"/>
      <c r="R56" s="18"/>
      <c r="S56" s="18" t="s">
        <v>106</v>
      </c>
      <c r="T56" s="18" t="s">
        <v>43</v>
      </c>
      <c r="U56" s="18" t="s">
        <v>40</v>
      </c>
      <c r="V56" s="18">
        <v>73000</v>
      </c>
      <c r="W56" s="18">
        <v>1</v>
      </c>
      <c r="X56" s="18">
        <v>3400</v>
      </c>
      <c r="Y56" s="18">
        <v>40</v>
      </c>
      <c r="Z56" s="18">
        <v>45</v>
      </c>
      <c r="AA56" s="20">
        <f t="shared" si="9"/>
        <v>108</v>
      </c>
      <c r="AB56" s="18">
        <v>90</v>
      </c>
      <c r="AC56" s="18">
        <f t="shared" si="3"/>
        <v>45</v>
      </c>
      <c r="AD56" s="22">
        <v>29.5</v>
      </c>
      <c r="AE56" s="22">
        <v>13.5</v>
      </c>
      <c r="AF56">
        <f t="shared" si="2"/>
        <v>4.6575342465753428E-2</v>
      </c>
    </row>
    <row r="57" spans="1:32" x14ac:dyDescent="0.25">
      <c r="A57" s="26">
        <f t="shared" si="1"/>
        <v>54</v>
      </c>
      <c r="B57" s="32"/>
      <c r="C57" s="2" t="s">
        <v>109</v>
      </c>
      <c r="D57" s="18">
        <v>34.700000000000003</v>
      </c>
      <c r="E57" s="18">
        <v>250</v>
      </c>
      <c r="F57" s="18">
        <v>250</v>
      </c>
      <c r="G57" s="18">
        <v>220</v>
      </c>
      <c r="H57" s="18">
        <v>250</v>
      </c>
      <c r="I57" s="18">
        <v>0</v>
      </c>
      <c r="J57" s="18" t="s">
        <v>36</v>
      </c>
      <c r="K57" s="18">
        <f>L57*G57</f>
        <v>374</v>
      </c>
      <c r="L57" s="18">
        <v>1.7</v>
      </c>
      <c r="M57" s="18" t="s">
        <v>37</v>
      </c>
      <c r="N57" s="18">
        <v>0</v>
      </c>
      <c r="O57" s="31"/>
      <c r="P57" s="31"/>
      <c r="Q57" s="31"/>
      <c r="R57" s="18"/>
      <c r="S57" s="18" t="s">
        <v>38</v>
      </c>
      <c r="T57" s="18" t="s">
        <v>43</v>
      </c>
      <c r="U57" s="18" t="s">
        <v>40</v>
      </c>
      <c r="V57" s="18">
        <v>158000</v>
      </c>
      <c r="W57" s="18">
        <v>1.2</v>
      </c>
      <c r="X57" s="18">
        <v>3160</v>
      </c>
      <c r="Y57" s="18">
        <v>50</v>
      </c>
      <c r="Z57" s="18">
        <v>100</v>
      </c>
      <c r="AA57" s="20">
        <f t="shared" si="9"/>
        <v>198</v>
      </c>
      <c r="AB57" s="18">
        <v>45</v>
      </c>
      <c r="AC57" s="18">
        <f t="shared" si="3"/>
        <v>45</v>
      </c>
      <c r="AD57" s="22">
        <v>178</v>
      </c>
      <c r="AE57" s="22">
        <f>AD57-105</f>
        <v>73</v>
      </c>
      <c r="AF57">
        <f t="shared" si="2"/>
        <v>0.02</v>
      </c>
    </row>
    <row r="58" spans="1:32" x14ac:dyDescent="0.25">
      <c r="A58" s="26">
        <f t="shared" si="1"/>
        <v>55</v>
      </c>
      <c r="B58" s="32" t="s">
        <v>110</v>
      </c>
      <c r="C58" s="2" t="s">
        <v>111</v>
      </c>
      <c r="D58" s="18">
        <v>34.700000000000003</v>
      </c>
      <c r="E58" s="18">
        <v>250</v>
      </c>
      <c r="F58" s="18">
        <v>250</v>
      </c>
      <c r="G58" s="18">
        <v>220</v>
      </c>
      <c r="H58" s="18">
        <v>250</v>
      </c>
      <c r="I58" s="18">
        <v>0</v>
      </c>
      <c r="J58" s="18" t="s">
        <v>36</v>
      </c>
      <c r="K58" s="18">
        <f>L58*G58</f>
        <v>484.00000000000006</v>
      </c>
      <c r="L58" s="18">
        <v>2.2000000000000002</v>
      </c>
      <c r="M58" s="18" t="s">
        <v>37</v>
      </c>
      <c r="N58" s="18">
        <v>0</v>
      </c>
      <c r="O58" s="31"/>
      <c r="P58" s="31"/>
      <c r="Q58" s="31"/>
      <c r="R58" s="18"/>
      <c r="S58" s="18" t="s">
        <v>38</v>
      </c>
      <c r="T58" s="18" t="s">
        <v>43</v>
      </c>
      <c r="U58" s="18" t="s">
        <v>40</v>
      </c>
      <c r="V58" s="18">
        <v>158000</v>
      </c>
      <c r="W58" s="18">
        <v>1.2</v>
      </c>
      <c r="X58" s="18">
        <v>3160</v>
      </c>
      <c r="Y58" s="18">
        <v>50</v>
      </c>
      <c r="Z58" s="18">
        <v>100</v>
      </c>
      <c r="AA58" s="20">
        <f t="shared" si="9"/>
        <v>198</v>
      </c>
      <c r="AB58" s="18">
        <v>90</v>
      </c>
      <c r="AC58" s="18">
        <f t="shared" si="3"/>
        <v>45</v>
      </c>
      <c r="AD58" s="22">
        <v>95.5</v>
      </c>
      <c r="AE58" s="22">
        <f>AD58-62.5</f>
        <v>33</v>
      </c>
      <c r="AF58">
        <f t="shared" si="2"/>
        <v>0.02</v>
      </c>
    </row>
    <row r="59" spans="1:32" x14ac:dyDescent="0.25">
      <c r="A59" s="26">
        <f t="shared" si="1"/>
        <v>56</v>
      </c>
      <c r="B59" s="33" t="s">
        <v>112</v>
      </c>
      <c r="C59" s="17" t="s">
        <v>113</v>
      </c>
      <c r="D59" s="17">
        <v>13.3</v>
      </c>
      <c r="E59" s="17">
        <v>250</v>
      </c>
      <c r="F59" s="17">
        <v>450</v>
      </c>
      <c r="G59" s="17">
        <v>400</v>
      </c>
      <c r="H59" s="17">
        <v>450</v>
      </c>
      <c r="I59" s="17">
        <v>150</v>
      </c>
      <c r="J59" s="17" t="s">
        <v>36</v>
      </c>
      <c r="K59" s="17">
        <v>1400</v>
      </c>
      <c r="L59" s="17">
        <v>2.2000000000000002</v>
      </c>
      <c r="M59" s="17" t="s">
        <v>18</v>
      </c>
      <c r="N59" s="17">
        <v>8</v>
      </c>
      <c r="O59" s="17">
        <v>400</v>
      </c>
      <c r="P59" s="17">
        <v>200000</v>
      </c>
      <c r="Q59" s="17">
        <v>500</v>
      </c>
      <c r="R59" s="17">
        <f t="shared" si="11"/>
        <v>0.10053119999999999</v>
      </c>
      <c r="S59" s="17" t="s">
        <v>38</v>
      </c>
      <c r="T59" s="17" t="s">
        <v>39</v>
      </c>
      <c r="U59" s="18" t="s">
        <v>40</v>
      </c>
      <c r="V59" s="17">
        <v>390000</v>
      </c>
      <c r="W59" s="17">
        <v>0.22</v>
      </c>
      <c r="X59" s="17">
        <v>3000</v>
      </c>
      <c r="Y59" s="17">
        <v>1</v>
      </c>
      <c r="Z59" s="17">
        <v>1</v>
      </c>
      <c r="AA59" s="17">
        <f t="shared" si="9"/>
        <v>210</v>
      </c>
      <c r="AB59" s="17">
        <v>90</v>
      </c>
      <c r="AC59" s="17">
        <f t="shared" si="3"/>
        <v>45</v>
      </c>
      <c r="AD59" s="17">
        <v>112.5</v>
      </c>
      <c r="AE59" s="17">
        <v>14.5</v>
      </c>
      <c r="AF59">
        <f t="shared" si="2"/>
        <v>7.6923076923076927E-3</v>
      </c>
    </row>
    <row r="60" spans="1:32" x14ac:dyDescent="0.25">
      <c r="A60" s="26">
        <f t="shared" si="1"/>
        <v>57</v>
      </c>
      <c r="B60" s="32"/>
      <c r="C60" s="18" t="s">
        <v>114</v>
      </c>
      <c r="D60" s="2">
        <f>59*0.79</f>
        <v>46.61</v>
      </c>
      <c r="E60" s="18">
        <v>180</v>
      </c>
      <c r="F60" s="18">
        <v>500</v>
      </c>
      <c r="G60" s="18">
        <f>F60-65</f>
        <v>435</v>
      </c>
      <c r="H60" s="18">
        <v>500</v>
      </c>
      <c r="I60" s="18">
        <v>0</v>
      </c>
      <c r="J60" s="18" t="s">
        <v>36</v>
      </c>
      <c r="K60" s="18">
        <v>1250</v>
      </c>
      <c r="L60" s="18">
        <v>2.2000000000000002</v>
      </c>
      <c r="M60" s="18" t="s">
        <v>37</v>
      </c>
      <c r="N60" s="18">
        <v>0</v>
      </c>
      <c r="O60" s="18"/>
      <c r="P60" s="18"/>
      <c r="Q60" s="18"/>
      <c r="R60" s="18"/>
      <c r="S60" s="18" t="s">
        <v>38</v>
      </c>
      <c r="T60" s="18" t="s">
        <v>39</v>
      </c>
      <c r="U60" s="18" t="s">
        <v>40</v>
      </c>
      <c r="V60" s="18">
        <v>234000</v>
      </c>
      <c r="W60" s="17">
        <v>0.11</v>
      </c>
      <c r="X60" s="18">
        <v>4500</v>
      </c>
      <c r="Y60" s="18">
        <v>1</v>
      </c>
      <c r="Z60" s="18">
        <v>1</v>
      </c>
      <c r="AA60" s="20">
        <f t="shared" si="9"/>
        <v>391.5</v>
      </c>
      <c r="AB60" s="18">
        <v>90</v>
      </c>
      <c r="AC60" s="18">
        <f t="shared" si="3"/>
        <v>45</v>
      </c>
      <c r="AD60" s="22">
        <v>256</v>
      </c>
      <c r="AE60" s="22">
        <f>AD60-122</f>
        <v>134</v>
      </c>
      <c r="AF60">
        <f t="shared" si="2"/>
        <v>1.9230769230769232E-2</v>
      </c>
    </row>
    <row r="61" spans="1:32" x14ac:dyDescent="0.25">
      <c r="A61" s="26">
        <f t="shared" si="1"/>
        <v>58</v>
      </c>
      <c r="B61" s="32"/>
      <c r="C61" s="18" t="s">
        <v>115</v>
      </c>
      <c r="D61" s="2">
        <f>52*0.79</f>
        <v>41.08</v>
      </c>
      <c r="E61" s="18">
        <v>180</v>
      </c>
      <c r="F61" s="18">
        <v>500</v>
      </c>
      <c r="G61" s="18">
        <f>F61-65</f>
        <v>435</v>
      </c>
      <c r="H61" s="18">
        <v>500</v>
      </c>
      <c r="I61" s="18">
        <v>0</v>
      </c>
      <c r="J61" s="18" t="s">
        <v>36</v>
      </c>
      <c r="K61" s="18">
        <v>1250</v>
      </c>
      <c r="L61" s="18">
        <v>2.2000000000000002</v>
      </c>
      <c r="M61" s="18" t="s">
        <v>37</v>
      </c>
      <c r="N61" s="18">
        <v>0</v>
      </c>
      <c r="O61" s="18"/>
      <c r="P61" s="18"/>
      <c r="Q61" s="18"/>
      <c r="R61" s="18"/>
      <c r="S61" s="18" t="s">
        <v>38</v>
      </c>
      <c r="T61" s="18" t="s">
        <v>39</v>
      </c>
      <c r="U61" s="18" t="s">
        <v>40</v>
      </c>
      <c r="V61" s="18">
        <v>234000</v>
      </c>
      <c r="W61" s="17">
        <v>0.11</v>
      </c>
      <c r="X61" s="18">
        <v>4500</v>
      </c>
      <c r="Y61" s="18">
        <v>1</v>
      </c>
      <c r="Z61" s="18">
        <v>1</v>
      </c>
      <c r="AA61" s="20">
        <f t="shared" si="9"/>
        <v>391.5</v>
      </c>
      <c r="AB61" s="18">
        <v>90</v>
      </c>
      <c r="AC61" s="18">
        <f t="shared" si="3"/>
        <v>45</v>
      </c>
      <c r="AD61" s="22">
        <v>298</v>
      </c>
      <c r="AE61" s="22">
        <f>AD61-117</f>
        <v>181</v>
      </c>
      <c r="AF61">
        <f t="shared" si="2"/>
        <v>1.9230769230769232E-2</v>
      </c>
    </row>
    <row r="62" spans="1:32" x14ac:dyDescent="0.25">
      <c r="A62" s="26">
        <f t="shared" si="1"/>
        <v>59</v>
      </c>
      <c r="B62" s="32" t="s">
        <v>116</v>
      </c>
      <c r="C62" s="18">
        <v>345</v>
      </c>
      <c r="D62" s="2">
        <f>71*0.79</f>
        <v>56.09</v>
      </c>
      <c r="E62" s="18">
        <v>180</v>
      </c>
      <c r="F62" s="18">
        <v>500</v>
      </c>
      <c r="G62" s="18">
        <f>F62-65</f>
        <v>435</v>
      </c>
      <c r="H62" s="18">
        <v>500</v>
      </c>
      <c r="I62" s="18">
        <v>0</v>
      </c>
      <c r="J62" s="18" t="s">
        <v>36</v>
      </c>
      <c r="K62" s="18">
        <v>1250</v>
      </c>
      <c r="L62" s="18">
        <v>2.2000000000000002</v>
      </c>
      <c r="M62" s="18" t="s">
        <v>37</v>
      </c>
      <c r="N62" s="2">
        <v>0</v>
      </c>
      <c r="O62" s="2"/>
      <c r="P62" s="2"/>
      <c r="Q62" s="2"/>
      <c r="R62" s="18"/>
      <c r="S62" s="18" t="s">
        <v>38</v>
      </c>
      <c r="T62" s="18" t="s">
        <v>39</v>
      </c>
      <c r="U62" s="18" t="s">
        <v>40</v>
      </c>
      <c r="V62" s="18">
        <v>234000</v>
      </c>
      <c r="W62" s="17">
        <v>0.17</v>
      </c>
      <c r="X62" s="18">
        <v>4500</v>
      </c>
      <c r="Y62" s="2">
        <v>1</v>
      </c>
      <c r="Z62" s="2">
        <f>SQRT(2)</f>
        <v>1.4142135623730951</v>
      </c>
      <c r="AA62" s="20">
        <f t="shared" si="9"/>
        <v>391.5</v>
      </c>
      <c r="AB62" s="2">
        <v>45</v>
      </c>
      <c r="AC62" s="18">
        <f t="shared" si="3"/>
        <v>45</v>
      </c>
      <c r="AD62" s="22">
        <v>334</v>
      </c>
      <c r="AE62" s="22">
        <f>AD62-130</f>
        <v>204</v>
      </c>
      <c r="AF62">
        <f t="shared" si="2"/>
        <v>1.9230769230769232E-2</v>
      </c>
    </row>
    <row r="63" spans="1:32" x14ac:dyDescent="0.25">
      <c r="A63" s="26">
        <f t="shared" si="1"/>
        <v>60</v>
      </c>
      <c r="B63" s="32"/>
      <c r="C63" s="18">
        <v>290</v>
      </c>
      <c r="D63" s="2">
        <f>46*0.79</f>
        <v>36.340000000000003</v>
      </c>
      <c r="E63" s="18">
        <v>180</v>
      </c>
      <c r="F63" s="2">
        <v>400</v>
      </c>
      <c r="G63" s="18">
        <f>F63-65</f>
        <v>335</v>
      </c>
      <c r="H63" s="2">
        <v>400</v>
      </c>
      <c r="I63" s="18">
        <v>0</v>
      </c>
      <c r="J63" s="18" t="s">
        <v>36</v>
      </c>
      <c r="K63" s="2">
        <v>1000</v>
      </c>
      <c r="L63" s="18">
        <v>2.2000000000000002</v>
      </c>
      <c r="M63" s="2" t="s">
        <v>18</v>
      </c>
      <c r="N63" s="2">
        <v>6</v>
      </c>
      <c r="O63" s="2">
        <v>200</v>
      </c>
      <c r="P63" s="2">
        <v>210000</v>
      </c>
      <c r="Q63" s="2">
        <v>515</v>
      </c>
      <c r="R63" s="18">
        <f t="shared" si="11"/>
        <v>0.15707999999999997</v>
      </c>
      <c r="S63" s="18" t="s">
        <v>38</v>
      </c>
      <c r="T63" s="18" t="s">
        <v>39</v>
      </c>
      <c r="U63" s="18" t="s">
        <v>40</v>
      </c>
      <c r="V63" s="18">
        <v>234000</v>
      </c>
      <c r="W63" s="17">
        <v>0.11</v>
      </c>
      <c r="X63" s="18">
        <v>4500</v>
      </c>
      <c r="Y63" s="2">
        <v>1</v>
      </c>
      <c r="Z63" s="2">
        <v>1</v>
      </c>
      <c r="AA63" s="20">
        <f t="shared" si="9"/>
        <v>301.5</v>
      </c>
      <c r="AB63" s="2">
        <v>90</v>
      </c>
      <c r="AC63" s="18">
        <f t="shared" si="3"/>
        <v>45</v>
      </c>
      <c r="AD63" s="22">
        <v>298</v>
      </c>
      <c r="AE63" s="22">
        <f>AD63-237</f>
        <v>61</v>
      </c>
      <c r="AF63">
        <f t="shared" si="2"/>
        <v>1.9230769230769232E-2</v>
      </c>
    </row>
    <row r="64" spans="1:32" x14ac:dyDescent="0.25">
      <c r="A64" s="26">
        <f t="shared" si="1"/>
        <v>61</v>
      </c>
      <c r="B64" s="32"/>
      <c r="C64" s="18">
        <v>390</v>
      </c>
      <c r="D64" s="2">
        <f>46*0.79</f>
        <v>36.340000000000003</v>
      </c>
      <c r="E64" s="18">
        <v>180</v>
      </c>
      <c r="F64" s="2">
        <v>400</v>
      </c>
      <c r="G64" s="18">
        <f>F64-65</f>
        <v>335</v>
      </c>
      <c r="H64" s="2">
        <v>400</v>
      </c>
      <c r="I64" s="18">
        <v>0</v>
      </c>
      <c r="J64" s="18" t="s">
        <v>36</v>
      </c>
      <c r="K64" s="2">
        <v>1000</v>
      </c>
      <c r="L64" s="18">
        <v>2.2000000000000002</v>
      </c>
      <c r="M64" s="2" t="s">
        <v>18</v>
      </c>
      <c r="N64" s="2">
        <v>6</v>
      </c>
      <c r="O64" s="2">
        <v>200</v>
      </c>
      <c r="P64" s="2">
        <v>210000</v>
      </c>
      <c r="Q64" s="2">
        <v>515</v>
      </c>
      <c r="R64" s="18">
        <f t="shared" si="11"/>
        <v>0.15707999999999997</v>
      </c>
      <c r="S64" s="18" t="s">
        <v>38</v>
      </c>
      <c r="T64" s="18" t="s">
        <v>39</v>
      </c>
      <c r="U64" s="18" t="s">
        <v>40</v>
      </c>
      <c r="V64" s="18">
        <v>234000</v>
      </c>
      <c r="W64" s="17">
        <v>0.17</v>
      </c>
      <c r="X64" s="18">
        <v>4500</v>
      </c>
      <c r="Y64" s="2">
        <v>1</v>
      </c>
      <c r="Z64" s="2">
        <v>1</v>
      </c>
      <c r="AA64" s="20">
        <f t="shared" si="9"/>
        <v>301.5</v>
      </c>
      <c r="AB64" s="2">
        <v>90</v>
      </c>
      <c r="AC64" s="18">
        <f t="shared" si="3"/>
        <v>45</v>
      </c>
      <c r="AD64" s="22">
        <v>298</v>
      </c>
      <c r="AE64" s="22">
        <f>AD64-237</f>
        <v>61</v>
      </c>
      <c r="AF64">
        <f t="shared" si="2"/>
        <v>1.9230769230769232E-2</v>
      </c>
    </row>
    <row r="65" spans="1:32" x14ac:dyDescent="0.25">
      <c r="A65" s="26">
        <f t="shared" si="1"/>
        <v>62</v>
      </c>
      <c r="B65" s="20"/>
      <c r="C65" s="20" t="s">
        <v>117</v>
      </c>
      <c r="D65" s="20">
        <v>32.799999999999997</v>
      </c>
      <c r="E65" s="20">
        <v>150</v>
      </c>
      <c r="F65" s="20">
        <v>300</v>
      </c>
      <c r="G65" s="20">
        <v>261</v>
      </c>
      <c r="H65" s="20">
        <v>300</v>
      </c>
      <c r="I65" s="20">
        <v>0</v>
      </c>
      <c r="J65" s="20" t="s">
        <v>36</v>
      </c>
      <c r="K65" s="20">
        <v>740</v>
      </c>
      <c r="L65" s="34">
        <f t="shared" ref="L65:L105" si="12">K65/G65</f>
        <v>2.8352490421455938</v>
      </c>
      <c r="M65" s="20" t="s">
        <v>37</v>
      </c>
      <c r="N65" s="20">
        <v>0</v>
      </c>
      <c r="O65" s="20"/>
      <c r="P65" s="20"/>
      <c r="Q65" s="20"/>
      <c r="R65" s="5"/>
      <c r="S65" s="20" t="s">
        <v>38</v>
      </c>
      <c r="T65" s="20" t="s">
        <v>43</v>
      </c>
      <c r="U65" s="18" t="s">
        <v>40</v>
      </c>
      <c r="V65" s="20">
        <v>230000</v>
      </c>
      <c r="W65" s="20">
        <v>0.111</v>
      </c>
      <c r="X65" s="20">
        <v>3400</v>
      </c>
      <c r="Y65" s="20">
        <v>50</v>
      </c>
      <c r="Z65" s="20">
        <v>100</v>
      </c>
      <c r="AA65" s="20">
        <f t="shared" si="9"/>
        <v>234.9</v>
      </c>
      <c r="AB65" s="20">
        <v>90</v>
      </c>
      <c r="AC65" s="18">
        <f t="shared" si="3"/>
        <v>45</v>
      </c>
      <c r="AD65" s="20">
        <f>196.24/2</f>
        <v>98.12</v>
      </c>
      <c r="AE65" s="35">
        <v>82.4</v>
      </c>
      <c r="AF65">
        <f t="shared" si="2"/>
        <v>1.4782608695652174E-2</v>
      </c>
    </row>
    <row r="66" spans="1:32" x14ac:dyDescent="0.25">
      <c r="A66" s="26">
        <f t="shared" si="1"/>
        <v>63</v>
      </c>
      <c r="B66" s="20"/>
      <c r="C66" s="18" t="s">
        <v>118</v>
      </c>
      <c r="D66" s="18">
        <v>32.799999999999997</v>
      </c>
      <c r="E66" s="18">
        <v>150</v>
      </c>
      <c r="F66" s="18">
        <v>300</v>
      </c>
      <c r="G66" s="18">
        <v>261</v>
      </c>
      <c r="H66" s="18">
        <v>300</v>
      </c>
      <c r="I66" s="18">
        <v>0</v>
      </c>
      <c r="J66" s="18" t="s">
        <v>36</v>
      </c>
      <c r="K66" s="18">
        <v>740</v>
      </c>
      <c r="L66" s="19">
        <f t="shared" si="12"/>
        <v>2.8352490421455938</v>
      </c>
      <c r="M66" s="18" t="s">
        <v>37</v>
      </c>
      <c r="N66" s="18">
        <v>0</v>
      </c>
      <c r="O66" s="18"/>
      <c r="P66" s="18"/>
      <c r="Q66" s="18"/>
      <c r="S66" s="18" t="s">
        <v>38</v>
      </c>
      <c r="T66" s="18" t="s">
        <v>43</v>
      </c>
      <c r="U66" s="18" t="s">
        <v>40</v>
      </c>
      <c r="V66" s="18">
        <v>230000</v>
      </c>
      <c r="W66" s="18">
        <v>0.111</v>
      </c>
      <c r="X66" s="18">
        <v>3400</v>
      </c>
      <c r="Y66" s="18">
        <v>50</v>
      </c>
      <c r="Z66" s="18">
        <v>100</v>
      </c>
      <c r="AA66" s="20">
        <f t="shared" si="9"/>
        <v>234.9</v>
      </c>
      <c r="AB66" s="18">
        <v>90</v>
      </c>
      <c r="AC66" s="18">
        <f t="shared" si="3"/>
        <v>45</v>
      </c>
      <c r="AD66" s="22">
        <f>208.58/2</f>
        <v>104.29</v>
      </c>
      <c r="AE66" s="36">
        <f>94.74/2</f>
        <v>47.37</v>
      </c>
      <c r="AF66">
        <f t="shared" si="2"/>
        <v>1.4782608695652174E-2</v>
      </c>
    </row>
    <row r="67" spans="1:32" x14ac:dyDescent="0.25">
      <c r="A67" s="26">
        <f t="shared" si="1"/>
        <v>64</v>
      </c>
      <c r="B67" s="20"/>
      <c r="C67" s="18" t="s">
        <v>119</v>
      </c>
      <c r="D67" s="18">
        <v>32.799999999999997</v>
      </c>
      <c r="E67" s="18">
        <v>150</v>
      </c>
      <c r="F67" s="18">
        <v>300</v>
      </c>
      <c r="G67" s="18">
        <v>261</v>
      </c>
      <c r="H67" s="18">
        <v>300</v>
      </c>
      <c r="I67" s="18">
        <v>0</v>
      </c>
      <c r="J67" s="18" t="s">
        <v>36</v>
      </c>
      <c r="K67" s="18">
        <v>741</v>
      </c>
      <c r="L67" s="19">
        <f t="shared" si="12"/>
        <v>2.8390804597701149</v>
      </c>
      <c r="M67" s="18" t="s">
        <v>37</v>
      </c>
      <c r="N67" s="18">
        <v>0</v>
      </c>
      <c r="O67" s="18"/>
      <c r="P67" s="18"/>
      <c r="Q67" s="18"/>
      <c r="S67" s="18" t="s">
        <v>38</v>
      </c>
      <c r="T67" s="18" t="s">
        <v>43</v>
      </c>
      <c r="U67" s="18" t="s">
        <v>40</v>
      </c>
      <c r="V67" s="18">
        <v>230000</v>
      </c>
      <c r="W67" s="18">
        <v>0.111</v>
      </c>
      <c r="X67" s="18">
        <v>3400</v>
      </c>
      <c r="Y67" s="18">
        <v>50</v>
      </c>
      <c r="Z67" s="18">
        <v>100</v>
      </c>
      <c r="AA67" s="20">
        <f t="shared" si="9"/>
        <v>234.9</v>
      </c>
      <c r="AB67" s="18">
        <v>90</v>
      </c>
      <c r="AC67" s="18">
        <f t="shared" si="3"/>
        <v>45</v>
      </c>
      <c r="AD67" s="22">
        <f>230.38/2</f>
        <v>115.19</v>
      </c>
      <c r="AE67" s="36">
        <f>116.54/2</f>
        <v>58.27</v>
      </c>
      <c r="AF67">
        <f t="shared" si="2"/>
        <v>1.4782608695652174E-2</v>
      </c>
    </row>
    <row r="68" spans="1:32" x14ac:dyDescent="0.25">
      <c r="A68" s="26">
        <f t="shared" si="1"/>
        <v>65</v>
      </c>
      <c r="B68" s="20"/>
      <c r="C68" s="18" t="s">
        <v>120</v>
      </c>
      <c r="D68" s="18">
        <v>32.799999999999997</v>
      </c>
      <c r="E68" s="18">
        <v>150</v>
      </c>
      <c r="F68" s="18">
        <v>300</v>
      </c>
      <c r="G68" s="18">
        <v>261</v>
      </c>
      <c r="H68" s="18">
        <v>300</v>
      </c>
      <c r="I68" s="18">
        <v>0</v>
      </c>
      <c r="J68" s="18" t="s">
        <v>36</v>
      </c>
      <c r="K68" s="18">
        <v>742</v>
      </c>
      <c r="L68" s="19">
        <f t="shared" si="12"/>
        <v>2.842911877394636</v>
      </c>
      <c r="M68" s="18" t="s">
        <v>37</v>
      </c>
      <c r="N68" s="18">
        <v>0</v>
      </c>
      <c r="O68" s="31"/>
      <c r="P68" s="31"/>
      <c r="Q68" s="31"/>
      <c r="R68" s="31"/>
      <c r="S68" s="18" t="s">
        <v>38</v>
      </c>
      <c r="T68" s="18" t="s">
        <v>43</v>
      </c>
      <c r="U68" s="18" t="s">
        <v>40</v>
      </c>
      <c r="V68" s="18">
        <v>230000</v>
      </c>
      <c r="W68" s="18">
        <v>0.111</v>
      </c>
      <c r="X68" s="18">
        <v>3400</v>
      </c>
      <c r="Y68" s="18">
        <v>50</v>
      </c>
      <c r="Z68" s="18">
        <v>141.4</v>
      </c>
      <c r="AA68" s="20">
        <f t="shared" si="9"/>
        <v>234.9</v>
      </c>
      <c r="AB68" s="18">
        <v>45</v>
      </c>
      <c r="AC68" s="18">
        <f t="shared" si="3"/>
        <v>45</v>
      </c>
      <c r="AD68" s="36">
        <f>203.3/2</f>
        <v>101.65</v>
      </c>
      <c r="AE68" s="36">
        <f>89.46/2</f>
        <v>44.73</v>
      </c>
      <c r="AF68">
        <f t="shared" si="2"/>
        <v>1.4782608695652174E-2</v>
      </c>
    </row>
    <row r="69" spans="1:32" x14ac:dyDescent="0.25">
      <c r="A69" s="26">
        <f t="shared" ref="A69:A84" si="13">A68+1</f>
        <v>66</v>
      </c>
      <c r="B69" s="20" t="s">
        <v>121</v>
      </c>
      <c r="C69" s="18" t="s">
        <v>122</v>
      </c>
      <c r="D69" s="18">
        <v>32.799999999999997</v>
      </c>
      <c r="E69" s="18">
        <v>150</v>
      </c>
      <c r="F69" s="18">
        <v>300</v>
      </c>
      <c r="G69" s="18">
        <v>261</v>
      </c>
      <c r="H69" s="18">
        <v>300</v>
      </c>
      <c r="I69" s="18">
        <v>0</v>
      </c>
      <c r="J69" s="18" t="s">
        <v>36</v>
      </c>
      <c r="K69" s="18">
        <v>743</v>
      </c>
      <c r="L69" s="19">
        <f t="shared" si="12"/>
        <v>2.8467432950191571</v>
      </c>
      <c r="M69" s="18" t="s">
        <v>37</v>
      </c>
      <c r="N69" s="18">
        <v>0</v>
      </c>
      <c r="O69" s="18"/>
      <c r="P69" s="18"/>
      <c r="Q69" s="18"/>
      <c r="R69" s="18"/>
      <c r="S69" s="18" t="s">
        <v>38</v>
      </c>
      <c r="T69" s="18" t="s">
        <v>43</v>
      </c>
      <c r="U69" s="18" t="s">
        <v>40</v>
      </c>
      <c r="V69" s="18">
        <v>230000</v>
      </c>
      <c r="W69" s="18">
        <v>0.111</v>
      </c>
      <c r="X69" s="18">
        <v>3400</v>
      </c>
      <c r="Y69" s="18">
        <v>50</v>
      </c>
      <c r="Z69" s="18">
        <v>141.4</v>
      </c>
      <c r="AA69" s="20">
        <f t="shared" si="9"/>
        <v>234.9</v>
      </c>
      <c r="AB69" s="18">
        <v>45</v>
      </c>
      <c r="AC69" s="18">
        <f t="shared" si="3"/>
        <v>45</v>
      </c>
      <c r="AD69" s="22">
        <f>183.3/2</f>
        <v>91.65</v>
      </c>
      <c r="AE69" s="37">
        <f>69.46/2</f>
        <v>34.729999999999997</v>
      </c>
      <c r="AF69">
        <f t="shared" ref="AF69:AF132" si="14">X69/V69</f>
        <v>1.4782608695652174E-2</v>
      </c>
    </row>
    <row r="70" spans="1:32" x14ac:dyDescent="0.25">
      <c r="A70" s="26">
        <f t="shared" si="13"/>
        <v>67</v>
      </c>
      <c r="B70" s="20"/>
      <c r="C70" s="18" t="s">
        <v>123</v>
      </c>
      <c r="D70" s="18">
        <v>32.799999999999997</v>
      </c>
      <c r="E70" s="18">
        <v>150</v>
      </c>
      <c r="F70" s="18">
        <v>300</v>
      </c>
      <c r="G70" s="18">
        <v>261</v>
      </c>
      <c r="H70" s="18">
        <v>300</v>
      </c>
      <c r="I70" s="18">
        <v>0</v>
      </c>
      <c r="J70" s="18" t="s">
        <v>36</v>
      </c>
      <c r="K70" s="18">
        <v>744</v>
      </c>
      <c r="L70" s="19">
        <f t="shared" si="12"/>
        <v>2.8505747126436782</v>
      </c>
      <c r="M70" s="18" t="s">
        <v>37</v>
      </c>
      <c r="N70" s="18">
        <v>0</v>
      </c>
      <c r="O70" s="31"/>
      <c r="P70" s="31"/>
      <c r="Q70" s="31"/>
      <c r="R70" s="31"/>
      <c r="S70" s="18" t="s">
        <v>38</v>
      </c>
      <c r="T70" s="18" t="s">
        <v>39</v>
      </c>
      <c r="U70" s="18" t="s">
        <v>40</v>
      </c>
      <c r="V70" s="18">
        <v>230000</v>
      </c>
      <c r="W70" s="18">
        <v>0.111</v>
      </c>
      <c r="X70" s="18">
        <v>3400</v>
      </c>
      <c r="Y70" s="18">
        <v>1</v>
      </c>
      <c r="Z70" s="18">
        <v>1</v>
      </c>
      <c r="AA70" s="20">
        <f t="shared" si="9"/>
        <v>234.9</v>
      </c>
      <c r="AB70" s="18">
        <v>90</v>
      </c>
      <c r="AC70" s="18">
        <f t="shared" ref="AC70:AC84" si="15">AC69</f>
        <v>45</v>
      </c>
      <c r="AD70" s="36">
        <f>244.01/2</f>
        <v>122.005</v>
      </c>
      <c r="AE70" s="37">
        <f>130.17/2</f>
        <v>65.084999999999994</v>
      </c>
      <c r="AF70">
        <f t="shared" si="14"/>
        <v>1.4782608695652174E-2</v>
      </c>
    </row>
    <row r="71" spans="1:32" ht="15.75" x14ac:dyDescent="0.25">
      <c r="A71" s="26">
        <f t="shared" si="13"/>
        <v>68</v>
      </c>
      <c r="B71" s="20"/>
      <c r="C71" s="18" t="s">
        <v>124</v>
      </c>
      <c r="D71" s="18">
        <v>32.799999999999997</v>
      </c>
      <c r="E71" s="18">
        <v>150</v>
      </c>
      <c r="F71" s="18">
        <v>300</v>
      </c>
      <c r="G71" s="18">
        <v>261</v>
      </c>
      <c r="H71" s="18">
        <v>300</v>
      </c>
      <c r="I71" s="18">
        <v>0</v>
      </c>
      <c r="J71" s="18" t="s">
        <v>36</v>
      </c>
      <c r="K71" s="18">
        <v>745</v>
      </c>
      <c r="L71" s="19">
        <f t="shared" si="12"/>
        <v>2.8544061302681993</v>
      </c>
      <c r="M71" s="18" t="s">
        <v>37</v>
      </c>
      <c r="N71" s="18">
        <v>0</v>
      </c>
      <c r="O71" s="38"/>
      <c r="P71" s="38"/>
      <c r="Q71" s="38"/>
      <c r="R71" s="39"/>
      <c r="S71" s="18" t="s">
        <v>38</v>
      </c>
      <c r="T71" s="18" t="s">
        <v>39</v>
      </c>
      <c r="U71" s="18" t="s">
        <v>40</v>
      </c>
      <c r="V71" s="18">
        <v>230000</v>
      </c>
      <c r="W71" s="18">
        <v>0.111</v>
      </c>
      <c r="X71" s="18">
        <v>3400</v>
      </c>
      <c r="Y71" s="18">
        <v>1</v>
      </c>
      <c r="Z71" s="18">
        <v>1</v>
      </c>
      <c r="AA71" s="20">
        <f t="shared" si="9"/>
        <v>234.9</v>
      </c>
      <c r="AB71" s="18">
        <v>90</v>
      </c>
      <c r="AC71" s="18">
        <f t="shared" si="15"/>
        <v>45</v>
      </c>
      <c r="AD71" s="36">
        <f>251.5/2</f>
        <v>125.75</v>
      </c>
      <c r="AE71" s="37">
        <f>137.66/2</f>
        <v>68.83</v>
      </c>
      <c r="AF71">
        <f t="shared" si="14"/>
        <v>1.4782608695652174E-2</v>
      </c>
    </row>
    <row r="72" spans="1:32" x14ac:dyDescent="0.25">
      <c r="A72" s="26">
        <f t="shared" si="13"/>
        <v>69</v>
      </c>
      <c r="B72" s="20"/>
      <c r="C72" s="18" t="s">
        <v>125</v>
      </c>
      <c r="D72" s="18">
        <v>32.799999999999997</v>
      </c>
      <c r="E72" s="18">
        <v>150</v>
      </c>
      <c r="F72" s="18">
        <v>300</v>
      </c>
      <c r="G72" s="18">
        <v>261</v>
      </c>
      <c r="H72" s="18">
        <v>300</v>
      </c>
      <c r="I72" s="18">
        <v>0</v>
      </c>
      <c r="J72" s="18" t="s">
        <v>36</v>
      </c>
      <c r="K72" s="18">
        <v>746</v>
      </c>
      <c r="L72" s="19">
        <f t="shared" si="12"/>
        <v>2.8582375478927204</v>
      </c>
      <c r="M72" s="18" t="s">
        <v>37</v>
      </c>
      <c r="N72" s="18">
        <v>0</v>
      </c>
      <c r="O72" s="18"/>
      <c r="P72" s="18"/>
      <c r="Q72" s="18"/>
      <c r="R72" s="18"/>
      <c r="S72" s="18" t="s">
        <v>38</v>
      </c>
      <c r="T72" s="18" t="s">
        <v>39</v>
      </c>
      <c r="U72" s="18" t="s">
        <v>40</v>
      </c>
      <c r="V72" s="18">
        <v>230000</v>
      </c>
      <c r="W72" s="18">
        <v>0.111</v>
      </c>
      <c r="X72" s="18">
        <v>3400</v>
      </c>
      <c r="Y72" s="18">
        <v>1</v>
      </c>
      <c r="Z72" s="18">
        <v>1.4139999999999999</v>
      </c>
      <c r="AA72" s="20">
        <f t="shared" si="9"/>
        <v>234.9</v>
      </c>
      <c r="AB72" s="18">
        <v>45</v>
      </c>
      <c r="AC72" s="18">
        <f t="shared" si="15"/>
        <v>45</v>
      </c>
      <c r="AD72" s="22">
        <f>256.78/2</f>
        <v>128.38999999999999</v>
      </c>
      <c r="AE72" s="22">
        <f>142.94/2</f>
        <v>71.47</v>
      </c>
      <c r="AF72">
        <f t="shared" si="14"/>
        <v>1.4782608695652174E-2</v>
      </c>
    </row>
    <row r="73" spans="1:32" x14ac:dyDescent="0.25">
      <c r="A73" s="26">
        <f t="shared" si="13"/>
        <v>70</v>
      </c>
      <c r="B73" s="20"/>
      <c r="C73" s="18" t="s">
        <v>126</v>
      </c>
      <c r="D73" s="18">
        <v>32.799999999999997</v>
      </c>
      <c r="E73" s="18">
        <v>150</v>
      </c>
      <c r="F73" s="18">
        <v>300</v>
      </c>
      <c r="G73" s="18">
        <v>261</v>
      </c>
      <c r="H73" s="18">
        <v>300</v>
      </c>
      <c r="I73" s="18">
        <v>0</v>
      </c>
      <c r="J73" s="18" t="s">
        <v>36</v>
      </c>
      <c r="K73" s="18">
        <v>747</v>
      </c>
      <c r="L73" s="19">
        <f t="shared" si="12"/>
        <v>2.8620689655172415</v>
      </c>
      <c r="M73" s="18" t="s">
        <v>37</v>
      </c>
      <c r="N73" s="18">
        <v>0</v>
      </c>
      <c r="O73" s="18"/>
      <c r="P73" s="18"/>
      <c r="Q73" s="18"/>
      <c r="R73" s="18"/>
      <c r="S73" s="18" t="s">
        <v>38</v>
      </c>
      <c r="T73" s="18" t="s">
        <v>39</v>
      </c>
      <c r="U73" s="18" t="s">
        <v>40</v>
      </c>
      <c r="V73" s="18">
        <v>230000</v>
      </c>
      <c r="W73" s="18">
        <v>0.111</v>
      </c>
      <c r="X73" s="18">
        <v>3400</v>
      </c>
      <c r="Y73" s="18">
        <v>1</v>
      </c>
      <c r="Z73" s="18">
        <v>1.4139999999999999</v>
      </c>
      <c r="AA73" s="20">
        <f t="shared" si="9"/>
        <v>234.9</v>
      </c>
      <c r="AB73" s="18">
        <v>45</v>
      </c>
      <c r="AC73" s="18">
        <f t="shared" si="15"/>
        <v>45</v>
      </c>
      <c r="AD73" s="22">
        <f>241.12/2</f>
        <v>120.56</v>
      </c>
      <c r="AE73" s="22">
        <f>127.28/2</f>
        <v>63.64</v>
      </c>
      <c r="AF73">
        <f t="shared" si="14"/>
        <v>1.4782608695652174E-2</v>
      </c>
    </row>
    <row r="74" spans="1:32" x14ac:dyDescent="0.25">
      <c r="A74" s="26">
        <f t="shared" si="13"/>
        <v>71</v>
      </c>
      <c r="B74" s="20"/>
      <c r="C74" s="18" t="s">
        <v>127</v>
      </c>
      <c r="D74" s="18">
        <v>32.799999999999997</v>
      </c>
      <c r="E74" s="18">
        <v>150</v>
      </c>
      <c r="F74" s="18">
        <v>300</v>
      </c>
      <c r="G74" s="18">
        <v>261</v>
      </c>
      <c r="H74" s="18">
        <v>300</v>
      </c>
      <c r="I74" s="18">
        <v>0</v>
      </c>
      <c r="J74" s="18" t="s">
        <v>36</v>
      </c>
      <c r="K74" s="18">
        <v>748</v>
      </c>
      <c r="L74" s="19">
        <f t="shared" si="12"/>
        <v>2.8659003831417627</v>
      </c>
      <c r="M74" s="18" t="s">
        <v>37</v>
      </c>
      <c r="N74" s="18">
        <v>0</v>
      </c>
      <c r="O74" s="18"/>
      <c r="P74" s="18"/>
      <c r="Q74" s="18"/>
      <c r="R74" s="18"/>
      <c r="S74" s="18" t="s">
        <v>38</v>
      </c>
      <c r="T74" s="18" t="s">
        <v>43</v>
      </c>
      <c r="U74" s="18" t="s">
        <v>40</v>
      </c>
      <c r="V74" s="18">
        <v>205000</v>
      </c>
      <c r="W74" s="18">
        <v>1.4</v>
      </c>
      <c r="X74" s="18">
        <v>2500</v>
      </c>
      <c r="Y74" s="18">
        <v>50</v>
      </c>
      <c r="Z74" s="18">
        <v>100</v>
      </c>
      <c r="AA74" s="20">
        <f t="shared" si="9"/>
        <v>234.9</v>
      </c>
      <c r="AB74" s="18">
        <v>90</v>
      </c>
      <c r="AC74" s="18">
        <f t="shared" si="15"/>
        <v>45</v>
      </c>
      <c r="AD74" s="22">
        <f>285.82/2</f>
        <v>142.91</v>
      </c>
      <c r="AE74" s="22">
        <f>171.98/2</f>
        <v>85.99</v>
      </c>
      <c r="AF74">
        <f t="shared" si="14"/>
        <v>1.2195121951219513E-2</v>
      </c>
    </row>
    <row r="75" spans="1:32" x14ac:dyDescent="0.25">
      <c r="A75" s="26">
        <f t="shared" si="13"/>
        <v>72</v>
      </c>
      <c r="B75" s="20"/>
      <c r="C75" s="18" t="s">
        <v>128</v>
      </c>
      <c r="D75" s="18">
        <v>32.799999999999997</v>
      </c>
      <c r="E75" s="18">
        <v>150</v>
      </c>
      <c r="F75" s="18">
        <v>300</v>
      </c>
      <c r="G75" s="18">
        <v>261</v>
      </c>
      <c r="H75" s="18">
        <v>300</v>
      </c>
      <c r="I75" s="18">
        <v>0</v>
      </c>
      <c r="J75" s="18" t="s">
        <v>36</v>
      </c>
      <c r="K75" s="18">
        <v>749</v>
      </c>
      <c r="L75" s="19">
        <f t="shared" si="12"/>
        <v>2.8697318007662833</v>
      </c>
      <c r="M75" s="18" t="s">
        <v>37</v>
      </c>
      <c r="N75" s="18">
        <v>0</v>
      </c>
      <c r="O75" s="18"/>
      <c r="P75" s="18"/>
      <c r="Q75" s="18"/>
      <c r="R75" s="18"/>
      <c r="S75" s="18" t="s">
        <v>38</v>
      </c>
      <c r="T75" s="18" t="s">
        <v>43</v>
      </c>
      <c r="U75" s="18" t="s">
        <v>40</v>
      </c>
      <c r="V75" s="18">
        <v>205000</v>
      </c>
      <c r="W75" s="18">
        <v>1.4</v>
      </c>
      <c r="X75" s="18">
        <v>2500</v>
      </c>
      <c r="Y75" s="18">
        <v>50</v>
      </c>
      <c r="Z75" s="18">
        <v>100</v>
      </c>
      <c r="AA75" s="20">
        <f t="shared" si="9"/>
        <v>234.9</v>
      </c>
      <c r="AB75" s="18">
        <v>90</v>
      </c>
      <c r="AC75" s="18">
        <f t="shared" si="15"/>
        <v>45</v>
      </c>
      <c r="AD75" s="22">
        <f>225.02/2</f>
        <v>112.51</v>
      </c>
      <c r="AE75" s="22">
        <f>111.18/2</f>
        <v>55.59</v>
      </c>
      <c r="AF75">
        <f t="shared" si="14"/>
        <v>1.2195121951219513E-2</v>
      </c>
    </row>
    <row r="76" spans="1:32" x14ac:dyDescent="0.25">
      <c r="A76" s="26">
        <f t="shared" si="13"/>
        <v>73</v>
      </c>
      <c r="B76" s="20"/>
      <c r="C76" s="18" t="s">
        <v>129</v>
      </c>
      <c r="D76" s="18">
        <v>32.799999999999997</v>
      </c>
      <c r="E76" s="18">
        <v>150</v>
      </c>
      <c r="F76" s="18">
        <v>300</v>
      </c>
      <c r="G76" s="18">
        <v>261</v>
      </c>
      <c r="H76" s="18">
        <v>300</v>
      </c>
      <c r="I76" s="18">
        <v>0</v>
      </c>
      <c r="J76" s="18" t="s">
        <v>36</v>
      </c>
      <c r="K76" s="18">
        <v>750</v>
      </c>
      <c r="L76" s="19">
        <f t="shared" si="12"/>
        <v>2.8735632183908044</v>
      </c>
      <c r="M76" s="18" t="s">
        <v>37</v>
      </c>
      <c r="N76" s="18">
        <v>0</v>
      </c>
      <c r="O76" s="18"/>
      <c r="P76" s="18"/>
      <c r="Q76" s="18"/>
      <c r="R76" s="18"/>
      <c r="S76" s="18" t="s">
        <v>38</v>
      </c>
      <c r="T76" s="18" t="s">
        <v>43</v>
      </c>
      <c r="U76" s="18" t="s">
        <v>40</v>
      </c>
      <c r="V76" s="18">
        <v>205000</v>
      </c>
      <c r="W76" s="18">
        <v>1.4</v>
      </c>
      <c r="X76" s="18">
        <v>2500</v>
      </c>
      <c r="Y76" s="18">
        <v>50</v>
      </c>
      <c r="Z76" s="18">
        <v>141.4</v>
      </c>
      <c r="AA76" s="20">
        <f t="shared" si="9"/>
        <v>234.9</v>
      </c>
      <c r="AB76" s="18">
        <v>45</v>
      </c>
      <c r="AC76" s="18">
        <f t="shared" si="15"/>
        <v>45</v>
      </c>
      <c r="AD76" s="22">
        <f>271.4/2</f>
        <v>135.69999999999999</v>
      </c>
      <c r="AE76" s="22">
        <f>157.56/2</f>
        <v>78.78</v>
      </c>
      <c r="AF76">
        <f t="shared" si="14"/>
        <v>1.2195121951219513E-2</v>
      </c>
    </row>
    <row r="77" spans="1:32" x14ac:dyDescent="0.25">
      <c r="A77" s="26">
        <f t="shared" si="13"/>
        <v>74</v>
      </c>
      <c r="B77" s="20"/>
      <c r="C77" s="18" t="s">
        <v>130</v>
      </c>
      <c r="D77" s="18">
        <v>32.799999999999997</v>
      </c>
      <c r="E77" s="18">
        <v>150</v>
      </c>
      <c r="F77" s="18">
        <v>300</v>
      </c>
      <c r="G77" s="18">
        <v>261</v>
      </c>
      <c r="H77" s="18">
        <v>300</v>
      </c>
      <c r="I77" s="18">
        <v>0</v>
      </c>
      <c r="J77" s="18" t="s">
        <v>36</v>
      </c>
      <c r="K77" s="18">
        <v>751</v>
      </c>
      <c r="L77" s="19">
        <f t="shared" si="12"/>
        <v>2.8773946360153255</v>
      </c>
      <c r="M77" s="18" t="s">
        <v>37</v>
      </c>
      <c r="N77" s="18">
        <v>0</v>
      </c>
      <c r="O77" s="18"/>
      <c r="P77" s="18"/>
      <c r="Q77" s="18"/>
      <c r="R77" s="18"/>
      <c r="S77" s="18" t="s">
        <v>38</v>
      </c>
      <c r="T77" s="18" t="s">
        <v>43</v>
      </c>
      <c r="U77" s="18" t="s">
        <v>40</v>
      </c>
      <c r="V77" s="18">
        <v>205000</v>
      </c>
      <c r="W77" s="18">
        <v>1.4</v>
      </c>
      <c r="X77" s="18">
        <v>2500</v>
      </c>
      <c r="Y77" s="18">
        <v>50</v>
      </c>
      <c r="Z77" s="18">
        <v>141.4</v>
      </c>
      <c r="AA77" s="20">
        <f t="shared" si="9"/>
        <v>234.9</v>
      </c>
      <c r="AB77" s="18">
        <v>45</v>
      </c>
      <c r="AC77" s="18">
        <f t="shared" si="15"/>
        <v>45</v>
      </c>
      <c r="AD77" s="22">
        <f>251.19/2</f>
        <v>125.595</v>
      </c>
      <c r="AE77" s="22">
        <f>137.35/2</f>
        <v>68.674999999999997</v>
      </c>
      <c r="AF77">
        <f t="shared" si="14"/>
        <v>1.2195121951219513E-2</v>
      </c>
    </row>
    <row r="78" spans="1:32" x14ac:dyDescent="0.25">
      <c r="A78" s="26">
        <f t="shared" si="13"/>
        <v>75</v>
      </c>
      <c r="B78" s="40"/>
      <c r="C78" s="18" t="s">
        <v>131</v>
      </c>
      <c r="D78" s="18">
        <v>67.400000000000006</v>
      </c>
      <c r="E78" s="18">
        <v>180</v>
      </c>
      <c r="F78" s="18">
        <v>500</v>
      </c>
      <c r="G78" s="18">
        <v>465</v>
      </c>
      <c r="H78" s="18">
        <v>500</v>
      </c>
      <c r="I78" s="18">
        <v>0</v>
      </c>
      <c r="J78" s="18" t="s">
        <v>36</v>
      </c>
      <c r="K78" s="18">
        <v>1250</v>
      </c>
      <c r="L78" s="19">
        <f t="shared" si="12"/>
        <v>2.6881720430107525</v>
      </c>
      <c r="M78" s="18" t="s">
        <v>37</v>
      </c>
      <c r="N78" s="18">
        <v>0</v>
      </c>
      <c r="O78" s="18"/>
      <c r="P78" s="18"/>
      <c r="Q78" s="18"/>
      <c r="R78" s="18"/>
      <c r="S78" s="18" t="s">
        <v>38</v>
      </c>
      <c r="T78" s="18" t="s">
        <v>39</v>
      </c>
      <c r="U78" s="18" t="s">
        <v>40</v>
      </c>
      <c r="V78" s="18">
        <v>234000</v>
      </c>
      <c r="W78" s="18">
        <v>0.11</v>
      </c>
      <c r="X78" s="18">
        <v>4500</v>
      </c>
      <c r="Y78" s="18">
        <v>1</v>
      </c>
      <c r="Z78" s="18">
        <v>1.4139999999999999</v>
      </c>
      <c r="AA78" s="20">
        <f t="shared" si="9"/>
        <v>418.5</v>
      </c>
      <c r="AB78" s="18">
        <v>45</v>
      </c>
      <c r="AC78" s="18">
        <f t="shared" si="15"/>
        <v>45</v>
      </c>
      <c r="AD78" s="22">
        <v>306.05</v>
      </c>
      <c r="AE78" s="22">
        <v>182</v>
      </c>
      <c r="AF78">
        <f t="shared" si="14"/>
        <v>1.9230769230769232E-2</v>
      </c>
    </row>
    <row r="79" spans="1:32" x14ac:dyDescent="0.25">
      <c r="A79" s="26">
        <f t="shared" si="13"/>
        <v>76</v>
      </c>
      <c r="B79" s="40"/>
      <c r="C79" s="18" t="s">
        <v>60</v>
      </c>
      <c r="D79" s="18">
        <v>67.400000000000006</v>
      </c>
      <c r="E79" s="18">
        <v>180</v>
      </c>
      <c r="F79" s="18">
        <v>500</v>
      </c>
      <c r="G79" s="18">
        <v>465</v>
      </c>
      <c r="H79" s="18">
        <v>500</v>
      </c>
      <c r="I79" s="18">
        <v>0</v>
      </c>
      <c r="J79" s="18" t="s">
        <v>36</v>
      </c>
      <c r="K79" s="18">
        <v>1250</v>
      </c>
      <c r="L79" s="19">
        <f t="shared" si="12"/>
        <v>2.6881720430107525</v>
      </c>
      <c r="M79" s="18" t="s">
        <v>37</v>
      </c>
      <c r="N79" s="18">
        <v>0</v>
      </c>
      <c r="P79" s="18"/>
      <c r="Q79" s="18"/>
      <c r="R79" s="18"/>
      <c r="S79" s="18" t="s">
        <v>38</v>
      </c>
      <c r="T79" s="18" t="s">
        <v>39</v>
      </c>
      <c r="U79" s="18" t="s">
        <v>40</v>
      </c>
      <c r="V79" s="18">
        <v>234000</v>
      </c>
      <c r="W79" s="18">
        <v>7.0000000000000007E-2</v>
      </c>
      <c r="X79" s="18">
        <v>4500</v>
      </c>
      <c r="Y79" s="18">
        <v>1</v>
      </c>
      <c r="Z79" s="18">
        <v>1.4139999999999999</v>
      </c>
      <c r="AA79" s="20">
        <f t="shared" si="9"/>
        <v>418.5</v>
      </c>
      <c r="AB79" s="18">
        <v>45</v>
      </c>
      <c r="AC79" s="18">
        <f t="shared" si="15"/>
        <v>45</v>
      </c>
      <c r="AD79" s="22">
        <v>246.65</v>
      </c>
      <c r="AE79" s="22">
        <v>122.6</v>
      </c>
      <c r="AF79">
        <f t="shared" si="14"/>
        <v>1.9230769230769232E-2</v>
      </c>
    </row>
    <row r="80" spans="1:32" x14ac:dyDescent="0.25">
      <c r="A80" s="26">
        <f t="shared" si="13"/>
        <v>77</v>
      </c>
      <c r="B80" s="32" t="s">
        <v>132</v>
      </c>
      <c r="C80" s="18" t="s">
        <v>133</v>
      </c>
      <c r="D80" s="18">
        <v>71.400000000000006</v>
      </c>
      <c r="E80" s="18">
        <v>180</v>
      </c>
      <c r="F80" s="18">
        <v>500</v>
      </c>
      <c r="G80" s="18">
        <v>465</v>
      </c>
      <c r="H80" s="18">
        <v>500</v>
      </c>
      <c r="I80" s="18">
        <v>0</v>
      </c>
      <c r="J80" s="18" t="s">
        <v>36</v>
      </c>
      <c r="K80" s="18">
        <v>1250</v>
      </c>
      <c r="L80" s="19">
        <f t="shared" si="12"/>
        <v>2.6881720430107525</v>
      </c>
      <c r="M80" s="18" t="s">
        <v>37</v>
      </c>
      <c r="N80" s="18">
        <v>0</v>
      </c>
      <c r="O80" s="18"/>
      <c r="P80" s="18"/>
      <c r="Q80" s="18"/>
      <c r="R80" s="18"/>
      <c r="S80" s="18" t="s">
        <v>38</v>
      </c>
      <c r="T80" s="18" t="s">
        <v>39</v>
      </c>
      <c r="U80" s="18" t="s">
        <v>40</v>
      </c>
      <c r="V80" s="18">
        <v>234000</v>
      </c>
      <c r="W80" s="18">
        <v>0.11</v>
      </c>
      <c r="X80" s="18">
        <v>4500</v>
      </c>
      <c r="Y80" s="18">
        <v>1</v>
      </c>
      <c r="Z80" s="18">
        <v>1.4139999999999999</v>
      </c>
      <c r="AA80" s="20">
        <f t="shared" si="9"/>
        <v>418.5</v>
      </c>
      <c r="AB80" s="18">
        <v>45</v>
      </c>
      <c r="AC80" s="18">
        <f t="shared" si="15"/>
        <v>45</v>
      </c>
      <c r="AD80" s="22">
        <v>257.2</v>
      </c>
      <c r="AE80" s="22">
        <v>133.15</v>
      </c>
      <c r="AF80">
        <f t="shared" si="14"/>
        <v>1.9230769230769232E-2</v>
      </c>
    </row>
    <row r="81" spans="1:32" x14ac:dyDescent="0.25">
      <c r="A81" s="26">
        <f t="shared" si="13"/>
        <v>78</v>
      </c>
      <c r="B81" s="40"/>
      <c r="C81" s="18" t="s">
        <v>134</v>
      </c>
      <c r="D81" s="18">
        <v>58.7</v>
      </c>
      <c r="E81" s="18">
        <v>180</v>
      </c>
      <c r="F81" s="18">
        <v>500</v>
      </c>
      <c r="G81" s="18">
        <v>465</v>
      </c>
      <c r="H81" s="18">
        <v>500</v>
      </c>
      <c r="I81" s="18">
        <v>0</v>
      </c>
      <c r="J81" s="18" t="s">
        <v>36</v>
      </c>
      <c r="K81" s="18">
        <v>1250</v>
      </c>
      <c r="L81" s="19">
        <f t="shared" si="12"/>
        <v>2.6881720430107525</v>
      </c>
      <c r="M81" s="18" t="s">
        <v>37</v>
      </c>
      <c r="N81" s="18">
        <v>0</v>
      </c>
      <c r="O81" s="18"/>
      <c r="P81" s="18"/>
      <c r="Q81" s="18"/>
      <c r="R81" s="18"/>
      <c r="S81" s="18" t="s">
        <v>38</v>
      </c>
      <c r="T81" s="18" t="s">
        <v>39</v>
      </c>
      <c r="U81" s="18" t="s">
        <v>40</v>
      </c>
      <c r="V81" s="18">
        <v>234000</v>
      </c>
      <c r="W81" s="18">
        <v>0.11</v>
      </c>
      <c r="X81" s="18">
        <v>4500</v>
      </c>
      <c r="Y81" s="18">
        <v>1</v>
      </c>
      <c r="Z81" s="18">
        <v>1</v>
      </c>
      <c r="AA81" s="20">
        <f t="shared" si="9"/>
        <v>418.5</v>
      </c>
      <c r="AB81" s="18">
        <v>90</v>
      </c>
      <c r="AC81" s="18">
        <f t="shared" si="15"/>
        <v>45</v>
      </c>
      <c r="AD81" s="22">
        <v>260.60000000000002</v>
      </c>
      <c r="AE81" s="22">
        <v>136.55000000000001</v>
      </c>
      <c r="AF81">
        <f t="shared" si="14"/>
        <v>1.9230769230769232E-2</v>
      </c>
    </row>
    <row r="82" spans="1:32" x14ac:dyDescent="0.25">
      <c r="A82" s="26">
        <f t="shared" si="13"/>
        <v>79</v>
      </c>
      <c r="B82" s="40"/>
      <c r="C82" s="18" t="s">
        <v>135</v>
      </c>
      <c r="D82" s="18">
        <v>71.400000000000006</v>
      </c>
      <c r="E82" s="18">
        <v>180</v>
      </c>
      <c r="F82" s="18">
        <v>500</v>
      </c>
      <c r="G82" s="18">
        <v>465</v>
      </c>
      <c r="H82" s="18">
        <v>500</v>
      </c>
      <c r="I82" s="18">
        <v>0</v>
      </c>
      <c r="J82" s="18" t="s">
        <v>36</v>
      </c>
      <c r="K82" s="18">
        <v>1250</v>
      </c>
      <c r="L82" s="19">
        <f t="shared" si="12"/>
        <v>2.6881720430107525</v>
      </c>
      <c r="M82" s="18" t="s">
        <v>37</v>
      </c>
      <c r="N82" s="18">
        <v>0</v>
      </c>
      <c r="O82" s="18"/>
      <c r="P82" s="18"/>
      <c r="Q82" s="18"/>
      <c r="R82" s="18"/>
      <c r="S82" s="18" t="s">
        <v>38</v>
      </c>
      <c r="T82" s="18" t="s">
        <v>39</v>
      </c>
      <c r="U82" s="18" t="s">
        <v>40</v>
      </c>
      <c r="V82" s="18">
        <v>234000</v>
      </c>
      <c r="W82" s="18">
        <v>0.16500000000000001</v>
      </c>
      <c r="X82" s="18">
        <v>4500</v>
      </c>
      <c r="Y82" s="18">
        <v>1</v>
      </c>
      <c r="Z82" s="18">
        <v>1.4139999999999999</v>
      </c>
      <c r="AA82" s="20">
        <f t="shared" si="9"/>
        <v>418.5</v>
      </c>
      <c r="AB82" s="18">
        <v>45</v>
      </c>
      <c r="AC82" s="18">
        <f t="shared" si="15"/>
        <v>45</v>
      </c>
      <c r="AD82" s="22">
        <v>334.3</v>
      </c>
      <c r="AE82" s="22">
        <v>210.55</v>
      </c>
      <c r="AF82">
        <f t="shared" si="14"/>
        <v>1.9230769230769232E-2</v>
      </c>
    </row>
    <row r="83" spans="1:32" x14ac:dyDescent="0.25">
      <c r="A83" s="16">
        <f t="shared" si="13"/>
        <v>80</v>
      </c>
      <c r="B83" s="5"/>
      <c r="C83" s="18">
        <v>3</v>
      </c>
      <c r="D83" s="18">
        <v>25.4</v>
      </c>
      <c r="E83" s="18">
        <v>100</v>
      </c>
      <c r="F83" s="18">
        <v>250</v>
      </c>
      <c r="G83" s="18">
        <f>F83-50</f>
        <v>200</v>
      </c>
      <c r="H83" s="18">
        <v>250</v>
      </c>
      <c r="I83" s="18">
        <v>0</v>
      </c>
      <c r="J83" s="18" t="s">
        <v>36</v>
      </c>
      <c r="K83" s="18">
        <v>510</v>
      </c>
      <c r="L83" s="18">
        <f t="shared" si="12"/>
        <v>2.5499999999999998</v>
      </c>
      <c r="M83" s="18" t="s">
        <v>37</v>
      </c>
      <c r="N83" s="18">
        <v>0</v>
      </c>
      <c r="O83" s="18"/>
      <c r="P83" s="18"/>
      <c r="Q83" s="18"/>
      <c r="R83" s="18"/>
      <c r="S83" s="18" t="s">
        <v>38</v>
      </c>
      <c r="T83" s="18" t="s">
        <v>43</v>
      </c>
      <c r="U83" s="18" t="s">
        <v>40</v>
      </c>
      <c r="V83" s="18">
        <v>178600</v>
      </c>
      <c r="W83" s="18">
        <v>1.2</v>
      </c>
      <c r="X83" s="18">
        <v>2868</v>
      </c>
      <c r="Y83" s="18">
        <v>25</v>
      </c>
      <c r="Z83" s="18">
        <v>75</v>
      </c>
      <c r="AA83" s="20">
        <f t="shared" si="9"/>
        <v>180</v>
      </c>
      <c r="AB83" s="18">
        <v>90</v>
      </c>
      <c r="AC83" s="18">
        <f t="shared" si="15"/>
        <v>45</v>
      </c>
      <c r="AD83" s="22">
        <v>44.05</v>
      </c>
      <c r="AE83" s="22">
        <f>AD83-51.8/2</f>
        <v>18.149999999999999</v>
      </c>
      <c r="AF83">
        <f t="shared" si="14"/>
        <v>1.6058230683090705E-2</v>
      </c>
    </row>
    <row r="84" spans="1:32" x14ac:dyDescent="0.25">
      <c r="A84" s="2">
        <f t="shared" si="13"/>
        <v>81</v>
      </c>
      <c r="B84" s="20" t="s">
        <v>136</v>
      </c>
      <c r="C84" s="18">
        <v>5</v>
      </c>
      <c r="D84" s="18">
        <v>25.4</v>
      </c>
      <c r="E84" s="18">
        <v>100</v>
      </c>
      <c r="F84" s="18">
        <v>300</v>
      </c>
      <c r="G84" s="18">
        <f>F84-50</f>
        <v>250</v>
      </c>
      <c r="H84" s="18">
        <v>300</v>
      </c>
      <c r="I84" s="18">
        <v>50</v>
      </c>
      <c r="J84" s="18" t="s">
        <v>86</v>
      </c>
      <c r="K84" s="18">
        <v>810</v>
      </c>
      <c r="L84" s="19">
        <f t="shared" si="12"/>
        <v>3.24</v>
      </c>
      <c r="M84" s="18" t="s">
        <v>18</v>
      </c>
      <c r="N84" s="18">
        <v>6</v>
      </c>
      <c r="O84" s="18">
        <v>75</v>
      </c>
      <c r="P84" s="18">
        <v>200000</v>
      </c>
      <c r="Q84" s="18">
        <v>325</v>
      </c>
      <c r="R84" s="18">
        <f>100*2*3.1416*N84^2/4/O84/E84</f>
        <v>0.75398399999999999</v>
      </c>
      <c r="S84" s="18" t="s">
        <v>38</v>
      </c>
      <c r="T84" s="18" t="s">
        <v>43</v>
      </c>
      <c r="U84" s="18" t="s">
        <v>40</v>
      </c>
      <c r="V84" s="18">
        <v>178600</v>
      </c>
      <c r="W84" s="18">
        <v>1.2</v>
      </c>
      <c r="X84" s="18">
        <v>2868</v>
      </c>
      <c r="Y84" s="18">
        <v>25</v>
      </c>
      <c r="Z84" s="18">
        <v>75</v>
      </c>
      <c r="AA84" s="20">
        <f t="shared" si="9"/>
        <v>175</v>
      </c>
      <c r="AB84" s="18">
        <v>90</v>
      </c>
      <c r="AC84" s="18">
        <f t="shared" si="15"/>
        <v>45</v>
      </c>
      <c r="AD84" s="22">
        <v>107.25</v>
      </c>
      <c r="AE84" s="22">
        <f>AD84-164.2/2</f>
        <v>25.150000000000006</v>
      </c>
      <c r="AF84">
        <f t="shared" si="14"/>
        <v>1.6058230683090705E-2</v>
      </c>
    </row>
    <row r="85" spans="1:32" x14ac:dyDescent="0.25">
      <c r="A85" s="41">
        <v>82</v>
      </c>
      <c r="B85" s="41" t="s">
        <v>137</v>
      </c>
      <c r="C85" s="41" t="s">
        <v>48</v>
      </c>
      <c r="D85" s="41">
        <v>17.8</v>
      </c>
      <c r="E85" s="41">
        <v>200</v>
      </c>
      <c r="F85" s="41">
        <v>250</v>
      </c>
      <c r="G85" s="41">
        <v>224</v>
      </c>
      <c r="H85" s="41">
        <f>F85</f>
        <v>250</v>
      </c>
      <c r="I85" s="41">
        <v>0</v>
      </c>
      <c r="J85" s="41" t="s">
        <v>36</v>
      </c>
      <c r="K85" s="41">
        <v>667</v>
      </c>
      <c r="L85" s="42">
        <f t="shared" si="12"/>
        <v>2.9776785714285716</v>
      </c>
      <c r="M85" s="41" t="s">
        <v>37</v>
      </c>
      <c r="N85" s="41">
        <v>0</v>
      </c>
      <c r="O85" s="41"/>
      <c r="P85" s="41"/>
      <c r="Q85" s="41"/>
      <c r="R85" s="41"/>
      <c r="S85" s="41" t="s">
        <v>106</v>
      </c>
      <c r="T85" s="41" t="s">
        <v>39</v>
      </c>
      <c r="U85" s="41" t="s">
        <v>40</v>
      </c>
      <c r="V85" s="41">
        <v>11310</v>
      </c>
      <c r="W85" s="41">
        <v>0.6</v>
      </c>
      <c r="X85" s="41">
        <v>334.5</v>
      </c>
      <c r="Y85" s="41">
        <v>1</v>
      </c>
      <c r="Z85" s="41">
        <v>1</v>
      </c>
      <c r="AA85" s="41">
        <f t="shared" si="9"/>
        <v>201.6</v>
      </c>
      <c r="AB85" s="41">
        <v>90</v>
      </c>
      <c r="AC85" s="41">
        <v>45</v>
      </c>
      <c r="AD85" s="41">
        <v>54</v>
      </c>
      <c r="AE85" s="41">
        <v>13</v>
      </c>
      <c r="AF85">
        <f t="shared" si="14"/>
        <v>2.9575596816976128E-2</v>
      </c>
    </row>
    <row r="86" spans="1:32" x14ac:dyDescent="0.25">
      <c r="A86" s="2">
        <v>83</v>
      </c>
      <c r="B86" s="2" t="s">
        <v>138</v>
      </c>
      <c r="C86" s="2">
        <v>3</v>
      </c>
      <c r="D86" s="2">
        <v>42.9</v>
      </c>
      <c r="E86" s="2">
        <v>114</v>
      </c>
      <c r="F86" s="2">
        <v>102</v>
      </c>
      <c r="G86" s="2">
        <v>78.650000000000006</v>
      </c>
      <c r="H86" s="2">
        <f>102-6</f>
        <v>96</v>
      </c>
      <c r="I86" s="2">
        <v>6</v>
      </c>
      <c r="J86" s="2" t="s">
        <v>36</v>
      </c>
      <c r="K86" s="2">
        <v>300</v>
      </c>
      <c r="L86" s="19">
        <f t="shared" si="12"/>
        <v>3.814367450731087</v>
      </c>
      <c r="M86" s="2" t="s">
        <v>37</v>
      </c>
      <c r="N86" s="16">
        <v>0</v>
      </c>
      <c r="O86" s="2"/>
      <c r="P86" s="2"/>
      <c r="Q86" s="2"/>
      <c r="R86" s="2"/>
      <c r="S86" s="2" t="s">
        <v>106</v>
      </c>
      <c r="T86" s="2" t="s">
        <v>39</v>
      </c>
      <c r="U86" s="2" t="s">
        <v>40</v>
      </c>
      <c r="V86" s="2">
        <v>16800</v>
      </c>
      <c r="W86" s="2">
        <v>0.64</v>
      </c>
      <c r="X86" s="2">
        <v>344.7</v>
      </c>
      <c r="Y86" s="2">
        <v>1</v>
      </c>
      <c r="Z86" s="2">
        <f>Y86/SIN(AB86/180*PI())</f>
        <v>1.4142135623730951</v>
      </c>
      <c r="AA86" s="2">
        <f t="shared" si="9"/>
        <v>64.785000000000011</v>
      </c>
      <c r="AB86" s="2">
        <v>45</v>
      </c>
      <c r="AC86" s="2">
        <v>45</v>
      </c>
      <c r="AD86" s="2">
        <v>31.25</v>
      </c>
      <c r="AE86" s="2">
        <v>7.55</v>
      </c>
      <c r="AF86">
        <f t="shared" si="14"/>
        <v>2.0517857142857143E-2</v>
      </c>
    </row>
    <row r="87" spans="1:32" x14ac:dyDescent="0.25">
      <c r="A87" s="2">
        <v>84</v>
      </c>
      <c r="B87" s="2"/>
      <c r="C87" s="2">
        <v>4</v>
      </c>
      <c r="D87" s="2">
        <v>42.9</v>
      </c>
      <c r="E87" s="2">
        <v>114</v>
      </c>
      <c r="F87" s="2">
        <v>102</v>
      </c>
      <c r="G87" s="2">
        <v>78.650000000000006</v>
      </c>
      <c r="H87" s="2">
        <f>102-6</f>
        <v>96</v>
      </c>
      <c r="I87" s="2">
        <v>6</v>
      </c>
      <c r="J87" s="2" t="s">
        <v>36</v>
      </c>
      <c r="K87" s="2">
        <v>300</v>
      </c>
      <c r="L87" s="19">
        <f t="shared" si="12"/>
        <v>3.814367450731087</v>
      </c>
      <c r="M87" s="2" t="s">
        <v>37</v>
      </c>
      <c r="N87" s="16">
        <v>0</v>
      </c>
      <c r="O87" s="2"/>
      <c r="P87" s="2"/>
      <c r="Q87" s="2"/>
      <c r="R87" s="2"/>
      <c r="S87" s="2" t="s">
        <v>106</v>
      </c>
      <c r="T87" s="2" t="s">
        <v>39</v>
      </c>
      <c r="U87" s="2" t="s">
        <v>40</v>
      </c>
      <c r="V87" s="2">
        <v>16800</v>
      </c>
      <c r="W87" s="2">
        <v>1.6</v>
      </c>
      <c r="X87" s="2">
        <v>345.7</v>
      </c>
      <c r="Y87" s="2">
        <v>1</v>
      </c>
      <c r="Z87" s="2">
        <f>Y87/SIN(AB87/180*PI())</f>
        <v>1.4142135623730951</v>
      </c>
      <c r="AA87" s="2">
        <f t="shared" si="9"/>
        <v>64.785000000000011</v>
      </c>
      <c r="AB87" s="2">
        <v>45</v>
      </c>
      <c r="AC87" s="2">
        <v>45</v>
      </c>
      <c r="AD87" s="2">
        <v>39.450000000000003</v>
      </c>
      <c r="AE87" s="2">
        <v>15.75</v>
      </c>
      <c r="AF87">
        <f t="shared" si="14"/>
        <v>2.0577380952380951E-2</v>
      </c>
    </row>
    <row r="88" spans="1:32" x14ac:dyDescent="0.25">
      <c r="A88" s="26">
        <v>85</v>
      </c>
      <c r="B88" s="26" t="s">
        <v>139</v>
      </c>
      <c r="C88" s="26">
        <v>4</v>
      </c>
      <c r="D88" s="2">
        <v>32.6</v>
      </c>
      <c r="E88" s="2">
        <v>250</v>
      </c>
      <c r="F88" s="2">
        <v>500</v>
      </c>
      <c r="G88" s="2">
        <v>400</v>
      </c>
      <c r="H88" s="2">
        <v>500</v>
      </c>
      <c r="I88" s="2">
        <v>0</v>
      </c>
      <c r="J88" s="2" t="s">
        <v>36</v>
      </c>
      <c r="K88" s="2">
        <v>1000</v>
      </c>
      <c r="L88" s="43">
        <f t="shared" si="12"/>
        <v>2.5</v>
      </c>
      <c r="M88" s="2" t="s">
        <v>37</v>
      </c>
      <c r="N88" s="2">
        <v>0</v>
      </c>
      <c r="O88" s="2"/>
      <c r="P88" s="2"/>
      <c r="Q88" s="2"/>
      <c r="R88" s="2"/>
      <c r="S88" s="2" t="s">
        <v>38</v>
      </c>
      <c r="T88" s="2" t="s">
        <v>43</v>
      </c>
      <c r="U88" s="2" t="s">
        <v>40</v>
      </c>
      <c r="V88" s="2">
        <v>244000</v>
      </c>
      <c r="W88" s="2">
        <v>0.111</v>
      </c>
      <c r="X88" s="2">
        <v>3990</v>
      </c>
      <c r="Y88" s="2">
        <v>40</v>
      </c>
      <c r="Z88" s="2">
        <v>100</v>
      </c>
      <c r="AA88" s="2">
        <f t="shared" si="9"/>
        <v>360</v>
      </c>
      <c r="AB88" s="2">
        <v>90</v>
      </c>
      <c r="AC88" s="2">
        <v>45</v>
      </c>
      <c r="AD88" s="2">
        <v>183.9</v>
      </c>
      <c r="AE88" s="2">
        <v>2.9</v>
      </c>
      <c r="AF88">
        <f t="shared" si="14"/>
        <v>1.6352459016393442E-2</v>
      </c>
    </row>
    <row r="89" spans="1:32" x14ac:dyDescent="0.25">
      <c r="A89" s="26">
        <v>86</v>
      </c>
      <c r="B89" s="26"/>
      <c r="C89" s="26">
        <v>5</v>
      </c>
      <c r="D89" s="2">
        <v>32.6</v>
      </c>
      <c r="E89" s="2">
        <v>250</v>
      </c>
      <c r="F89" s="2">
        <v>500</v>
      </c>
      <c r="G89" s="2">
        <v>400</v>
      </c>
      <c r="H89" s="2">
        <v>500</v>
      </c>
      <c r="I89" s="2">
        <v>0</v>
      </c>
      <c r="J89" s="2" t="s">
        <v>36</v>
      </c>
      <c r="K89" s="2">
        <v>1000</v>
      </c>
      <c r="L89" s="43">
        <f t="shared" si="12"/>
        <v>2.5</v>
      </c>
      <c r="M89" s="2" t="s">
        <v>37</v>
      </c>
      <c r="N89" s="2">
        <v>0</v>
      </c>
      <c r="O89" s="2"/>
      <c r="P89" s="2"/>
      <c r="Q89" s="2"/>
      <c r="R89" s="2"/>
      <c r="S89" s="2" t="s">
        <v>140</v>
      </c>
      <c r="T89" s="2" t="s">
        <v>43</v>
      </c>
      <c r="U89" s="2" t="s">
        <v>40</v>
      </c>
      <c r="V89" s="2">
        <v>90000</v>
      </c>
      <c r="W89" s="2">
        <v>0.16900000000000001</v>
      </c>
      <c r="X89" s="2">
        <v>2920</v>
      </c>
      <c r="Y89" s="2">
        <v>40</v>
      </c>
      <c r="Z89" s="2">
        <v>100</v>
      </c>
      <c r="AA89" s="2">
        <f t="shared" si="9"/>
        <v>360</v>
      </c>
      <c r="AB89" s="2">
        <v>90</v>
      </c>
      <c r="AC89" s="2">
        <v>45</v>
      </c>
      <c r="AD89" s="2">
        <v>180.9</v>
      </c>
      <c r="AE89" s="2">
        <v>0</v>
      </c>
      <c r="AF89">
        <f t="shared" si="14"/>
        <v>3.2444444444444442E-2</v>
      </c>
    </row>
    <row r="90" spans="1:32" x14ac:dyDescent="0.25">
      <c r="A90" s="2">
        <v>87</v>
      </c>
      <c r="B90" s="2"/>
      <c r="C90" s="2" t="s">
        <v>48</v>
      </c>
      <c r="D90" s="2">
        <v>54.73</v>
      </c>
      <c r="E90" s="2">
        <v>180</v>
      </c>
      <c r="F90" s="2">
        <v>500</v>
      </c>
      <c r="G90" s="2">
        <v>460</v>
      </c>
      <c r="H90" s="2">
        <v>500</v>
      </c>
      <c r="I90" s="2">
        <v>0</v>
      </c>
      <c r="J90" s="2" t="s">
        <v>36</v>
      </c>
      <c r="K90" s="2">
        <v>1200</v>
      </c>
      <c r="L90" s="43">
        <f t="shared" si="12"/>
        <v>2.6086956521739131</v>
      </c>
      <c r="M90" s="2" t="s">
        <v>37</v>
      </c>
      <c r="N90" s="2">
        <v>0</v>
      </c>
      <c r="O90" s="2"/>
      <c r="P90" s="2"/>
      <c r="Q90" s="2"/>
      <c r="R90" s="2"/>
      <c r="S90" s="2" t="s">
        <v>38</v>
      </c>
      <c r="T90" s="2" t="s">
        <v>39</v>
      </c>
      <c r="U90" s="2" t="s">
        <v>40</v>
      </c>
      <c r="V90" s="2">
        <v>100600</v>
      </c>
      <c r="W90" s="2">
        <v>0.6</v>
      </c>
      <c r="X90" s="2">
        <v>1450</v>
      </c>
      <c r="Y90" s="2">
        <v>1</v>
      </c>
      <c r="Z90" s="2">
        <f>Y90/SIN(AB90/180*PI())</f>
        <v>1.4142135623730951</v>
      </c>
      <c r="AA90" s="2">
        <f t="shared" si="9"/>
        <v>414</v>
      </c>
      <c r="AB90" s="2">
        <v>45</v>
      </c>
      <c r="AC90" s="2">
        <v>45</v>
      </c>
      <c r="AD90" s="2">
        <v>274</v>
      </c>
      <c r="AE90" s="2">
        <v>153.5</v>
      </c>
      <c r="AF90">
        <f t="shared" si="14"/>
        <v>1.4413518886679921E-2</v>
      </c>
    </row>
    <row r="91" spans="1:32" x14ac:dyDescent="0.25">
      <c r="A91" s="2">
        <v>88</v>
      </c>
      <c r="B91" s="2" t="s">
        <v>141</v>
      </c>
      <c r="C91" s="2" t="s">
        <v>142</v>
      </c>
      <c r="D91" s="2">
        <v>41.09</v>
      </c>
      <c r="E91" s="2">
        <v>180</v>
      </c>
      <c r="F91" s="2">
        <v>500</v>
      </c>
      <c r="G91" s="2">
        <v>460</v>
      </c>
      <c r="H91" s="2">
        <v>500</v>
      </c>
      <c r="I91" s="2">
        <v>0</v>
      </c>
      <c r="J91" s="2" t="s">
        <v>36</v>
      </c>
      <c r="K91" s="2">
        <v>1200</v>
      </c>
      <c r="L91" s="43">
        <f t="shared" si="12"/>
        <v>2.6086956521739131</v>
      </c>
      <c r="M91" s="2" t="s">
        <v>37</v>
      </c>
      <c r="N91" s="2">
        <v>0</v>
      </c>
      <c r="O91" s="2"/>
      <c r="P91" s="2"/>
      <c r="Q91" s="2"/>
      <c r="R91" s="2"/>
      <c r="S91" s="16" t="s">
        <v>38</v>
      </c>
      <c r="T91" s="2" t="s">
        <v>39</v>
      </c>
      <c r="U91" s="2" t="s">
        <v>40</v>
      </c>
      <c r="V91" s="2">
        <v>49000</v>
      </c>
      <c r="W91" s="2">
        <v>2</v>
      </c>
      <c r="X91" s="2">
        <v>577</v>
      </c>
      <c r="Y91" s="2">
        <v>1</v>
      </c>
      <c r="Z91" s="2">
        <f>Y91/SIN(AB91/180*PI())</f>
        <v>1.4142135623730951</v>
      </c>
      <c r="AA91" s="2">
        <f t="shared" si="9"/>
        <v>414</v>
      </c>
      <c r="AB91" s="2">
        <v>45</v>
      </c>
      <c r="AC91" s="2">
        <v>45</v>
      </c>
      <c r="AD91" s="2">
        <v>273</v>
      </c>
      <c r="AE91" s="2">
        <v>152.5</v>
      </c>
      <c r="AF91">
        <f t="shared" si="14"/>
        <v>1.1775510204081633E-2</v>
      </c>
    </row>
    <row r="92" spans="1:32" x14ac:dyDescent="0.25">
      <c r="A92" s="2">
        <v>89</v>
      </c>
      <c r="B92" s="2"/>
      <c r="C92" s="2" t="s">
        <v>81</v>
      </c>
      <c r="D92" s="2">
        <v>44.36</v>
      </c>
      <c r="E92" s="2">
        <v>180</v>
      </c>
      <c r="F92" s="2">
        <v>500</v>
      </c>
      <c r="G92" s="2">
        <v>460</v>
      </c>
      <c r="H92" s="2">
        <v>500</v>
      </c>
      <c r="I92" s="2">
        <v>0</v>
      </c>
      <c r="J92" s="2" t="s">
        <v>36</v>
      </c>
      <c r="K92" s="2">
        <v>1600</v>
      </c>
      <c r="L92" s="43">
        <f t="shared" si="12"/>
        <v>3.4782608695652173</v>
      </c>
      <c r="M92" s="2" t="s">
        <v>37</v>
      </c>
      <c r="N92" s="2">
        <v>0</v>
      </c>
      <c r="O92" s="2"/>
      <c r="P92" s="2"/>
      <c r="Q92" s="2"/>
      <c r="R92" s="2"/>
      <c r="S92" s="16" t="s">
        <v>38</v>
      </c>
      <c r="T92" s="2" t="s">
        <v>43</v>
      </c>
      <c r="U92" s="2" t="s">
        <v>40</v>
      </c>
      <c r="V92" s="2">
        <v>70800</v>
      </c>
      <c r="W92" s="2">
        <v>0.8</v>
      </c>
      <c r="X92" s="2">
        <v>860</v>
      </c>
      <c r="Y92" s="2">
        <v>50</v>
      </c>
      <c r="Z92" s="2">
        <v>100</v>
      </c>
      <c r="AA92" s="2">
        <f t="shared" si="9"/>
        <v>414</v>
      </c>
      <c r="AB92" s="2">
        <v>45</v>
      </c>
      <c r="AC92" s="2">
        <v>45</v>
      </c>
      <c r="AD92" s="2">
        <v>195</v>
      </c>
      <c r="AE92" s="2">
        <v>89</v>
      </c>
      <c r="AF92">
        <f t="shared" si="14"/>
        <v>1.2146892655367232E-2</v>
      </c>
    </row>
    <row r="93" spans="1:32" x14ac:dyDescent="0.25">
      <c r="A93" s="2">
        <v>90</v>
      </c>
      <c r="B93" s="2"/>
      <c r="C93" s="2" t="s">
        <v>83</v>
      </c>
      <c r="D93" s="2">
        <v>44.36</v>
      </c>
      <c r="E93" s="2">
        <v>180</v>
      </c>
      <c r="F93" s="2">
        <v>500</v>
      </c>
      <c r="G93" s="2">
        <v>460</v>
      </c>
      <c r="H93" s="2">
        <v>500</v>
      </c>
      <c r="I93" s="2">
        <v>0</v>
      </c>
      <c r="J93" s="2" t="s">
        <v>36</v>
      </c>
      <c r="K93" s="2">
        <v>1200</v>
      </c>
      <c r="L93" s="43">
        <f t="shared" si="12"/>
        <v>2.6086956521739131</v>
      </c>
      <c r="M93" s="2" t="s">
        <v>37</v>
      </c>
      <c r="N93" s="2">
        <v>0</v>
      </c>
      <c r="O93" s="2"/>
      <c r="P93" s="2"/>
      <c r="Q93" s="2"/>
      <c r="R93" s="2"/>
      <c r="S93" s="16" t="s">
        <v>38</v>
      </c>
      <c r="T93" s="2" t="s">
        <v>39</v>
      </c>
      <c r="U93" s="2" t="s">
        <v>40</v>
      </c>
      <c r="V93" s="2">
        <v>70800</v>
      </c>
      <c r="W93" s="2">
        <v>0.8</v>
      </c>
      <c r="X93" s="2">
        <v>860</v>
      </c>
      <c r="Y93" s="2">
        <v>1</v>
      </c>
      <c r="Z93" s="2">
        <f>Y93/SIN(AB93/180*PI())</f>
        <v>1.4142135623730951</v>
      </c>
      <c r="AA93" s="2">
        <f t="shared" si="9"/>
        <v>414</v>
      </c>
      <c r="AB93" s="2">
        <v>45</v>
      </c>
      <c r="AC93" s="2">
        <v>45</v>
      </c>
      <c r="AD93" s="2">
        <v>243</v>
      </c>
      <c r="AE93" s="2">
        <v>122.5</v>
      </c>
      <c r="AF93">
        <f t="shared" si="14"/>
        <v>1.2146892655367232E-2</v>
      </c>
    </row>
    <row r="94" spans="1:32" x14ac:dyDescent="0.25">
      <c r="A94" s="2">
        <v>91</v>
      </c>
      <c r="B94" s="17"/>
      <c r="C94" s="2" t="s">
        <v>143</v>
      </c>
      <c r="D94" s="18">
        <v>35</v>
      </c>
      <c r="E94" s="18">
        <v>150</v>
      </c>
      <c r="F94" s="18">
        <v>405</v>
      </c>
      <c r="G94" s="18">
        <v>360</v>
      </c>
      <c r="H94" s="18">
        <v>405</v>
      </c>
      <c r="I94" s="18">
        <v>100</v>
      </c>
      <c r="J94" s="18" t="s">
        <v>86</v>
      </c>
      <c r="K94" s="18">
        <v>1070</v>
      </c>
      <c r="L94" s="19">
        <f t="shared" si="12"/>
        <v>2.9722222222222223</v>
      </c>
      <c r="M94" s="18" t="s">
        <v>37</v>
      </c>
      <c r="N94" s="18"/>
      <c r="O94" s="18"/>
      <c r="P94" s="18"/>
      <c r="Q94" s="18"/>
      <c r="R94" s="18"/>
      <c r="S94" s="18" t="s">
        <v>38</v>
      </c>
      <c r="T94" s="18" t="s">
        <v>39</v>
      </c>
      <c r="U94" s="18" t="s">
        <v>144</v>
      </c>
      <c r="V94" s="18">
        <v>228000</v>
      </c>
      <c r="W94" s="18">
        <v>0.16500000000000001</v>
      </c>
      <c r="X94" s="18">
        <v>3970</v>
      </c>
      <c r="Y94" s="18">
        <v>1</v>
      </c>
      <c r="Z94" s="18">
        <v>1</v>
      </c>
      <c r="AA94" s="20">
        <f t="shared" ref="AA94:AA150" si="16">0.9*G94-(F94-H94)-I94</f>
        <v>224</v>
      </c>
      <c r="AB94" s="18">
        <v>90</v>
      </c>
      <c r="AC94" s="21" t="e">
        <v>#REF!</v>
      </c>
      <c r="AD94" s="22">
        <v>155</v>
      </c>
      <c r="AE94" s="22">
        <v>65</v>
      </c>
      <c r="AF94">
        <f t="shared" si="14"/>
        <v>1.7412280701754386E-2</v>
      </c>
    </row>
    <row r="95" spans="1:32" x14ac:dyDescent="0.25">
      <c r="A95" s="2">
        <v>92</v>
      </c>
      <c r="B95" s="17" t="s">
        <v>145</v>
      </c>
      <c r="C95" s="18" t="s">
        <v>146</v>
      </c>
      <c r="D95" s="18">
        <v>35</v>
      </c>
      <c r="E95" s="18">
        <v>150</v>
      </c>
      <c r="F95" s="18">
        <v>405</v>
      </c>
      <c r="G95" s="18">
        <v>360</v>
      </c>
      <c r="H95" s="18">
        <v>405</v>
      </c>
      <c r="I95" s="18">
        <v>100</v>
      </c>
      <c r="J95" s="18" t="s">
        <v>86</v>
      </c>
      <c r="K95" s="18">
        <v>1071</v>
      </c>
      <c r="L95" s="19">
        <f t="shared" si="12"/>
        <v>2.9750000000000001</v>
      </c>
      <c r="M95" s="18" t="s">
        <v>37</v>
      </c>
      <c r="N95" s="18"/>
      <c r="O95" s="18"/>
      <c r="P95" s="18"/>
      <c r="Q95" s="18"/>
      <c r="R95" s="18"/>
      <c r="S95" s="18" t="s">
        <v>38</v>
      </c>
      <c r="T95" s="18" t="s">
        <v>39</v>
      </c>
      <c r="U95" s="18" t="s">
        <v>144</v>
      </c>
      <c r="V95" s="18">
        <v>228000</v>
      </c>
      <c r="W95" s="18">
        <v>0.16500000000000001</v>
      </c>
      <c r="X95" s="18">
        <v>3970</v>
      </c>
      <c r="Y95" s="18">
        <v>1</v>
      </c>
      <c r="Z95" s="18">
        <v>1</v>
      </c>
      <c r="AA95" s="20">
        <f t="shared" si="16"/>
        <v>224</v>
      </c>
      <c r="AB95" s="18">
        <v>90</v>
      </c>
      <c r="AC95" s="18" t="e">
        <f>AC94</f>
        <v>#REF!</v>
      </c>
      <c r="AD95" s="22">
        <v>157.5</v>
      </c>
      <c r="AE95" s="22">
        <v>67.5</v>
      </c>
      <c r="AF95">
        <f t="shared" si="14"/>
        <v>1.7412280701754386E-2</v>
      </c>
    </row>
    <row r="96" spans="1:32" x14ac:dyDescent="0.25">
      <c r="A96" s="2">
        <v>93</v>
      </c>
      <c r="B96" s="44"/>
      <c r="C96" s="18" t="s">
        <v>147</v>
      </c>
      <c r="D96" s="18">
        <v>35</v>
      </c>
      <c r="E96" s="18">
        <v>150</v>
      </c>
      <c r="F96" s="18">
        <v>405</v>
      </c>
      <c r="G96" s="18">
        <v>360</v>
      </c>
      <c r="H96" s="18">
        <v>405</v>
      </c>
      <c r="I96" s="18">
        <v>100</v>
      </c>
      <c r="J96" s="18" t="s">
        <v>86</v>
      </c>
      <c r="K96" s="18">
        <v>1070</v>
      </c>
      <c r="L96" s="19">
        <f t="shared" si="12"/>
        <v>2.9722222222222223</v>
      </c>
      <c r="M96" s="18" t="s">
        <v>37</v>
      </c>
      <c r="N96" s="18"/>
      <c r="O96" s="18"/>
      <c r="P96" s="18"/>
      <c r="Q96" s="18"/>
      <c r="R96" s="18"/>
      <c r="S96" s="18" t="s">
        <v>38</v>
      </c>
      <c r="T96" s="18" t="s">
        <v>43</v>
      </c>
      <c r="U96" s="18" t="s">
        <v>144</v>
      </c>
      <c r="V96" s="18">
        <v>228000</v>
      </c>
      <c r="W96" s="18">
        <v>0.16500000000000001</v>
      </c>
      <c r="X96" s="18">
        <v>3970</v>
      </c>
      <c r="Y96" s="18">
        <v>50</v>
      </c>
      <c r="Z96" s="18">
        <v>125</v>
      </c>
      <c r="AA96" s="20">
        <f t="shared" si="16"/>
        <v>224</v>
      </c>
      <c r="AB96" s="18">
        <v>90</v>
      </c>
      <c r="AC96" s="18" t="e">
        <f t="shared" ref="AC96:AC150" si="17">AC95</f>
        <v>#REF!</v>
      </c>
      <c r="AD96" s="22">
        <v>162</v>
      </c>
      <c r="AE96" s="22">
        <v>72</v>
      </c>
      <c r="AF96">
        <f t="shared" si="14"/>
        <v>1.7412280701754386E-2</v>
      </c>
    </row>
    <row r="97" spans="1:32" x14ac:dyDescent="0.25">
      <c r="A97" s="2">
        <v>94</v>
      </c>
      <c r="B97" s="33"/>
      <c r="C97" s="18" t="s">
        <v>148</v>
      </c>
      <c r="D97" s="18">
        <v>27.5</v>
      </c>
      <c r="E97" s="18">
        <v>150</v>
      </c>
      <c r="F97" s="18">
        <v>305</v>
      </c>
      <c r="G97" s="18">
        <v>250</v>
      </c>
      <c r="H97" s="18">
        <v>305</v>
      </c>
      <c r="I97" s="18">
        <v>0</v>
      </c>
      <c r="J97" s="18" t="s">
        <v>36</v>
      </c>
      <c r="K97" s="18">
        <v>760</v>
      </c>
      <c r="L97" s="19">
        <f t="shared" si="12"/>
        <v>3.04</v>
      </c>
      <c r="M97" s="18" t="s">
        <v>37</v>
      </c>
      <c r="N97" s="18"/>
      <c r="O97" s="18"/>
      <c r="P97" s="18"/>
      <c r="Q97" s="18"/>
      <c r="R97" s="18"/>
      <c r="S97" s="18" t="s">
        <v>38</v>
      </c>
      <c r="T97" s="18" t="s">
        <v>43</v>
      </c>
      <c r="U97" s="18" t="s">
        <v>144</v>
      </c>
      <c r="V97" s="18">
        <v>228000</v>
      </c>
      <c r="W97" s="18">
        <v>0.16500000000000001</v>
      </c>
      <c r="X97" s="18">
        <v>3970</v>
      </c>
      <c r="Y97" s="18">
        <v>50</v>
      </c>
      <c r="Z97" s="18">
        <v>125</v>
      </c>
      <c r="AA97" s="20">
        <f t="shared" si="16"/>
        <v>225</v>
      </c>
      <c r="AB97" s="18">
        <v>90</v>
      </c>
      <c r="AC97" s="18" t="e">
        <f t="shared" si="17"/>
        <v>#REF!</v>
      </c>
      <c r="AD97" s="18">
        <v>131</v>
      </c>
      <c r="AE97" s="18">
        <v>54</v>
      </c>
      <c r="AF97">
        <f t="shared" si="14"/>
        <v>1.7412280701754386E-2</v>
      </c>
    </row>
    <row r="98" spans="1:32" x14ac:dyDescent="0.25">
      <c r="A98" s="2">
        <v>95</v>
      </c>
      <c r="B98" s="33" t="s">
        <v>149</v>
      </c>
      <c r="C98" s="18" t="s">
        <v>150</v>
      </c>
      <c r="D98" s="18">
        <v>27.5</v>
      </c>
      <c r="E98" s="18">
        <v>150</v>
      </c>
      <c r="F98" s="18">
        <v>305</v>
      </c>
      <c r="G98" s="18">
        <v>250</v>
      </c>
      <c r="H98" s="18">
        <v>305</v>
      </c>
      <c r="I98" s="18">
        <v>0</v>
      </c>
      <c r="J98" s="18" t="s">
        <v>36</v>
      </c>
      <c r="K98" s="18">
        <v>760</v>
      </c>
      <c r="L98" s="19">
        <f t="shared" si="12"/>
        <v>3.04</v>
      </c>
      <c r="M98" s="18" t="s">
        <v>37</v>
      </c>
      <c r="N98" s="18"/>
      <c r="O98" s="18"/>
      <c r="P98" s="18"/>
      <c r="Q98" s="18"/>
      <c r="R98" s="18"/>
      <c r="S98" s="18" t="s">
        <v>38</v>
      </c>
      <c r="T98" s="18" t="s">
        <v>43</v>
      </c>
      <c r="U98" s="18" t="s">
        <v>144</v>
      </c>
      <c r="V98" s="18">
        <v>228000</v>
      </c>
      <c r="W98" s="18">
        <v>0.16500000000000001</v>
      </c>
      <c r="X98" s="18">
        <v>3970</v>
      </c>
      <c r="Y98" s="18">
        <v>50</v>
      </c>
      <c r="Z98" s="18">
        <v>125</v>
      </c>
      <c r="AA98" s="20">
        <f t="shared" si="16"/>
        <v>225</v>
      </c>
      <c r="AB98" s="18">
        <v>90</v>
      </c>
      <c r="AC98" s="18" t="e">
        <f t="shared" si="17"/>
        <v>#REF!</v>
      </c>
      <c r="AD98" s="18">
        <v>127.5</v>
      </c>
      <c r="AE98" s="18">
        <v>62.5</v>
      </c>
      <c r="AF98">
        <f t="shared" si="14"/>
        <v>1.7412280701754386E-2</v>
      </c>
    </row>
    <row r="99" spans="1:32" x14ac:dyDescent="0.25">
      <c r="A99" s="2">
        <v>96</v>
      </c>
      <c r="B99" s="33"/>
      <c r="C99" s="18" t="s">
        <v>151</v>
      </c>
      <c r="D99" s="18">
        <v>27.5</v>
      </c>
      <c r="E99" s="18">
        <v>150</v>
      </c>
      <c r="F99" s="18">
        <v>305</v>
      </c>
      <c r="G99" s="18">
        <v>250</v>
      </c>
      <c r="H99" s="18">
        <v>305</v>
      </c>
      <c r="I99" s="18">
        <v>0</v>
      </c>
      <c r="J99" s="18" t="s">
        <v>36</v>
      </c>
      <c r="K99" s="18">
        <v>760</v>
      </c>
      <c r="L99" s="19">
        <f t="shared" si="12"/>
        <v>3.04</v>
      </c>
      <c r="M99" s="18" t="s">
        <v>37</v>
      </c>
      <c r="N99" s="18"/>
      <c r="O99" s="18"/>
      <c r="P99" s="18"/>
      <c r="Q99" s="18"/>
      <c r="R99" s="18"/>
      <c r="S99" s="18" t="s">
        <v>38</v>
      </c>
      <c r="T99" s="18" t="s">
        <v>43</v>
      </c>
      <c r="U99" s="18" t="s">
        <v>144</v>
      </c>
      <c r="V99" s="18">
        <v>228000</v>
      </c>
      <c r="W99" s="18">
        <v>0.16500000000000001</v>
      </c>
      <c r="X99" s="18">
        <v>3970</v>
      </c>
      <c r="Y99" s="18">
        <v>75</v>
      </c>
      <c r="Z99" s="18">
        <v>125</v>
      </c>
      <c r="AA99" s="20">
        <f t="shared" si="16"/>
        <v>225</v>
      </c>
      <c r="AB99" s="18">
        <v>90</v>
      </c>
      <c r="AC99" s="18" t="e">
        <f t="shared" si="17"/>
        <v>#REF!</v>
      </c>
      <c r="AD99" s="18">
        <v>133.5</v>
      </c>
      <c r="AE99" s="18">
        <v>56.5</v>
      </c>
      <c r="AF99">
        <f t="shared" si="14"/>
        <v>1.7412280701754386E-2</v>
      </c>
    </row>
    <row r="100" spans="1:32" x14ac:dyDescent="0.25">
      <c r="A100" s="2">
        <v>97</v>
      </c>
      <c r="B100" s="33"/>
      <c r="C100" s="18" t="s">
        <v>152</v>
      </c>
      <c r="D100" s="18">
        <v>27.5</v>
      </c>
      <c r="E100" s="18">
        <v>150</v>
      </c>
      <c r="F100" s="18">
        <v>305</v>
      </c>
      <c r="G100" s="18">
        <v>250</v>
      </c>
      <c r="H100" s="18">
        <v>305</v>
      </c>
      <c r="I100" s="18">
        <v>0</v>
      </c>
      <c r="J100" s="18" t="s">
        <v>36</v>
      </c>
      <c r="K100" s="18">
        <v>1020</v>
      </c>
      <c r="L100" s="19">
        <f t="shared" si="12"/>
        <v>4.08</v>
      </c>
      <c r="M100" s="18" t="s">
        <v>37</v>
      </c>
      <c r="N100" s="18"/>
      <c r="O100" s="18"/>
      <c r="P100" s="18"/>
      <c r="Q100" s="18"/>
      <c r="R100" s="18"/>
      <c r="S100" s="18" t="s">
        <v>38</v>
      </c>
      <c r="T100" s="18" t="s">
        <v>39</v>
      </c>
      <c r="U100" s="18" t="s">
        <v>144</v>
      </c>
      <c r="V100" s="18">
        <v>228000</v>
      </c>
      <c r="W100" s="18">
        <v>0.16500000000000001</v>
      </c>
      <c r="X100" s="18">
        <v>3970</v>
      </c>
      <c r="Y100" s="18">
        <v>1</v>
      </c>
      <c r="Z100" s="18">
        <v>1</v>
      </c>
      <c r="AA100" s="20">
        <f t="shared" si="16"/>
        <v>225</v>
      </c>
      <c r="AB100" s="18">
        <v>90</v>
      </c>
      <c r="AC100" s="18" t="e">
        <f t="shared" si="17"/>
        <v>#REF!</v>
      </c>
      <c r="AD100" s="18">
        <v>144.5</v>
      </c>
      <c r="AE100" s="18">
        <v>67.5</v>
      </c>
      <c r="AF100">
        <f t="shared" si="14"/>
        <v>1.7412280701754386E-2</v>
      </c>
    </row>
    <row r="101" spans="1:32" x14ac:dyDescent="0.25">
      <c r="A101" s="2">
        <v>98</v>
      </c>
      <c r="B101" s="33"/>
      <c r="C101" s="18" t="s">
        <v>153</v>
      </c>
      <c r="D101" s="18">
        <v>27.5</v>
      </c>
      <c r="E101" s="18">
        <v>150</v>
      </c>
      <c r="F101" s="18">
        <v>305</v>
      </c>
      <c r="G101" s="18">
        <v>250</v>
      </c>
      <c r="H101" s="18">
        <v>305</v>
      </c>
      <c r="I101" s="18">
        <v>0</v>
      </c>
      <c r="J101" s="18" t="s">
        <v>36</v>
      </c>
      <c r="K101" s="18">
        <v>1020</v>
      </c>
      <c r="L101" s="19">
        <f t="shared" si="12"/>
        <v>4.08</v>
      </c>
      <c r="M101" s="18" t="s">
        <v>37</v>
      </c>
      <c r="N101" s="18"/>
      <c r="O101" s="18"/>
      <c r="P101" s="18"/>
      <c r="Q101" s="18"/>
      <c r="R101" s="18"/>
      <c r="S101" s="18" t="s">
        <v>38</v>
      </c>
      <c r="T101" s="18" t="s">
        <v>39</v>
      </c>
      <c r="U101" s="18" t="s">
        <v>144</v>
      </c>
      <c r="V101" s="18">
        <v>228000</v>
      </c>
      <c r="W101" s="18">
        <v>0.16500000000000001</v>
      </c>
      <c r="X101" s="18">
        <v>3970</v>
      </c>
      <c r="Y101" s="18">
        <v>1</v>
      </c>
      <c r="Z101" s="18">
        <v>1</v>
      </c>
      <c r="AA101" s="20">
        <f t="shared" si="16"/>
        <v>225</v>
      </c>
      <c r="AB101" s="18">
        <v>90</v>
      </c>
      <c r="AC101" s="18" t="e">
        <f t="shared" si="17"/>
        <v>#REF!</v>
      </c>
      <c r="AD101" s="18">
        <v>155</v>
      </c>
      <c r="AE101" s="17">
        <v>90</v>
      </c>
      <c r="AF101">
        <f t="shared" si="14"/>
        <v>1.7412280701754386E-2</v>
      </c>
    </row>
    <row r="102" spans="1:32" x14ac:dyDescent="0.25">
      <c r="A102" s="2">
        <v>99</v>
      </c>
      <c r="B102" s="32"/>
      <c r="C102" s="18" t="s">
        <v>154</v>
      </c>
      <c r="D102" s="18">
        <v>40</v>
      </c>
      <c r="E102" s="18">
        <v>130</v>
      </c>
      <c r="F102" s="18">
        <v>450</v>
      </c>
      <c r="G102" s="18">
        <v>425</v>
      </c>
      <c r="H102" s="18">
        <f>450</f>
        <v>450</v>
      </c>
      <c r="I102" s="18">
        <v>0</v>
      </c>
      <c r="J102" s="18" t="s">
        <v>36</v>
      </c>
      <c r="K102" s="18">
        <v>900</v>
      </c>
      <c r="L102" s="19">
        <f t="shared" si="12"/>
        <v>2.1176470588235294</v>
      </c>
      <c r="M102" s="18" t="s">
        <v>52</v>
      </c>
      <c r="N102" s="18">
        <v>6</v>
      </c>
      <c r="O102" s="18">
        <v>300</v>
      </c>
      <c r="P102" s="18">
        <v>210000</v>
      </c>
      <c r="Q102" s="18">
        <v>240</v>
      </c>
      <c r="R102" s="18" t="s">
        <v>155</v>
      </c>
      <c r="S102" s="18" t="s">
        <v>38</v>
      </c>
      <c r="T102" s="18" t="s">
        <v>43</v>
      </c>
      <c r="U102" s="18" t="s">
        <v>144</v>
      </c>
      <c r="V102" s="18">
        <v>105000</v>
      </c>
      <c r="W102" s="18">
        <v>0.43</v>
      </c>
      <c r="X102" s="18">
        <v>1400</v>
      </c>
      <c r="Y102" s="18">
        <v>40</v>
      </c>
      <c r="Z102" s="18">
        <v>200</v>
      </c>
      <c r="AA102" s="20">
        <f t="shared" si="16"/>
        <v>382.5</v>
      </c>
      <c r="AB102" s="18">
        <v>90</v>
      </c>
      <c r="AC102" s="18" t="e">
        <f t="shared" si="17"/>
        <v>#REF!</v>
      </c>
      <c r="AD102" s="18">
        <v>142.5</v>
      </c>
      <c r="AE102" s="18">
        <f>65/2</f>
        <v>32.5</v>
      </c>
      <c r="AF102">
        <f t="shared" si="14"/>
        <v>1.3333333333333334E-2</v>
      </c>
    </row>
    <row r="103" spans="1:32" x14ac:dyDescent="0.25">
      <c r="A103" s="2">
        <v>100</v>
      </c>
      <c r="B103" s="32" t="s">
        <v>156</v>
      </c>
      <c r="C103" s="18" t="s">
        <v>157</v>
      </c>
      <c r="D103" s="18">
        <v>40</v>
      </c>
      <c r="E103" s="18">
        <v>130</v>
      </c>
      <c r="F103" s="18">
        <v>450</v>
      </c>
      <c r="G103" s="18">
        <v>425</v>
      </c>
      <c r="H103" s="18">
        <f>450</f>
        <v>450</v>
      </c>
      <c r="I103" s="18">
        <v>0</v>
      </c>
      <c r="J103" s="18" t="s">
        <v>36</v>
      </c>
      <c r="K103" s="18">
        <v>900</v>
      </c>
      <c r="L103" s="19">
        <f t="shared" si="12"/>
        <v>2.1176470588235294</v>
      </c>
      <c r="M103" s="18" t="s">
        <v>52</v>
      </c>
      <c r="N103" s="18">
        <v>6</v>
      </c>
      <c r="O103" s="18">
        <v>300</v>
      </c>
      <c r="P103" s="18">
        <v>210000</v>
      </c>
      <c r="Q103" s="18">
        <v>240</v>
      </c>
      <c r="R103" s="18">
        <f>100*2*3.1416*N103^2/4/O103/E103</f>
        <v>0.14499692307692308</v>
      </c>
      <c r="S103" s="18" t="s">
        <v>38</v>
      </c>
      <c r="T103" s="18" t="s">
        <v>43</v>
      </c>
      <c r="U103" s="18" t="s">
        <v>144</v>
      </c>
      <c r="V103" s="18">
        <v>105000</v>
      </c>
      <c r="W103" s="18">
        <v>0.43</v>
      </c>
      <c r="X103" s="18">
        <v>1400</v>
      </c>
      <c r="Y103" s="18">
        <v>40</v>
      </c>
      <c r="Z103" s="18">
        <v>250</v>
      </c>
      <c r="AA103" s="20">
        <f t="shared" si="16"/>
        <v>382.5</v>
      </c>
      <c r="AB103" s="18">
        <v>90</v>
      </c>
      <c r="AC103" s="18" t="e">
        <f t="shared" si="17"/>
        <v>#REF!</v>
      </c>
      <c r="AD103" s="18">
        <v>130</v>
      </c>
      <c r="AE103" s="18">
        <f>40/2</f>
        <v>20</v>
      </c>
      <c r="AF103">
        <f t="shared" si="14"/>
        <v>1.3333333333333334E-2</v>
      </c>
    </row>
    <row r="104" spans="1:32" x14ac:dyDescent="0.25">
      <c r="A104" s="2">
        <v>101</v>
      </c>
      <c r="B104" s="32"/>
      <c r="C104" s="18" t="s">
        <v>158</v>
      </c>
      <c r="D104" s="18">
        <v>40</v>
      </c>
      <c r="E104" s="18">
        <v>130</v>
      </c>
      <c r="F104" s="18">
        <v>450</v>
      </c>
      <c r="G104" s="18">
        <v>425</v>
      </c>
      <c r="H104" s="18">
        <f>450</f>
        <v>450</v>
      </c>
      <c r="I104" s="18">
        <v>0</v>
      </c>
      <c r="J104" s="18" t="s">
        <v>36</v>
      </c>
      <c r="K104" s="18">
        <v>900</v>
      </c>
      <c r="L104" s="19">
        <f t="shared" si="12"/>
        <v>2.1176470588235294</v>
      </c>
      <c r="M104" s="18" t="s">
        <v>52</v>
      </c>
      <c r="N104" s="18">
        <v>6</v>
      </c>
      <c r="O104" s="18">
        <v>300</v>
      </c>
      <c r="P104" s="18">
        <v>210000</v>
      </c>
      <c r="Q104" s="18">
        <v>240</v>
      </c>
      <c r="R104" s="18">
        <f>100*2*3.1416*N104^2/4/O104/E104</f>
        <v>0.14499692307692308</v>
      </c>
      <c r="S104" s="18" t="s">
        <v>38</v>
      </c>
      <c r="T104" s="18" t="s">
        <v>43</v>
      </c>
      <c r="U104" s="18" t="s">
        <v>144</v>
      </c>
      <c r="V104" s="18">
        <v>105000</v>
      </c>
      <c r="W104" s="18">
        <v>0.43</v>
      </c>
      <c r="X104" s="18">
        <v>1400</v>
      </c>
      <c r="Y104" s="18">
        <v>40</v>
      </c>
      <c r="Z104" s="18">
        <v>300</v>
      </c>
      <c r="AA104" s="20">
        <f t="shared" si="16"/>
        <v>382.5</v>
      </c>
      <c r="AB104" s="18">
        <v>45</v>
      </c>
      <c r="AC104" s="18" t="e">
        <f t="shared" si="17"/>
        <v>#REF!</v>
      </c>
      <c r="AD104" s="18">
        <v>154.5</v>
      </c>
      <c r="AE104" s="18">
        <f>89/2</f>
        <v>44.5</v>
      </c>
      <c r="AF104">
        <f t="shared" si="14"/>
        <v>1.3333333333333334E-2</v>
      </c>
    </row>
    <row r="105" spans="1:32" x14ac:dyDescent="0.25">
      <c r="A105" s="2">
        <v>102</v>
      </c>
      <c r="B105" s="32"/>
      <c r="C105" s="18" t="s">
        <v>159</v>
      </c>
      <c r="D105" s="18">
        <v>40</v>
      </c>
      <c r="E105" s="18">
        <v>130</v>
      </c>
      <c r="F105" s="18">
        <v>450</v>
      </c>
      <c r="G105" s="18">
        <v>425</v>
      </c>
      <c r="H105" s="18">
        <f>450</f>
        <v>450</v>
      </c>
      <c r="I105" s="18">
        <v>0</v>
      </c>
      <c r="J105" s="18" t="s">
        <v>36</v>
      </c>
      <c r="K105" s="18">
        <v>900</v>
      </c>
      <c r="L105" s="19">
        <f t="shared" si="12"/>
        <v>2.1176470588235294</v>
      </c>
      <c r="M105" s="18" t="s">
        <v>52</v>
      </c>
      <c r="N105" s="18">
        <v>6</v>
      </c>
      <c r="O105" s="18">
        <v>300</v>
      </c>
      <c r="P105" s="18">
        <v>210000</v>
      </c>
      <c r="Q105" s="18">
        <v>240</v>
      </c>
      <c r="R105" s="18">
        <f>100*2*3.1416*N105^2/4/O105/E105</f>
        <v>0.14499692307692308</v>
      </c>
      <c r="S105" s="18" t="s">
        <v>38</v>
      </c>
      <c r="T105" s="18" t="s">
        <v>43</v>
      </c>
      <c r="U105" s="18" t="s">
        <v>144</v>
      </c>
      <c r="V105" s="18">
        <v>105000</v>
      </c>
      <c r="W105" s="18">
        <v>0.43</v>
      </c>
      <c r="X105" s="18">
        <v>1400</v>
      </c>
      <c r="Y105" s="18">
        <v>40</v>
      </c>
      <c r="Z105" s="18">
        <v>350</v>
      </c>
      <c r="AA105" s="20">
        <f t="shared" si="16"/>
        <v>382.5</v>
      </c>
      <c r="AB105" s="18">
        <v>45</v>
      </c>
      <c r="AC105" s="18" t="e">
        <f t="shared" si="17"/>
        <v>#REF!</v>
      </c>
      <c r="AD105" s="18">
        <v>150</v>
      </c>
      <c r="AE105" s="18">
        <f>80/2</f>
        <v>40</v>
      </c>
      <c r="AF105">
        <f t="shared" si="14"/>
        <v>1.3333333333333334E-2</v>
      </c>
    </row>
    <row r="106" spans="1:32" x14ac:dyDescent="0.25">
      <c r="A106" s="2">
        <v>103</v>
      </c>
      <c r="B106" s="33"/>
      <c r="C106" s="17" t="s">
        <v>160</v>
      </c>
      <c r="D106" s="17">
        <v>13.3</v>
      </c>
      <c r="E106" s="17">
        <v>250</v>
      </c>
      <c r="F106" s="17">
        <v>450</v>
      </c>
      <c r="G106" s="17">
        <v>400</v>
      </c>
      <c r="H106" s="17">
        <v>450</v>
      </c>
      <c r="I106" s="17">
        <v>150</v>
      </c>
      <c r="J106" s="17" t="s">
        <v>36</v>
      </c>
      <c r="K106" s="17">
        <v>1400</v>
      </c>
      <c r="L106" s="17">
        <v>2.2000000000000002</v>
      </c>
      <c r="M106" s="17" t="s">
        <v>18</v>
      </c>
      <c r="N106" s="17">
        <v>8</v>
      </c>
      <c r="O106" s="17">
        <v>400</v>
      </c>
      <c r="P106" s="17">
        <v>200000</v>
      </c>
      <c r="Q106" s="17">
        <v>500</v>
      </c>
      <c r="R106" s="17">
        <f>100*2*3.1416*N106^2/4/O106/E106</f>
        <v>0.10053119999999999</v>
      </c>
      <c r="S106" s="17" t="s">
        <v>38</v>
      </c>
      <c r="T106" s="17" t="s">
        <v>43</v>
      </c>
      <c r="U106" s="18" t="s">
        <v>144</v>
      </c>
      <c r="V106" s="17">
        <v>390000</v>
      </c>
      <c r="W106" s="17">
        <v>0.22</v>
      </c>
      <c r="X106" s="17">
        <v>3000</v>
      </c>
      <c r="Y106" s="17">
        <v>150</v>
      </c>
      <c r="Z106" s="17">
        <v>300</v>
      </c>
      <c r="AA106" s="17">
        <f t="shared" si="16"/>
        <v>210</v>
      </c>
      <c r="AB106" s="17">
        <v>60</v>
      </c>
      <c r="AC106" s="17" t="e">
        <f t="shared" si="17"/>
        <v>#REF!</v>
      </c>
      <c r="AD106" s="17">
        <v>111</v>
      </c>
      <c r="AE106" s="17">
        <v>12</v>
      </c>
      <c r="AF106">
        <f t="shared" si="14"/>
        <v>7.6923076923076927E-3</v>
      </c>
    </row>
    <row r="107" spans="1:32" x14ac:dyDescent="0.25">
      <c r="A107" s="2">
        <v>104</v>
      </c>
      <c r="B107" s="33" t="s">
        <v>161</v>
      </c>
      <c r="C107" s="17" t="s">
        <v>162</v>
      </c>
      <c r="D107" s="17">
        <v>13.3</v>
      </c>
      <c r="E107" s="17">
        <v>250</v>
      </c>
      <c r="F107" s="17">
        <v>450</v>
      </c>
      <c r="G107" s="17">
        <v>400</v>
      </c>
      <c r="H107" s="17">
        <v>450</v>
      </c>
      <c r="I107" s="17">
        <v>150</v>
      </c>
      <c r="J107" s="17" t="s">
        <v>36</v>
      </c>
      <c r="K107" s="17">
        <v>1400</v>
      </c>
      <c r="L107" s="17">
        <v>2.2000000000000002</v>
      </c>
      <c r="M107" s="17" t="s">
        <v>18</v>
      </c>
      <c r="N107" s="17">
        <v>8</v>
      </c>
      <c r="O107" s="17">
        <v>400</v>
      </c>
      <c r="P107" s="17">
        <v>200000</v>
      </c>
      <c r="Q107" s="17">
        <v>500</v>
      </c>
      <c r="R107" s="17">
        <f t="shared" ref="R107:R121" si="18">100*2*3.1416*N107^2/4/O107/E107</f>
        <v>0.10053119999999999</v>
      </c>
      <c r="S107" s="17" t="s">
        <v>38</v>
      </c>
      <c r="T107" s="17" t="s">
        <v>39</v>
      </c>
      <c r="U107" s="18" t="s">
        <v>144</v>
      </c>
      <c r="V107" s="17">
        <v>390000</v>
      </c>
      <c r="W107" s="17">
        <v>0.22</v>
      </c>
      <c r="X107" s="17">
        <v>3000</v>
      </c>
      <c r="Y107" s="17">
        <v>1</v>
      </c>
      <c r="Z107" s="17">
        <v>1</v>
      </c>
      <c r="AA107" s="17">
        <f t="shared" si="16"/>
        <v>210</v>
      </c>
      <c r="AB107" s="17">
        <v>90</v>
      </c>
      <c r="AC107" s="17" t="e">
        <f t="shared" si="17"/>
        <v>#REF!</v>
      </c>
      <c r="AD107" s="17">
        <v>125</v>
      </c>
      <c r="AE107" s="17">
        <v>27</v>
      </c>
      <c r="AF107">
        <f t="shared" si="14"/>
        <v>7.6923076923076927E-3</v>
      </c>
    </row>
    <row r="108" spans="1:32" x14ac:dyDescent="0.25">
      <c r="A108" s="2">
        <v>105</v>
      </c>
      <c r="B108" s="32" t="s">
        <v>163</v>
      </c>
      <c r="C108" s="18" t="s">
        <v>164</v>
      </c>
      <c r="D108" s="18">
        <v>36</v>
      </c>
      <c r="E108" s="18">
        <v>200</v>
      </c>
      <c r="F108" s="18">
        <v>450</v>
      </c>
      <c r="G108" s="18">
        <v>390</v>
      </c>
      <c r="H108" s="18">
        <v>450</v>
      </c>
      <c r="I108" s="18">
        <v>0</v>
      </c>
      <c r="J108" s="18" t="s">
        <v>36</v>
      </c>
      <c r="K108" s="18">
        <v>1250</v>
      </c>
      <c r="L108" s="18">
        <v>2.2000000000000002</v>
      </c>
      <c r="M108" s="18" t="s">
        <v>18</v>
      </c>
      <c r="N108" s="18">
        <v>6</v>
      </c>
      <c r="O108" s="18">
        <v>400</v>
      </c>
      <c r="P108" s="18">
        <v>200000</v>
      </c>
      <c r="Q108" s="18">
        <v>590</v>
      </c>
      <c r="R108" s="18">
        <f t="shared" si="18"/>
        <v>7.0685999999999985E-2</v>
      </c>
      <c r="S108" s="18" t="s">
        <v>38</v>
      </c>
      <c r="T108" s="18" t="s">
        <v>43</v>
      </c>
      <c r="U108" s="18" t="s">
        <v>144</v>
      </c>
      <c r="V108" s="18">
        <v>233000</v>
      </c>
      <c r="W108" s="18">
        <v>0.111</v>
      </c>
      <c r="X108" s="18">
        <v>3500</v>
      </c>
      <c r="Y108" s="18">
        <v>50</v>
      </c>
      <c r="Z108" s="18">
        <v>400</v>
      </c>
      <c r="AA108" s="20">
        <f t="shared" si="16"/>
        <v>351</v>
      </c>
      <c r="AB108" s="18">
        <v>90</v>
      </c>
      <c r="AC108" s="18" t="e">
        <f t="shared" si="17"/>
        <v>#REF!</v>
      </c>
      <c r="AD108" s="22">
        <v>170</v>
      </c>
      <c r="AE108" s="22">
        <v>33.4</v>
      </c>
      <c r="AF108">
        <f t="shared" si="14"/>
        <v>1.5021459227467811E-2</v>
      </c>
    </row>
    <row r="109" spans="1:32" x14ac:dyDescent="0.25">
      <c r="A109" s="2">
        <v>106</v>
      </c>
      <c r="B109" s="6"/>
      <c r="C109" s="18" t="s">
        <v>165</v>
      </c>
      <c r="D109" s="18">
        <v>41.4</v>
      </c>
      <c r="E109" s="18">
        <v>150</v>
      </c>
      <c r="F109" s="18">
        <v>300</v>
      </c>
      <c r="G109" s="18">
        <v>250</v>
      </c>
      <c r="H109" s="18">
        <v>300</v>
      </c>
      <c r="I109" s="18">
        <v>0</v>
      </c>
      <c r="J109" s="18" t="s">
        <v>36</v>
      </c>
      <c r="K109" s="18">
        <v>750</v>
      </c>
      <c r="L109" s="18">
        <v>2.2000000000000002</v>
      </c>
      <c r="M109" s="18" t="s">
        <v>18</v>
      </c>
      <c r="N109" s="18">
        <v>8</v>
      </c>
      <c r="O109" s="18">
        <v>170</v>
      </c>
      <c r="P109" s="18">
        <v>200000</v>
      </c>
      <c r="Q109" s="18">
        <v>534</v>
      </c>
      <c r="R109" s="18">
        <f t="shared" si="18"/>
        <v>0.39423999999999998</v>
      </c>
      <c r="S109" s="18" t="s">
        <v>38</v>
      </c>
      <c r="T109" s="18" t="s">
        <v>39</v>
      </c>
      <c r="U109" s="18" t="s">
        <v>144</v>
      </c>
      <c r="V109" s="18">
        <v>230000</v>
      </c>
      <c r="W109" s="18">
        <v>0.16500000000000001</v>
      </c>
      <c r="X109" s="18">
        <v>3450</v>
      </c>
      <c r="Y109" s="18">
        <v>1</v>
      </c>
      <c r="Z109" s="18">
        <v>1</v>
      </c>
      <c r="AA109" s="20">
        <f t="shared" si="16"/>
        <v>225</v>
      </c>
      <c r="AB109" s="18">
        <v>90</v>
      </c>
      <c r="AC109" s="18" t="e">
        <f t="shared" si="17"/>
        <v>#REF!</v>
      </c>
      <c r="AD109" s="18">
        <v>238.1</v>
      </c>
      <c r="AE109" s="18">
        <v>52.9</v>
      </c>
      <c r="AF109">
        <f t="shared" si="14"/>
        <v>1.4999999999999999E-2</v>
      </c>
    </row>
    <row r="110" spans="1:32" x14ac:dyDescent="0.25">
      <c r="A110" s="2">
        <v>107</v>
      </c>
      <c r="B110" s="33" t="s">
        <v>166</v>
      </c>
      <c r="C110" s="18" t="s">
        <v>167</v>
      </c>
      <c r="D110" s="18">
        <v>41.4</v>
      </c>
      <c r="E110" s="18">
        <v>150</v>
      </c>
      <c r="F110" s="18">
        <v>300</v>
      </c>
      <c r="G110" s="18">
        <v>250</v>
      </c>
      <c r="H110" s="18">
        <v>300</v>
      </c>
      <c r="I110" s="18">
        <v>0</v>
      </c>
      <c r="J110" s="18" t="s">
        <v>36</v>
      </c>
      <c r="K110" s="18">
        <v>750</v>
      </c>
      <c r="L110" s="18">
        <v>2.2000000000000002</v>
      </c>
      <c r="M110" s="18" t="s">
        <v>18</v>
      </c>
      <c r="N110" s="18">
        <v>8</v>
      </c>
      <c r="O110" s="18">
        <v>170</v>
      </c>
      <c r="P110" s="18">
        <v>200000</v>
      </c>
      <c r="Q110" s="18">
        <v>534</v>
      </c>
      <c r="R110" s="18">
        <f t="shared" si="18"/>
        <v>0.39423999999999998</v>
      </c>
      <c r="S110" s="18" t="s">
        <v>38</v>
      </c>
      <c r="T110" s="18" t="s">
        <v>39</v>
      </c>
      <c r="U110" s="18" t="s">
        <v>144</v>
      </c>
      <c r="V110" s="18">
        <v>230000</v>
      </c>
      <c r="W110" s="18">
        <v>0.33</v>
      </c>
      <c r="X110" s="18">
        <v>3450</v>
      </c>
      <c r="Y110" s="18">
        <v>1</v>
      </c>
      <c r="Z110" s="18">
        <v>1</v>
      </c>
      <c r="AA110" s="20">
        <f t="shared" si="16"/>
        <v>225</v>
      </c>
      <c r="AB110" s="18">
        <v>90</v>
      </c>
      <c r="AC110" s="18" t="e">
        <f t="shared" si="17"/>
        <v>#REF!</v>
      </c>
      <c r="AD110" s="18">
        <v>243</v>
      </c>
      <c r="AE110" s="18">
        <v>57.8</v>
      </c>
      <c r="AF110">
        <f t="shared" si="14"/>
        <v>1.4999999999999999E-2</v>
      </c>
    </row>
    <row r="111" spans="1:32" x14ac:dyDescent="0.25">
      <c r="A111" s="2">
        <v>108</v>
      </c>
      <c r="B111" s="33"/>
      <c r="C111" s="18" t="s">
        <v>168</v>
      </c>
      <c r="D111" s="18">
        <v>41.4</v>
      </c>
      <c r="E111" s="18">
        <v>150</v>
      </c>
      <c r="F111" s="18">
        <v>300</v>
      </c>
      <c r="G111" s="18">
        <v>250</v>
      </c>
      <c r="H111" s="18">
        <v>300</v>
      </c>
      <c r="I111" s="18">
        <v>0</v>
      </c>
      <c r="J111" s="18" t="s">
        <v>36</v>
      </c>
      <c r="K111" s="18">
        <v>750</v>
      </c>
      <c r="L111" s="18">
        <v>2.2000000000000002</v>
      </c>
      <c r="M111" s="18" t="s">
        <v>18</v>
      </c>
      <c r="N111" s="18">
        <v>8</v>
      </c>
      <c r="O111" s="18">
        <v>200</v>
      </c>
      <c r="P111" s="18">
        <v>200000</v>
      </c>
      <c r="Q111" s="18">
        <v>534</v>
      </c>
      <c r="R111" s="18">
        <f t="shared" si="18"/>
        <v>0.33510399999999996</v>
      </c>
      <c r="S111" s="18" t="s">
        <v>38</v>
      </c>
      <c r="T111" s="18" t="s">
        <v>39</v>
      </c>
      <c r="U111" s="18" t="s">
        <v>144</v>
      </c>
      <c r="V111" s="18">
        <v>230000</v>
      </c>
      <c r="W111" s="18">
        <v>0.16500000000000001</v>
      </c>
      <c r="X111" s="18">
        <v>3450</v>
      </c>
      <c r="Y111" s="18">
        <v>1</v>
      </c>
      <c r="Z111" s="18">
        <v>1</v>
      </c>
      <c r="AA111" s="20">
        <f t="shared" si="16"/>
        <v>225</v>
      </c>
      <c r="AB111" s="18">
        <v>90</v>
      </c>
      <c r="AC111" s="18" t="e">
        <f t="shared" si="17"/>
        <v>#REF!</v>
      </c>
      <c r="AD111" s="18">
        <v>225</v>
      </c>
      <c r="AE111" s="18">
        <v>55.8</v>
      </c>
      <c r="AF111">
        <f t="shared" si="14"/>
        <v>1.4999999999999999E-2</v>
      </c>
    </row>
    <row r="112" spans="1:32" x14ac:dyDescent="0.25">
      <c r="A112" s="2">
        <v>109</v>
      </c>
      <c r="B112" s="33"/>
      <c r="C112" s="18" t="s">
        <v>169</v>
      </c>
      <c r="D112" s="18">
        <v>41.4</v>
      </c>
      <c r="E112" s="18">
        <v>150</v>
      </c>
      <c r="F112" s="18">
        <v>300</v>
      </c>
      <c r="G112" s="18">
        <v>250</v>
      </c>
      <c r="H112" s="18">
        <v>300</v>
      </c>
      <c r="I112" s="18">
        <v>0</v>
      </c>
      <c r="J112" s="18" t="s">
        <v>36</v>
      </c>
      <c r="K112" s="18">
        <v>750</v>
      </c>
      <c r="L112" s="18">
        <v>2.2000000000000002</v>
      </c>
      <c r="M112" s="18" t="s">
        <v>18</v>
      </c>
      <c r="N112" s="18">
        <v>8</v>
      </c>
      <c r="O112" s="18">
        <v>200</v>
      </c>
      <c r="P112" s="18">
        <v>200000</v>
      </c>
      <c r="Q112" s="18">
        <v>534</v>
      </c>
      <c r="R112" s="18">
        <f t="shared" si="18"/>
        <v>0.33510399999999996</v>
      </c>
      <c r="S112" s="18" t="s">
        <v>38</v>
      </c>
      <c r="T112" s="18" t="s">
        <v>39</v>
      </c>
      <c r="U112" s="18" t="s">
        <v>144</v>
      </c>
      <c r="V112" s="18">
        <v>230000</v>
      </c>
      <c r="W112" s="18">
        <v>0.33</v>
      </c>
      <c r="X112" s="18">
        <v>3450</v>
      </c>
      <c r="Y112" s="18">
        <v>1</v>
      </c>
      <c r="Z112" s="18">
        <v>1</v>
      </c>
      <c r="AA112" s="20">
        <f t="shared" si="16"/>
        <v>225</v>
      </c>
      <c r="AB112" s="18">
        <v>90</v>
      </c>
      <c r="AC112" s="18" t="e">
        <f t="shared" si="17"/>
        <v>#REF!</v>
      </c>
      <c r="AD112" s="18">
        <v>229.7</v>
      </c>
      <c r="AE112" s="18">
        <v>60.5</v>
      </c>
      <c r="AF112">
        <f t="shared" si="14"/>
        <v>1.4999999999999999E-2</v>
      </c>
    </row>
    <row r="113" spans="1:32" x14ac:dyDescent="0.25">
      <c r="A113" s="2">
        <v>110</v>
      </c>
      <c r="B113" s="33"/>
      <c r="C113" s="18" t="s">
        <v>170</v>
      </c>
      <c r="D113" s="18">
        <v>41.4</v>
      </c>
      <c r="E113" s="18">
        <v>150</v>
      </c>
      <c r="F113" s="18">
        <v>300</v>
      </c>
      <c r="G113" s="18">
        <v>250</v>
      </c>
      <c r="H113" s="18">
        <v>300</v>
      </c>
      <c r="I113" s="18">
        <v>0</v>
      </c>
      <c r="J113" s="18" t="s">
        <v>36</v>
      </c>
      <c r="K113" s="18">
        <v>750</v>
      </c>
      <c r="L113" s="18">
        <v>2.2000000000000002</v>
      </c>
      <c r="M113" s="18" t="s">
        <v>18</v>
      </c>
      <c r="N113" s="18">
        <v>8</v>
      </c>
      <c r="O113" s="18">
        <v>170</v>
      </c>
      <c r="P113" s="18">
        <v>200000</v>
      </c>
      <c r="Q113" s="18">
        <v>534</v>
      </c>
      <c r="R113" s="18">
        <f t="shared" si="18"/>
        <v>0.39423999999999998</v>
      </c>
      <c r="S113" s="18" t="s">
        <v>38</v>
      </c>
      <c r="T113" s="18" t="s">
        <v>39</v>
      </c>
      <c r="U113" s="18" t="s">
        <v>144</v>
      </c>
      <c r="V113" s="18">
        <v>230000</v>
      </c>
      <c r="W113" s="18">
        <v>0.16500000000000001</v>
      </c>
      <c r="X113" s="18">
        <v>3450</v>
      </c>
      <c r="Y113" s="18">
        <v>1</v>
      </c>
      <c r="Z113" s="18">
        <v>1</v>
      </c>
      <c r="AA113" s="20">
        <f t="shared" si="16"/>
        <v>225</v>
      </c>
      <c r="AB113" s="18">
        <v>90</v>
      </c>
      <c r="AC113" s="18" t="e">
        <f t="shared" si="17"/>
        <v>#REF!</v>
      </c>
      <c r="AD113" s="18">
        <v>247.3</v>
      </c>
      <c r="AE113" s="18">
        <v>49.1</v>
      </c>
      <c r="AF113">
        <f t="shared" si="14"/>
        <v>1.4999999999999999E-2</v>
      </c>
    </row>
    <row r="114" spans="1:32" x14ac:dyDescent="0.25">
      <c r="A114" s="2">
        <v>111</v>
      </c>
      <c r="B114" s="33"/>
      <c r="C114" s="18" t="s">
        <v>171</v>
      </c>
      <c r="D114" s="18">
        <v>41.4</v>
      </c>
      <c r="E114" s="18">
        <v>150</v>
      </c>
      <c r="F114" s="18">
        <v>300</v>
      </c>
      <c r="G114" s="18">
        <v>250</v>
      </c>
      <c r="H114" s="18">
        <v>300</v>
      </c>
      <c r="I114" s="18">
        <v>0</v>
      </c>
      <c r="J114" s="18" t="s">
        <v>36</v>
      </c>
      <c r="K114" s="18">
        <v>750</v>
      </c>
      <c r="L114" s="18">
        <v>2.2000000000000002</v>
      </c>
      <c r="M114" s="18" t="s">
        <v>18</v>
      </c>
      <c r="N114" s="18">
        <v>8</v>
      </c>
      <c r="O114" s="18">
        <v>200</v>
      </c>
      <c r="P114" s="18">
        <v>200000</v>
      </c>
      <c r="Q114" s="18">
        <v>534</v>
      </c>
      <c r="R114" s="18">
        <f t="shared" si="18"/>
        <v>0.33510399999999996</v>
      </c>
      <c r="S114" s="18" t="s">
        <v>38</v>
      </c>
      <c r="T114" s="18" t="s">
        <v>39</v>
      </c>
      <c r="U114" s="18" t="s">
        <v>144</v>
      </c>
      <c r="V114" s="18">
        <v>230000</v>
      </c>
      <c r="W114" s="18">
        <v>0.16500000000000001</v>
      </c>
      <c r="X114" s="18">
        <v>3450</v>
      </c>
      <c r="Y114" s="18">
        <v>1</v>
      </c>
      <c r="Z114" s="18">
        <v>1</v>
      </c>
      <c r="AA114" s="20">
        <f t="shared" si="16"/>
        <v>225</v>
      </c>
      <c r="AB114" s="18">
        <v>90</v>
      </c>
      <c r="AC114" s="18" t="e">
        <f t="shared" si="17"/>
        <v>#REF!</v>
      </c>
      <c r="AD114" s="24">
        <v>235.1</v>
      </c>
      <c r="AE114" s="18">
        <v>31.7</v>
      </c>
      <c r="AF114">
        <f t="shared" si="14"/>
        <v>1.4999999999999999E-2</v>
      </c>
    </row>
    <row r="115" spans="1:32" x14ac:dyDescent="0.25">
      <c r="A115" s="2">
        <v>112</v>
      </c>
      <c r="B115" s="17"/>
      <c r="C115" s="18" t="s">
        <v>142</v>
      </c>
      <c r="D115" s="18">
        <v>41.3</v>
      </c>
      <c r="E115" s="18">
        <v>200</v>
      </c>
      <c r="F115" s="18">
        <v>300</v>
      </c>
      <c r="G115" s="18">
        <v>260</v>
      </c>
      <c r="H115" s="18">
        <v>300</v>
      </c>
      <c r="I115" s="18">
        <v>0</v>
      </c>
      <c r="J115" s="18" t="s">
        <v>36</v>
      </c>
      <c r="K115" s="18">
        <v>700</v>
      </c>
      <c r="L115" s="18">
        <v>2.2000000000000002</v>
      </c>
      <c r="M115" s="17" t="s">
        <v>37</v>
      </c>
      <c r="N115" s="18"/>
      <c r="O115" s="18">
        <v>120</v>
      </c>
      <c r="P115" s="18">
        <v>197000</v>
      </c>
      <c r="Q115" s="18">
        <v>390</v>
      </c>
      <c r="R115" s="18"/>
      <c r="S115" s="18" t="s">
        <v>38</v>
      </c>
      <c r="T115" s="18" t="s">
        <v>43</v>
      </c>
      <c r="U115" s="18" t="s">
        <v>144</v>
      </c>
      <c r="V115" s="24">
        <v>230000</v>
      </c>
      <c r="W115" s="28">
        <v>0.11</v>
      </c>
      <c r="X115" s="24">
        <v>3480</v>
      </c>
      <c r="Y115" s="28">
        <v>30</v>
      </c>
      <c r="Z115" s="18">
        <v>60</v>
      </c>
      <c r="AA115" s="20">
        <f t="shared" si="16"/>
        <v>234</v>
      </c>
      <c r="AB115" s="18">
        <v>90</v>
      </c>
      <c r="AC115" s="18" t="e">
        <f t="shared" si="17"/>
        <v>#REF!</v>
      </c>
      <c r="AD115" s="24">
        <f>202.1/2</f>
        <v>101.05</v>
      </c>
      <c r="AE115" s="18">
        <f>110/2</f>
        <v>55</v>
      </c>
      <c r="AF115">
        <f t="shared" si="14"/>
        <v>1.5130434782608696E-2</v>
      </c>
    </row>
    <row r="116" spans="1:32" x14ac:dyDescent="0.25">
      <c r="A116" s="2">
        <v>113</v>
      </c>
      <c r="B116" s="17" t="s">
        <v>172</v>
      </c>
      <c r="C116" s="18" t="s">
        <v>173</v>
      </c>
      <c r="D116" s="18">
        <v>39.700000000000003</v>
      </c>
      <c r="E116" s="18">
        <v>200</v>
      </c>
      <c r="F116" s="18">
        <v>300</v>
      </c>
      <c r="G116" s="18">
        <v>260</v>
      </c>
      <c r="H116" s="18">
        <v>300</v>
      </c>
      <c r="I116" s="18">
        <v>0</v>
      </c>
      <c r="J116" s="18" t="s">
        <v>36</v>
      </c>
      <c r="K116" s="18">
        <v>700</v>
      </c>
      <c r="L116" s="18">
        <v>2.2000000000000002</v>
      </c>
      <c r="M116" s="17" t="s">
        <v>37</v>
      </c>
      <c r="N116" s="18"/>
      <c r="O116" s="18">
        <v>120</v>
      </c>
      <c r="P116" s="18">
        <v>197000</v>
      </c>
      <c r="Q116" s="18">
        <v>390</v>
      </c>
      <c r="R116" s="18"/>
      <c r="S116" s="18" t="s">
        <v>38</v>
      </c>
      <c r="T116" s="18" t="s">
        <v>39</v>
      </c>
      <c r="U116" s="18" t="s">
        <v>144</v>
      </c>
      <c r="V116" s="24">
        <v>230000</v>
      </c>
      <c r="W116" s="28">
        <v>0.11</v>
      </c>
      <c r="X116" s="24">
        <v>3480</v>
      </c>
      <c r="Y116" s="28">
        <v>1</v>
      </c>
      <c r="Z116" s="18">
        <v>1</v>
      </c>
      <c r="AA116" s="20">
        <f t="shared" si="16"/>
        <v>234</v>
      </c>
      <c r="AB116" s="18">
        <v>90</v>
      </c>
      <c r="AC116" s="18" t="e">
        <f t="shared" si="17"/>
        <v>#REF!</v>
      </c>
      <c r="AD116" s="24">
        <f>198.2/2</f>
        <v>99.1</v>
      </c>
      <c r="AE116" s="18">
        <f>106.1/2</f>
        <v>53.05</v>
      </c>
      <c r="AF116">
        <f t="shared" si="14"/>
        <v>1.5130434782608696E-2</v>
      </c>
    </row>
    <row r="117" spans="1:32" x14ac:dyDescent="0.25">
      <c r="A117" s="2">
        <v>114</v>
      </c>
      <c r="B117" s="23" t="s">
        <v>174</v>
      </c>
      <c r="C117" s="18" t="s">
        <v>175</v>
      </c>
      <c r="D117" s="18">
        <v>35.700000000000003</v>
      </c>
      <c r="E117" s="18">
        <v>150</v>
      </c>
      <c r="F117" s="18">
        <v>300</v>
      </c>
      <c r="G117" s="18">
        <v>232</v>
      </c>
      <c r="H117" s="18">
        <v>300</v>
      </c>
      <c r="I117" s="18">
        <v>100</v>
      </c>
      <c r="J117" s="18" t="s">
        <v>86</v>
      </c>
      <c r="K117" s="18">
        <v>600</v>
      </c>
      <c r="L117" s="18">
        <v>2.2000000000000002</v>
      </c>
      <c r="M117" s="17" t="s">
        <v>52</v>
      </c>
      <c r="N117" s="45">
        <v>6</v>
      </c>
      <c r="O117" s="18">
        <v>100</v>
      </c>
      <c r="P117" s="18">
        <v>183000</v>
      </c>
      <c r="Q117" s="18">
        <v>387</v>
      </c>
      <c r="R117" s="18">
        <f t="shared" si="18"/>
        <v>0.37699199999999994</v>
      </c>
      <c r="S117" s="18" t="s">
        <v>38</v>
      </c>
      <c r="T117" s="18" t="s">
        <v>39</v>
      </c>
      <c r="U117" s="18" t="s">
        <v>144</v>
      </c>
      <c r="V117" s="24">
        <v>230000</v>
      </c>
      <c r="W117" s="28">
        <v>0.111</v>
      </c>
      <c r="X117" s="24">
        <v>3480</v>
      </c>
      <c r="Y117" s="28">
        <v>1</v>
      </c>
      <c r="Z117" s="18">
        <v>1</v>
      </c>
      <c r="AA117" s="20">
        <f t="shared" si="16"/>
        <v>108.80000000000001</v>
      </c>
      <c r="AB117" s="18">
        <v>90</v>
      </c>
      <c r="AC117" s="18" t="e">
        <f t="shared" si="17"/>
        <v>#REF!</v>
      </c>
      <c r="AD117" s="24">
        <v>223</v>
      </c>
      <c r="AE117" s="18">
        <v>24</v>
      </c>
      <c r="AF117">
        <f t="shared" si="14"/>
        <v>1.5130434782608696E-2</v>
      </c>
    </row>
    <row r="118" spans="1:32" x14ac:dyDescent="0.25">
      <c r="A118" s="2">
        <v>115</v>
      </c>
      <c r="B118" s="44" t="s">
        <v>176</v>
      </c>
      <c r="C118" s="18" t="s">
        <v>177</v>
      </c>
      <c r="D118" s="18">
        <v>36.5</v>
      </c>
      <c r="E118" s="18">
        <v>127</v>
      </c>
      <c r="F118" s="18">
        <v>203</v>
      </c>
      <c r="G118" s="18">
        <v>165</v>
      </c>
      <c r="H118" s="18">
        <v>203</v>
      </c>
      <c r="I118" s="18">
        <v>0</v>
      </c>
      <c r="J118" s="18" t="s">
        <v>36</v>
      </c>
      <c r="K118" s="18">
        <f>1070/3</f>
        <v>356.66666666666669</v>
      </c>
      <c r="L118" s="18">
        <v>2.2000000000000002</v>
      </c>
      <c r="M118" s="17" t="s">
        <v>52</v>
      </c>
      <c r="N118" s="18">
        <v>6</v>
      </c>
      <c r="O118" s="18">
        <v>205.6</v>
      </c>
      <c r="P118" s="18">
        <v>200000</v>
      </c>
      <c r="Q118" s="18">
        <v>420</v>
      </c>
      <c r="R118" s="18">
        <f t="shared" si="18"/>
        <v>0.21656913508379544</v>
      </c>
      <c r="S118" s="18" t="s">
        <v>38</v>
      </c>
      <c r="T118" s="18" t="s">
        <v>39</v>
      </c>
      <c r="U118" s="18" t="s">
        <v>144</v>
      </c>
      <c r="V118" s="24">
        <v>200000</v>
      </c>
      <c r="W118" s="28">
        <v>1.68</v>
      </c>
      <c r="X118" s="24">
        <v>105</v>
      </c>
      <c r="Y118" s="28">
        <v>1</v>
      </c>
      <c r="Z118" s="18">
        <f>SQRT(2)</f>
        <v>1.4142135623730951</v>
      </c>
      <c r="AA118" s="20">
        <f t="shared" si="16"/>
        <v>148.5</v>
      </c>
      <c r="AB118" s="18">
        <v>45</v>
      </c>
      <c r="AC118" s="18" t="e">
        <f t="shared" si="17"/>
        <v>#REF!</v>
      </c>
      <c r="AD118" s="18">
        <v>100.8</v>
      </c>
      <c r="AE118" s="18">
        <v>49.3</v>
      </c>
      <c r="AF118">
        <f t="shared" si="14"/>
        <v>5.2499999999999997E-4</v>
      </c>
    </row>
    <row r="119" spans="1:32" x14ac:dyDescent="0.25">
      <c r="A119" s="2">
        <v>116</v>
      </c>
      <c r="B119" s="23"/>
      <c r="C119" s="18" t="s">
        <v>178</v>
      </c>
      <c r="D119" s="18">
        <v>20.5</v>
      </c>
      <c r="E119" s="18">
        <v>150</v>
      </c>
      <c r="F119" s="18">
        <v>305</v>
      </c>
      <c r="G119" s="18">
        <v>264</v>
      </c>
      <c r="H119" s="18">
        <v>305</v>
      </c>
      <c r="I119" s="18">
        <v>0</v>
      </c>
      <c r="J119" s="18" t="s">
        <v>36</v>
      </c>
      <c r="K119" s="18">
        <v>541</v>
      </c>
      <c r="L119" s="18">
        <v>2.2000000000000002</v>
      </c>
      <c r="M119" s="17" t="s">
        <v>37</v>
      </c>
      <c r="N119" s="18"/>
      <c r="O119" s="18">
        <v>125</v>
      </c>
      <c r="P119" s="18">
        <v>200000</v>
      </c>
      <c r="Q119" s="18">
        <v>350</v>
      </c>
      <c r="R119" s="18"/>
      <c r="S119" s="18" t="s">
        <v>38</v>
      </c>
      <c r="T119" s="18" t="s">
        <v>43</v>
      </c>
      <c r="U119" s="18" t="s">
        <v>144</v>
      </c>
      <c r="V119" s="24">
        <v>228000</v>
      </c>
      <c r="W119" s="28">
        <v>0.16500000000000001</v>
      </c>
      <c r="X119" s="24">
        <v>3500</v>
      </c>
      <c r="Y119" s="28">
        <v>50</v>
      </c>
      <c r="Z119" s="18">
        <v>125</v>
      </c>
      <c r="AA119" s="20">
        <f t="shared" si="16"/>
        <v>237.6</v>
      </c>
      <c r="AB119" s="18">
        <v>90</v>
      </c>
      <c r="AC119" s="18" t="e">
        <f t="shared" si="17"/>
        <v>#REF!</v>
      </c>
      <c r="AD119" s="18">
        <v>88</v>
      </c>
      <c r="AE119" s="18">
        <v>40</v>
      </c>
      <c r="AF119">
        <f t="shared" si="14"/>
        <v>1.5350877192982455E-2</v>
      </c>
    </row>
    <row r="120" spans="1:32" x14ac:dyDescent="0.25">
      <c r="A120" s="2">
        <v>117</v>
      </c>
      <c r="B120" s="23" t="s">
        <v>179</v>
      </c>
      <c r="C120" s="18" t="s">
        <v>180</v>
      </c>
      <c r="D120" s="18">
        <v>20.5</v>
      </c>
      <c r="E120" s="18">
        <v>150</v>
      </c>
      <c r="F120" s="18">
        <v>305</v>
      </c>
      <c r="G120" s="18">
        <v>264</v>
      </c>
      <c r="H120" s="18">
        <v>305</v>
      </c>
      <c r="I120" s="18">
        <v>0</v>
      </c>
      <c r="J120" s="18" t="s">
        <v>36</v>
      </c>
      <c r="K120" s="18">
        <v>541</v>
      </c>
      <c r="L120" s="18">
        <v>2.2000000000000002</v>
      </c>
      <c r="M120" s="17" t="s">
        <v>37</v>
      </c>
      <c r="N120" s="18"/>
      <c r="O120" s="18">
        <v>125</v>
      </c>
      <c r="P120" s="18">
        <v>200000</v>
      </c>
      <c r="Q120" s="18">
        <v>350</v>
      </c>
      <c r="R120" s="18"/>
      <c r="S120" s="18" t="s">
        <v>38</v>
      </c>
      <c r="T120" s="18" t="s">
        <v>39</v>
      </c>
      <c r="U120" s="18" t="s">
        <v>144</v>
      </c>
      <c r="V120" s="24">
        <v>228000</v>
      </c>
      <c r="W120" s="28">
        <v>0.16500000000000001</v>
      </c>
      <c r="X120" s="24">
        <v>3500</v>
      </c>
      <c r="Y120" s="28">
        <v>50</v>
      </c>
      <c r="Z120" s="18">
        <v>50</v>
      </c>
      <c r="AA120" s="20">
        <f>0.9*G120-(F120-H120)-I120</f>
        <v>237.6</v>
      </c>
      <c r="AB120" s="18">
        <v>90</v>
      </c>
      <c r="AC120" s="18" t="e">
        <f t="shared" si="17"/>
        <v>#REF!</v>
      </c>
      <c r="AD120" s="18">
        <v>113</v>
      </c>
      <c r="AE120" s="18">
        <v>65</v>
      </c>
      <c r="AF120">
        <f t="shared" si="14"/>
        <v>1.5350877192982455E-2</v>
      </c>
    </row>
    <row r="121" spans="1:32" x14ac:dyDescent="0.25">
      <c r="A121" s="2">
        <v>118</v>
      </c>
      <c r="B121" s="17" t="s">
        <v>181</v>
      </c>
      <c r="C121" s="18" t="s">
        <v>182</v>
      </c>
      <c r="D121" s="18">
        <v>59</v>
      </c>
      <c r="E121" s="18">
        <v>70</v>
      </c>
      <c r="F121" s="18">
        <v>475</v>
      </c>
      <c r="G121" s="18">
        <v>410</v>
      </c>
      <c r="H121" s="18">
        <v>345</v>
      </c>
      <c r="I121" s="18">
        <v>105</v>
      </c>
      <c r="J121" s="18" t="s">
        <v>183</v>
      </c>
      <c r="K121" s="18">
        <v>1940</v>
      </c>
      <c r="L121" s="18">
        <v>2.2000000000000002</v>
      </c>
      <c r="M121" s="18" t="s">
        <v>18</v>
      </c>
      <c r="N121" s="18">
        <v>5.5</v>
      </c>
      <c r="O121" s="18">
        <v>300</v>
      </c>
      <c r="P121" s="18">
        <v>200000</v>
      </c>
      <c r="Q121" s="18">
        <v>640</v>
      </c>
      <c r="R121" s="18">
        <f t="shared" si="18"/>
        <v>0.22626999999999997</v>
      </c>
      <c r="S121" s="18" t="s">
        <v>38</v>
      </c>
      <c r="T121" s="18" t="s">
        <v>43</v>
      </c>
      <c r="U121" s="18" t="s">
        <v>144</v>
      </c>
      <c r="V121" s="18">
        <v>230000</v>
      </c>
      <c r="W121" s="18">
        <v>0.11</v>
      </c>
      <c r="X121" s="18">
        <v>3400</v>
      </c>
      <c r="Y121" s="18">
        <v>50</v>
      </c>
      <c r="Z121" s="18">
        <v>150</v>
      </c>
      <c r="AA121" s="17">
        <v>199</v>
      </c>
      <c r="AB121" s="18">
        <v>45</v>
      </c>
      <c r="AC121" s="18" t="e">
        <f t="shared" si="17"/>
        <v>#REF!</v>
      </c>
      <c r="AD121" s="18">
        <v>272</v>
      </c>
      <c r="AE121" s="18">
        <v>62.5</v>
      </c>
      <c r="AF121">
        <f t="shared" si="14"/>
        <v>1.4782608695652174E-2</v>
      </c>
    </row>
    <row r="122" spans="1:32" x14ac:dyDescent="0.25">
      <c r="A122" s="2">
        <v>119</v>
      </c>
      <c r="B122" s="20" t="s">
        <v>184</v>
      </c>
      <c r="C122" s="20" t="s">
        <v>185</v>
      </c>
      <c r="D122" s="20">
        <v>29.3</v>
      </c>
      <c r="E122" s="20">
        <v>200</v>
      </c>
      <c r="F122" s="20">
        <v>210</v>
      </c>
      <c r="G122" s="20">
        <v>173</v>
      </c>
      <c r="H122" s="20">
        <v>210</v>
      </c>
      <c r="I122" s="20">
        <v>0</v>
      </c>
      <c r="J122" s="20" t="s">
        <v>36</v>
      </c>
      <c r="K122" s="46">
        <v>519</v>
      </c>
      <c r="L122" s="34">
        <f t="shared" ref="L122:L150" si="19">K122/G122</f>
        <v>3</v>
      </c>
      <c r="M122" s="20" t="s">
        <v>18</v>
      </c>
      <c r="N122" s="20">
        <v>6</v>
      </c>
      <c r="O122" s="20">
        <v>160</v>
      </c>
      <c r="P122" s="20">
        <v>251500</v>
      </c>
      <c r="Q122" s="20">
        <v>665.3</v>
      </c>
      <c r="R122" s="20">
        <f>100*2*3.1416*N122^2/4/O122/E122</f>
        <v>0.17671499999999998</v>
      </c>
      <c r="S122" s="20" t="s">
        <v>38</v>
      </c>
      <c r="T122" s="20" t="s">
        <v>39</v>
      </c>
      <c r="U122" s="18" t="s">
        <v>144</v>
      </c>
      <c r="V122" s="20">
        <v>230000</v>
      </c>
      <c r="W122" s="20">
        <v>0.16500000000000001</v>
      </c>
      <c r="X122" s="20">
        <v>3430</v>
      </c>
      <c r="Y122" s="20">
        <v>1</v>
      </c>
      <c r="Z122" s="20">
        <v>1</v>
      </c>
      <c r="AA122" s="20">
        <f t="shared" si="16"/>
        <v>155.70000000000002</v>
      </c>
      <c r="AB122" s="20">
        <v>90</v>
      </c>
      <c r="AC122" s="18" t="e">
        <f t="shared" si="17"/>
        <v>#REF!</v>
      </c>
      <c r="AD122" s="20">
        <v>141.5</v>
      </c>
      <c r="AE122" s="20">
        <v>19.3</v>
      </c>
      <c r="AF122">
        <f t="shared" si="14"/>
        <v>1.4913043478260869E-2</v>
      </c>
    </row>
    <row r="123" spans="1:32" x14ac:dyDescent="0.25">
      <c r="A123" s="2">
        <v>120</v>
      </c>
      <c r="B123" s="40"/>
      <c r="C123" s="17" t="s">
        <v>186</v>
      </c>
      <c r="D123" s="17">
        <v>40.200000000000003</v>
      </c>
      <c r="E123" s="17">
        <v>150</v>
      </c>
      <c r="F123" s="17">
        <v>300</v>
      </c>
      <c r="G123" s="17">
        <v>280</v>
      </c>
      <c r="H123" s="17">
        <v>300</v>
      </c>
      <c r="I123" s="17">
        <v>0</v>
      </c>
      <c r="J123" s="17" t="s">
        <v>36</v>
      </c>
      <c r="K123" s="47">
        <v>600</v>
      </c>
      <c r="L123" s="25">
        <f t="shared" si="19"/>
        <v>2.1428571428571428</v>
      </c>
      <c r="M123" s="17" t="s">
        <v>37</v>
      </c>
      <c r="N123" s="44"/>
      <c r="O123" s="17"/>
      <c r="P123" s="44"/>
      <c r="Q123" s="44"/>
      <c r="R123" s="17"/>
      <c r="S123" s="17" t="s">
        <v>38</v>
      </c>
      <c r="T123" s="17" t="s">
        <v>43</v>
      </c>
      <c r="U123" s="18" t="s">
        <v>144</v>
      </c>
      <c r="V123" s="17">
        <v>390000</v>
      </c>
      <c r="W123" s="17">
        <v>0.33400000000000002</v>
      </c>
      <c r="X123" s="17">
        <v>3000</v>
      </c>
      <c r="Y123" s="17">
        <v>25</v>
      </c>
      <c r="Z123" s="17">
        <v>190</v>
      </c>
      <c r="AA123" s="17">
        <f t="shared" si="16"/>
        <v>252</v>
      </c>
      <c r="AB123" s="17">
        <v>90</v>
      </c>
      <c r="AC123" s="17" t="e">
        <f t="shared" si="17"/>
        <v>#REF!</v>
      </c>
      <c r="AD123" s="17">
        <v>61</v>
      </c>
      <c r="AE123" s="17">
        <v>10.8</v>
      </c>
      <c r="AF123">
        <f t="shared" si="14"/>
        <v>7.6923076923076927E-3</v>
      </c>
    </row>
    <row r="124" spans="1:32" x14ac:dyDescent="0.25">
      <c r="A124" s="2">
        <v>121</v>
      </c>
      <c r="B124" s="32" t="s">
        <v>187</v>
      </c>
      <c r="C124" s="18" t="s">
        <v>188</v>
      </c>
      <c r="D124" s="18">
        <v>40.200000000000003</v>
      </c>
      <c r="E124" s="18">
        <v>150</v>
      </c>
      <c r="F124" s="18">
        <v>300</v>
      </c>
      <c r="G124" s="18">
        <v>280</v>
      </c>
      <c r="H124" s="18">
        <v>300</v>
      </c>
      <c r="I124" s="18">
        <v>0</v>
      </c>
      <c r="J124" s="18" t="s">
        <v>36</v>
      </c>
      <c r="K124" s="48">
        <v>600</v>
      </c>
      <c r="L124" s="19">
        <f t="shared" si="19"/>
        <v>2.1428571428571428</v>
      </c>
      <c r="M124" s="18" t="s">
        <v>37</v>
      </c>
      <c r="N124" s="31"/>
      <c r="O124" s="18"/>
      <c r="P124" s="31"/>
      <c r="Q124" s="31"/>
      <c r="R124" s="18"/>
      <c r="S124" s="18" t="s">
        <v>38</v>
      </c>
      <c r="T124" s="18" t="s">
        <v>43</v>
      </c>
      <c r="U124" s="18" t="s">
        <v>144</v>
      </c>
      <c r="V124" s="18">
        <v>390000</v>
      </c>
      <c r="W124" s="18">
        <v>0.33400000000000002</v>
      </c>
      <c r="X124" s="18">
        <v>3000</v>
      </c>
      <c r="Y124" s="18">
        <v>25</v>
      </c>
      <c r="Z124" s="18">
        <v>95</v>
      </c>
      <c r="AA124" s="20">
        <f t="shared" si="16"/>
        <v>252</v>
      </c>
      <c r="AB124" s="18">
        <v>90</v>
      </c>
      <c r="AC124" s="18" t="e">
        <f t="shared" si="17"/>
        <v>#REF!</v>
      </c>
      <c r="AD124" s="18">
        <v>89.8</v>
      </c>
      <c r="AE124" s="18">
        <v>31.5</v>
      </c>
      <c r="AF124">
        <f t="shared" si="14"/>
        <v>7.6923076923076927E-3</v>
      </c>
    </row>
    <row r="125" spans="1:32" x14ac:dyDescent="0.25">
      <c r="A125" s="2">
        <v>122</v>
      </c>
      <c r="B125" s="5"/>
      <c r="C125" s="17" t="s">
        <v>189</v>
      </c>
      <c r="D125" s="17">
        <v>31.7</v>
      </c>
      <c r="E125" s="17">
        <v>180</v>
      </c>
      <c r="F125" s="17">
        <v>400</v>
      </c>
      <c r="G125" s="17">
        <v>360</v>
      </c>
      <c r="H125" s="17">
        <v>400</v>
      </c>
      <c r="I125" s="17">
        <v>100</v>
      </c>
      <c r="J125" s="17" t="s">
        <v>86</v>
      </c>
      <c r="K125" s="47">
        <v>900</v>
      </c>
      <c r="L125" s="25">
        <f t="shared" si="19"/>
        <v>2.5</v>
      </c>
      <c r="M125" s="17" t="s">
        <v>18</v>
      </c>
      <c r="N125" s="17">
        <v>6</v>
      </c>
      <c r="O125" s="17">
        <v>300</v>
      </c>
      <c r="P125" s="17">
        <v>200000</v>
      </c>
      <c r="Q125" s="17">
        <v>542</v>
      </c>
      <c r="R125" s="17">
        <f>100*2*3.1416*N125^2/4/O125/E125</f>
        <v>0.10471999999999999</v>
      </c>
      <c r="S125" s="17" t="s">
        <v>38</v>
      </c>
      <c r="T125" s="17" t="s">
        <v>43</v>
      </c>
      <c r="U125" s="18" t="s">
        <v>144</v>
      </c>
      <c r="V125" s="17">
        <v>218400</v>
      </c>
      <c r="W125" s="17">
        <v>0.17599999999999999</v>
      </c>
      <c r="X125" s="17">
        <v>2863</v>
      </c>
      <c r="Y125" s="17">
        <v>60</v>
      </c>
      <c r="Z125" s="17">
        <v>180</v>
      </c>
      <c r="AA125" s="17">
        <f t="shared" si="16"/>
        <v>224</v>
      </c>
      <c r="AB125" s="17">
        <v>90</v>
      </c>
      <c r="AC125" s="17" t="e">
        <f t="shared" si="17"/>
        <v>#REF!</v>
      </c>
      <c r="AD125" s="17">
        <v>155.55000000000001</v>
      </c>
      <c r="AE125" s="17">
        <v>4.4000000000000004</v>
      </c>
      <c r="AF125">
        <f t="shared" si="14"/>
        <v>1.310897435897436E-2</v>
      </c>
    </row>
    <row r="126" spans="1:32" x14ac:dyDescent="0.25">
      <c r="A126" s="2">
        <v>123</v>
      </c>
      <c r="B126" s="20" t="s">
        <v>190</v>
      </c>
      <c r="C126" s="17" t="s">
        <v>191</v>
      </c>
      <c r="D126" s="17">
        <v>39.700000000000003</v>
      </c>
      <c r="E126" s="17">
        <v>180</v>
      </c>
      <c r="F126" s="17">
        <v>400</v>
      </c>
      <c r="G126" s="17">
        <v>360</v>
      </c>
      <c r="H126" s="17">
        <v>400</v>
      </c>
      <c r="I126" s="17">
        <v>100</v>
      </c>
      <c r="J126" s="17" t="s">
        <v>86</v>
      </c>
      <c r="K126" s="47">
        <v>900</v>
      </c>
      <c r="L126" s="25">
        <f t="shared" si="19"/>
        <v>2.5</v>
      </c>
      <c r="M126" s="17" t="s">
        <v>18</v>
      </c>
      <c r="N126" s="17">
        <v>6</v>
      </c>
      <c r="O126" s="17">
        <v>300</v>
      </c>
      <c r="P126" s="17">
        <v>200000</v>
      </c>
      <c r="Q126" s="17">
        <v>542</v>
      </c>
      <c r="R126" s="17">
        <f>100*2*3.1416*N126^2/4/O126/E126</f>
        <v>0.10471999999999999</v>
      </c>
      <c r="S126" s="17" t="s">
        <v>38</v>
      </c>
      <c r="T126" s="17" t="s">
        <v>43</v>
      </c>
      <c r="U126" s="18" t="s">
        <v>144</v>
      </c>
      <c r="V126" s="17">
        <v>218400</v>
      </c>
      <c r="W126" s="17">
        <v>0.17599999999999999</v>
      </c>
      <c r="X126" s="17">
        <v>2863</v>
      </c>
      <c r="Y126" s="17">
        <v>60</v>
      </c>
      <c r="Z126" s="17">
        <v>114</v>
      </c>
      <c r="AA126" s="17">
        <f t="shared" si="16"/>
        <v>224</v>
      </c>
      <c r="AB126" s="17">
        <v>90</v>
      </c>
      <c r="AC126" s="17" t="e">
        <f t="shared" si="17"/>
        <v>#REF!</v>
      </c>
      <c r="AD126" s="17">
        <v>162.55000000000001</v>
      </c>
      <c r="AE126" s="17">
        <v>12.8</v>
      </c>
      <c r="AF126">
        <f t="shared" si="14"/>
        <v>1.310897435897436E-2</v>
      </c>
    </row>
    <row r="127" spans="1:32" x14ac:dyDescent="0.25">
      <c r="A127" s="2">
        <v>124</v>
      </c>
      <c r="B127" s="20"/>
      <c r="C127" s="18" t="s">
        <v>192</v>
      </c>
      <c r="D127" s="18">
        <v>39.700000000000003</v>
      </c>
      <c r="E127" s="18">
        <v>180</v>
      </c>
      <c r="F127" s="18">
        <v>400</v>
      </c>
      <c r="G127" s="18">
        <v>360</v>
      </c>
      <c r="H127" s="18">
        <v>400</v>
      </c>
      <c r="I127" s="18">
        <v>100</v>
      </c>
      <c r="J127" s="18" t="s">
        <v>86</v>
      </c>
      <c r="K127" s="48">
        <v>900</v>
      </c>
      <c r="L127" s="19">
        <f t="shared" si="19"/>
        <v>2.5</v>
      </c>
      <c r="M127" s="18" t="s">
        <v>18</v>
      </c>
      <c r="N127" s="18">
        <v>6</v>
      </c>
      <c r="O127" s="18">
        <v>300</v>
      </c>
      <c r="P127" s="18">
        <v>200000</v>
      </c>
      <c r="Q127" s="18">
        <v>542</v>
      </c>
      <c r="R127" s="18">
        <f>100*2*3.1416*N127^2/4/O127/E127</f>
        <v>0.10471999999999999</v>
      </c>
      <c r="S127" s="18" t="s">
        <v>38</v>
      </c>
      <c r="T127" s="18" t="s">
        <v>43</v>
      </c>
      <c r="U127" s="18" t="s">
        <v>144</v>
      </c>
      <c r="V127" s="32">
        <v>218400</v>
      </c>
      <c r="W127" s="32">
        <f>0.176*2</f>
        <v>0.35199999999999998</v>
      </c>
      <c r="X127" s="32">
        <v>2863</v>
      </c>
      <c r="Y127" s="32">
        <v>60</v>
      </c>
      <c r="Z127" s="32">
        <v>114</v>
      </c>
      <c r="AA127" s="20">
        <f t="shared" si="16"/>
        <v>224</v>
      </c>
      <c r="AB127" s="18">
        <v>90</v>
      </c>
      <c r="AC127" s="18" t="e">
        <f t="shared" si="17"/>
        <v>#REF!</v>
      </c>
      <c r="AD127" s="18">
        <v>185.05</v>
      </c>
      <c r="AE127" s="18">
        <v>39.799999999999997</v>
      </c>
      <c r="AF127">
        <f t="shared" si="14"/>
        <v>1.310897435897436E-2</v>
      </c>
    </row>
    <row r="128" spans="1:32" x14ac:dyDescent="0.25">
      <c r="A128" s="2">
        <v>125</v>
      </c>
      <c r="B128" s="32"/>
      <c r="C128" s="18" t="s">
        <v>193</v>
      </c>
      <c r="D128" s="18">
        <f>0.8*40.8</f>
        <v>32.64</v>
      </c>
      <c r="E128" s="18">
        <v>150</v>
      </c>
      <c r="F128" s="18">
        <v>360</v>
      </c>
      <c r="G128" s="18">
        <v>314</v>
      </c>
      <c r="H128" s="18">
        <v>360</v>
      </c>
      <c r="I128" s="18">
        <v>0</v>
      </c>
      <c r="J128" s="18" t="s">
        <v>36</v>
      </c>
      <c r="K128" s="48">
        <v>930</v>
      </c>
      <c r="L128" s="19">
        <f t="shared" si="19"/>
        <v>2.9617834394904459</v>
      </c>
      <c r="M128" s="18" t="s">
        <v>52</v>
      </c>
      <c r="N128" s="18">
        <v>6</v>
      </c>
      <c r="O128" s="18">
        <v>135</v>
      </c>
      <c r="P128" s="18">
        <v>205000</v>
      </c>
      <c r="Q128" s="18">
        <v>395</v>
      </c>
      <c r="R128" s="18">
        <f t="shared" ref="R128:R133" si="20">100*2*3.1416*N128^2/4/O128/E128</f>
        <v>0.2792533333333333</v>
      </c>
      <c r="S128" s="18" t="s">
        <v>38</v>
      </c>
      <c r="T128" s="18" t="s">
        <v>39</v>
      </c>
      <c r="U128" s="18" t="s">
        <v>144</v>
      </c>
      <c r="V128" s="18">
        <v>235000</v>
      </c>
      <c r="W128" s="18">
        <v>0.22</v>
      </c>
      <c r="X128" s="18">
        <v>4200</v>
      </c>
      <c r="Y128" s="18">
        <v>1</v>
      </c>
      <c r="Z128" s="18">
        <v>1</v>
      </c>
      <c r="AA128" s="20">
        <f t="shared" si="16"/>
        <v>282.60000000000002</v>
      </c>
      <c r="AB128" s="18">
        <v>90</v>
      </c>
      <c r="AC128" s="18" t="e">
        <f t="shared" si="17"/>
        <v>#REF!</v>
      </c>
      <c r="AD128" s="18">
        <v>240</v>
      </c>
      <c r="AE128" s="18">
        <v>63.5</v>
      </c>
      <c r="AF128">
        <f t="shared" si="14"/>
        <v>1.7872340425531916E-2</v>
      </c>
    </row>
    <row r="129" spans="1:32" x14ac:dyDescent="0.25">
      <c r="A129" s="2">
        <v>126</v>
      </c>
      <c r="B129" s="32"/>
      <c r="C129" s="18" t="s">
        <v>194</v>
      </c>
      <c r="D129" s="18">
        <f>0.8*40.8</f>
        <v>32.64</v>
      </c>
      <c r="E129" s="18">
        <v>150</v>
      </c>
      <c r="F129" s="18">
        <v>360</v>
      </c>
      <c r="G129" s="18">
        <v>314</v>
      </c>
      <c r="H129" s="18">
        <v>360</v>
      </c>
      <c r="I129" s="18">
        <v>0</v>
      </c>
      <c r="J129" s="18" t="s">
        <v>36</v>
      </c>
      <c r="K129" s="48">
        <v>930</v>
      </c>
      <c r="L129" s="19">
        <f t="shared" si="19"/>
        <v>2.9617834394904459</v>
      </c>
      <c r="M129" s="18" t="s">
        <v>52</v>
      </c>
      <c r="N129" s="18">
        <v>6</v>
      </c>
      <c r="O129" s="18">
        <v>135</v>
      </c>
      <c r="P129" s="18">
        <v>205000</v>
      </c>
      <c r="Q129" s="18">
        <v>395</v>
      </c>
      <c r="R129" s="18">
        <f>100*2*3.1416*N129^2/4/O129/E129</f>
        <v>0.2792533333333333</v>
      </c>
      <c r="S129" s="18" t="s">
        <v>38</v>
      </c>
      <c r="T129" s="18" t="s">
        <v>39</v>
      </c>
      <c r="U129" s="18" t="s">
        <v>144</v>
      </c>
      <c r="V129" s="18">
        <v>235000</v>
      </c>
      <c r="W129" s="18">
        <v>0.22</v>
      </c>
      <c r="X129" s="18">
        <v>4200</v>
      </c>
      <c r="Y129" s="18">
        <v>1</v>
      </c>
      <c r="Z129" s="18">
        <v>1</v>
      </c>
      <c r="AA129" s="20">
        <f t="shared" si="16"/>
        <v>282.60000000000002</v>
      </c>
      <c r="AB129" s="18">
        <v>90</v>
      </c>
      <c r="AC129" s="18" t="e">
        <f t="shared" si="17"/>
        <v>#REF!</v>
      </c>
      <c r="AD129" s="18">
        <v>253</v>
      </c>
      <c r="AE129" s="18">
        <v>76.5</v>
      </c>
      <c r="AF129">
        <f t="shared" si="14"/>
        <v>1.7872340425531916E-2</v>
      </c>
    </row>
    <row r="130" spans="1:32" x14ac:dyDescent="0.25">
      <c r="A130" s="2">
        <v>127</v>
      </c>
      <c r="B130" s="32" t="s">
        <v>195</v>
      </c>
      <c r="C130" s="18" t="s">
        <v>196</v>
      </c>
      <c r="D130" s="18">
        <f t="shared" ref="D130:D135" si="21">0.8*40.8</f>
        <v>32.64</v>
      </c>
      <c r="E130" s="18">
        <v>150</v>
      </c>
      <c r="F130" s="18">
        <v>360</v>
      </c>
      <c r="G130" s="18">
        <v>314</v>
      </c>
      <c r="H130" s="18">
        <v>360</v>
      </c>
      <c r="I130" s="18">
        <v>0</v>
      </c>
      <c r="J130" s="18" t="s">
        <v>36</v>
      </c>
      <c r="K130" s="48">
        <v>930</v>
      </c>
      <c r="L130" s="19">
        <f t="shared" si="19"/>
        <v>2.9617834394904459</v>
      </c>
      <c r="M130" s="18" t="s">
        <v>52</v>
      </c>
      <c r="N130" s="18">
        <v>6</v>
      </c>
      <c r="O130" s="18">
        <v>135</v>
      </c>
      <c r="P130" s="18">
        <v>205000</v>
      </c>
      <c r="Q130" s="18">
        <v>395</v>
      </c>
      <c r="R130" s="18">
        <f t="shared" si="20"/>
        <v>0.2792533333333333</v>
      </c>
      <c r="S130" s="18" t="s">
        <v>38</v>
      </c>
      <c r="T130" s="18" t="s">
        <v>43</v>
      </c>
      <c r="U130" s="18" t="s">
        <v>144</v>
      </c>
      <c r="V130" s="18">
        <v>235000</v>
      </c>
      <c r="W130" s="18">
        <v>0.22</v>
      </c>
      <c r="X130" s="18">
        <v>4200</v>
      </c>
      <c r="Y130" s="18">
        <v>40</v>
      </c>
      <c r="Z130" s="18">
        <v>120</v>
      </c>
      <c r="AA130" s="20">
        <f t="shared" si="16"/>
        <v>282.60000000000002</v>
      </c>
      <c r="AB130" s="18">
        <v>90</v>
      </c>
      <c r="AC130" s="18" t="e">
        <f t="shared" si="17"/>
        <v>#REF!</v>
      </c>
      <c r="AD130" s="18">
        <v>246</v>
      </c>
      <c r="AE130" s="18">
        <v>69.5</v>
      </c>
      <c r="AF130">
        <f t="shared" si="14"/>
        <v>1.7872340425531916E-2</v>
      </c>
    </row>
    <row r="131" spans="1:32" x14ac:dyDescent="0.25">
      <c r="A131" s="2">
        <v>128</v>
      </c>
      <c r="B131" s="32"/>
      <c r="C131" s="18" t="s">
        <v>197</v>
      </c>
      <c r="D131" s="18">
        <f t="shared" si="21"/>
        <v>32.64</v>
      </c>
      <c r="E131" s="18">
        <v>150</v>
      </c>
      <c r="F131" s="18">
        <v>360</v>
      </c>
      <c r="G131" s="18">
        <v>314</v>
      </c>
      <c r="H131" s="18">
        <v>360</v>
      </c>
      <c r="I131" s="18">
        <v>0</v>
      </c>
      <c r="J131" s="18" t="s">
        <v>36</v>
      </c>
      <c r="K131" s="48">
        <v>930</v>
      </c>
      <c r="L131" s="19">
        <f t="shared" si="19"/>
        <v>2.9617834394904459</v>
      </c>
      <c r="M131" s="18" t="s">
        <v>52</v>
      </c>
      <c r="N131" s="18">
        <v>6</v>
      </c>
      <c r="O131" s="18">
        <v>135</v>
      </c>
      <c r="P131" s="18">
        <v>205000</v>
      </c>
      <c r="Q131" s="18">
        <v>395</v>
      </c>
      <c r="R131" s="18">
        <f t="shared" si="20"/>
        <v>0.2792533333333333</v>
      </c>
      <c r="S131" s="18" t="s">
        <v>38</v>
      </c>
      <c r="T131" s="18" t="s">
        <v>43</v>
      </c>
      <c r="U131" s="18" t="s">
        <v>144</v>
      </c>
      <c r="V131" s="18">
        <v>235000</v>
      </c>
      <c r="W131" s="18">
        <v>0.22</v>
      </c>
      <c r="X131" s="18">
        <v>4200</v>
      </c>
      <c r="Y131" s="18">
        <v>40</v>
      </c>
      <c r="Z131" s="18">
        <v>120</v>
      </c>
      <c r="AA131" s="20">
        <f t="shared" si="16"/>
        <v>282.60000000000002</v>
      </c>
      <c r="AB131" s="18">
        <v>90</v>
      </c>
      <c r="AC131" s="18" t="e">
        <f t="shared" si="17"/>
        <v>#REF!</v>
      </c>
      <c r="AD131" s="18">
        <v>230</v>
      </c>
      <c r="AE131" s="18">
        <v>53.5</v>
      </c>
      <c r="AF131">
        <f t="shared" si="14"/>
        <v>1.7872340425531916E-2</v>
      </c>
    </row>
    <row r="132" spans="1:32" x14ac:dyDescent="0.25">
      <c r="A132" s="2">
        <v>129</v>
      </c>
      <c r="B132" s="32"/>
      <c r="C132" s="18" t="s">
        <v>198</v>
      </c>
      <c r="D132" s="18">
        <f t="shared" si="21"/>
        <v>32.64</v>
      </c>
      <c r="E132" s="18">
        <v>150</v>
      </c>
      <c r="F132" s="18">
        <v>360</v>
      </c>
      <c r="G132" s="18">
        <v>314</v>
      </c>
      <c r="H132" s="18">
        <v>360</v>
      </c>
      <c r="I132" s="18">
        <v>0</v>
      </c>
      <c r="J132" s="18" t="s">
        <v>36</v>
      </c>
      <c r="K132" s="48">
        <v>930</v>
      </c>
      <c r="L132" s="19">
        <f t="shared" si="19"/>
        <v>2.9617834394904459</v>
      </c>
      <c r="M132" s="18" t="s">
        <v>52</v>
      </c>
      <c r="N132" s="18">
        <v>6</v>
      </c>
      <c r="O132" s="18">
        <v>135</v>
      </c>
      <c r="P132" s="18">
        <v>205000</v>
      </c>
      <c r="Q132" s="18">
        <v>395</v>
      </c>
      <c r="R132" s="18">
        <f t="shared" si="20"/>
        <v>0.2792533333333333</v>
      </c>
      <c r="S132" s="18" t="s">
        <v>38</v>
      </c>
      <c r="T132" s="18" t="s">
        <v>43</v>
      </c>
      <c r="U132" s="18" t="s">
        <v>144</v>
      </c>
      <c r="V132" s="18">
        <v>235000</v>
      </c>
      <c r="W132" s="18">
        <v>0.44</v>
      </c>
      <c r="X132" s="18">
        <v>4200</v>
      </c>
      <c r="Y132" s="18">
        <v>40</v>
      </c>
      <c r="Z132" s="18">
        <v>120</v>
      </c>
      <c r="AA132" s="20">
        <f t="shared" si="16"/>
        <v>282.60000000000002</v>
      </c>
      <c r="AB132" s="18">
        <v>90</v>
      </c>
      <c r="AC132" s="18" t="e">
        <f t="shared" si="17"/>
        <v>#REF!</v>
      </c>
      <c r="AD132" s="18">
        <v>240</v>
      </c>
      <c r="AE132" s="18">
        <v>63.5</v>
      </c>
      <c r="AF132">
        <f t="shared" si="14"/>
        <v>1.7872340425531916E-2</v>
      </c>
    </row>
    <row r="133" spans="1:32" x14ac:dyDescent="0.25">
      <c r="A133" s="2">
        <v>130</v>
      </c>
      <c r="B133" s="32"/>
      <c r="C133" s="18" t="s">
        <v>199</v>
      </c>
      <c r="D133" s="18">
        <f t="shared" si="21"/>
        <v>32.64</v>
      </c>
      <c r="E133" s="18">
        <v>150</v>
      </c>
      <c r="F133" s="18">
        <v>360</v>
      </c>
      <c r="G133" s="18">
        <v>314</v>
      </c>
      <c r="H133" s="18">
        <v>360</v>
      </c>
      <c r="I133" s="18">
        <v>0</v>
      </c>
      <c r="J133" s="18" t="s">
        <v>36</v>
      </c>
      <c r="K133" s="48">
        <v>930</v>
      </c>
      <c r="L133" s="19">
        <f t="shared" si="19"/>
        <v>2.9617834394904459</v>
      </c>
      <c r="M133" s="18" t="s">
        <v>52</v>
      </c>
      <c r="N133" s="18">
        <v>6</v>
      </c>
      <c r="O133" s="18">
        <v>135</v>
      </c>
      <c r="P133" s="18">
        <v>205000</v>
      </c>
      <c r="Q133" s="18">
        <v>395</v>
      </c>
      <c r="R133" s="18">
        <f t="shared" si="20"/>
        <v>0.2792533333333333</v>
      </c>
      <c r="S133" s="18" t="s">
        <v>38</v>
      </c>
      <c r="T133" s="18" t="s">
        <v>43</v>
      </c>
      <c r="U133" s="18" t="s">
        <v>144</v>
      </c>
      <c r="V133" s="18">
        <v>235000</v>
      </c>
      <c r="W133" s="18">
        <v>0.44</v>
      </c>
      <c r="X133" s="18">
        <v>4200</v>
      </c>
      <c r="Y133" s="18">
        <v>40</v>
      </c>
      <c r="Z133" s="18">
        <v>120</v>
      </c>
      <c r="AA133" s="20">
        <f t="shared" si="16"/>
        <v>282.60000000000002</v>
      </c>
      <c r="AB133" s="18">
        <v>90</v>
      </c>
      <c r="AC133" s="18" t="e">
        <f t="shared" si="17"/>
        <v>#REF!</v>
      </c>
      <c r="AD133" s="18">
        <v>243</v>
      </c>
      <c r="AE133" s="18">
        <v>66.5</v>
      </c>
      <c r="AF133">
        <f t="shared" ref="AF133:AF196" si="22">X133/V133</f>
        <v>1.7872340425531916E-2</v>
      </c>
    </row>
    <row r="134" spans="1:32" x14ac:dyDescent="0.25">
      <c r="A134" s="2">
        <v>131</v>
      </c>
      <c r="B134" s="32"/>
      <c r="C134" s="18" t="s">
        <v>200</v>
      </c>
      <c r="D134" s="18">
        <f t="shared" si="21"/>
        <v>32.64</v>
      </c>
      <c r="E134" s="18">
        <v>150</v>
      </c>
      <c r="F134" s="18">
        <v>360</v>
      </c>
      <c r="G134" s="18">
        <v>314</v>
      </c>
      <c r="H134" s="18">
        <v>360</v>
      </c>
      <c r="I134" s="18">
        <v>0</v>
      </c>
      <c r="J134" s="18" t="s">
        <v>36</v>
      </c>
      <c r="K134" s="48">
        <v>900</v>
      </c>
      <c r="L134" s="19">
        <f t="shared" si="19"/>
        <v>2.8662420382165603</v>
      </c>
      <c r="M134" s="18" t="s">
        <v>52</v>
      </c>
      <c r="N134" s="18">
        <v>6</v>
      </c>
      <c r="O134" s="18">
        <v>135</v>
      </c>
      <c r="P134" s="18">
        <v>205000</v>
      </c>
      <c r="Q134" s="18">
        <v>395</v>
      </c>
      <c r="R134" s="18">
        <f>100*2*3.1416*N134^2/4/O134/E134</f>
        <v>0.2792533333333333</v>
      </c>
      <c r="S134" s="18" t="s">
        <v>38</v>
      </c>
      <c r="T134" s="18" t="s">
        <v>43</v>
      </c>
      <c r="U134" s="18" t="s">
        <v>144</v>
      </c>
      <c r="V134" s="18">
        <v>235000</v>
      </c>
      <c r="W134" s="18">
        <v>0.22</v>
      </c>
      <c r="X134" s="18">
        <v>4200</v>
      </c>
      <c r="Y134" s="18">
        <v>40</v>
      </c>
      <c r="Z134" s="18">
        <v>120</v>
      </c>
      <c r="AA134" s="20">
        <f t="shared" si="16"/>
        <v>282.60000000000002</v>
      </c>
      <c r="AB134" s="18">
        <v>90</v>
      </c>
      <c r="AC134" s="18" t="e">
        <f t="shared" si="17"/>
        <v>#REF!</v>
      </c>
      <c r="AD134" s="18">
        <v>270</v>
      </c>
      <c r="AE134" s="18">
        <v>52</v>
      </c>
      <c r="AF134">
        <f t="shared" si="22"/>
        <v>1.7872340425531916E-2</v>
      </c>
    </row>
    <row r="135" spans="1:32" x14ac:dyDescent="0.25">
      <c r="A135" s="2">
        <v>132</v>
      </c>
      <c r="B135" s="32"/>
      <c r="C135" s="18" t="s">
        <v>201</v>
      </c>
      <c r="D135" s="18">
        <f t="shared" si="21"/>
        <v>32.64</v>
      </c>
      <c r="E135" s="18">
        <v>150</v>
      </c>
      <c r="F135" s="18">
        <v>360</v>
      </c>
      <c r="G135" s="18">
        <v>314</v>
      </c>
      <c r="H135" s="18">
        <v>360</v>
      </c>
      <c r="I135" s="18">
        <v>0</v>
      </c>
      <c r="J135" s="18" t="s">
        <v>36</v>
      </c>
      <c r="K135" s="48">
        <v>720</v>
      </c>
      <c r="L135" s="19">
        <f t="shared" si="19"/>
        <v>2.2929936305732483</v>
      </c>
      <c r="M135" s="18" t="s">
        <v>52</v>
      </c>
      <c r="N135" s="18">
        <v>6</v>
      </c>
      <c r="O135" s="18">
        <v>135</v>
      </c>
      <c r="P135" s="18">
        <v>205000</v>
      </c>
      <c r="Q135" s="18">
        <v>395</v>
      </c>
      <c r="R135" s="18">
        <f>100*2*3.1416*N135^2/4/O135/E135</f>
        <v>0.2792533333333333</v>
      </c>
      <c r="S135" s="18" t="s">
        <v>38</v>
      </c>
      <c r="T135" s="18" t="s">
        <v>43</v>
      </c>
      <c r="U135" s="18" t="s">
        <v>144</v>
      </c>
      <c r="V135" s="18">
        <v>235000</v>
      </c>
      <c r="W135" s="18">
        <v>0.22</v>
      </c>
      <c r="X135" s="18">
        <v>4200</v>
      </c>
      <c r="Y135" s="18">
        <v>40</v>
      </c>
      <c r="Z135" s="18">
        <v>120</v>
      </c>
      <c r="AA135" s="20">
        <f t="shared" si="16"/>
        <v>282.60000000000002</v>
      </c>
      <c r="AB135" s="18">
        <v>90</v>
      </c>
      <c r="AC135" s="18" t="e">
        <f t="shared" si="17"/>
        <v>#REF!</v>
      </c>
      <c r="AD135" s="18">
        <v>310</v>
      </c>
      <c r="AE135" s="18">
        <v>35</v>
      </c>
      <c r="AF135">
        <f t="shared" si="22"/>
        <v>1.7872340425531916E-2</v>
      </c>
    </row>
    <row r="136" spans="1:32" x14ac:dyDescent="0.25">
      <c r="A136" s="2">
        <v>133</v>
      </c>
      <c r="B136" s="20"/>
      <c r="C136" s="18" t="s">
        <v>202</v>
      </c>
      <c r="D136" s="18">
        <v>32.799999999999997</v>
      </c>
      <c r="E136" s="18">
        <v>150</v>
      </c>
      <c r="F136" s="18">
        <v>300</v>
      </c>
      <c r="G136" s="18">
        <v>261</v>
      </c>
      <c r="H136" s="18">
        <v>300</v>
      </c>
      <c r="I136" s="18">
        <v>0</v>
      </c>
      <c r="J136" s="18" t="s">
        <v>36</v>
      </c>
      <c r="K136" s="48">
        <v>740</v>
      </c>
      <c r="L136" s="19">
        <f t="shared" si="19"/>
        <v>2.8352490421455938</v>
      </c>
      <c r="M136" s="18" t="s">
        <v>37</v>
      </c>
      <c r="N136" s="18"/>
      <c r="O136" s="18"/>
      <c r="P136" s="18"/>
      <c r="Q136" s="18"/>
      <c r="R136" s="18"/>
      <c r="S136" s="18" t="s">
        <v>38</v>
      </c>
      <c r="T136" s="18" t="s">
        <v>43</v>
      </c>
      <c r="U136" s="18" t="s">
        <v>144</v>
      </c>
      <c r="V136" s="18">
        <v>230000</v>
      </c>
      <c r="W136" s="18">
        <v>0.111</v>
      </c>
      <c r="X136" s="18">
        <v>3400</v>
      </c>
      <c r="Y136" s="18">
        <v>50</v>
      </c>
      <c r="Z136" s="18">
        <v>100</v>
      </c>
      <c r="AA136" s="20">
        <f t="shared" si="16"/>
        <v>234.9</v>
      </c>
      <c r="AB136" s="18">
        <v>90</v>
      </c>
      <c r="AC136" s="18" t="e">
        <f t="shared" si="17"/>
        <v>#REF!</v>
      </c>
      <c r="AD136" s="18">
        <f>214.97/2</f>
        <v>107.485</v>
      </c>
      <c r="AE136" s="18">
        <v>82.4</v>
      </c>
      <c r="AF136">
        <f t="shared" si="22"/>
        <v>1.4782608695652174E-2</v>
      </c>
    </row>
    <row r="137" spans="1:32" x14ac:dyDescent="0.25">
      <c r="A137" s="2">
        <v>134</v>
      </c>
      <c r="B137" s="20"/>
      <c r="C137" s="18" t="s">
        <v>203</v>
      </c>
      <c r="D137" s="18">
        <v>32.799999999999997</v>
      </c>
      <c r="E137" s="18">
        <v>150</v>
      </c>
      <c r="F137" s="18">
        <v>300</v>
      </c>
      <c r="G137" s="18">
        <v>261</v>
      </c>
      <c r="H137" s="18">
        <v>300</v>
      </c>
      <c r="I137" s="18">
        <v>0</v>
      </c>
      <c r="J137" s="18" t="s">
        <v>36</v>
      </c>
      <c r="K137" s="48">
        <v>740</v>
      </c>
      <c r="L137" s="19">
        <f t="shared" si="19"/>
        <v>2.8352490421455938</v>
      </c>
      <c r="M137" s="18" t="s">
        <v>37</v>
      </c>
      <c r="N137" s="18"/>
      <c r="O137" s="18"/>
      <c r="P137" s="18"/>
      <c r="Q137" s="18"/>
      <c r="R137" s="18"/>
      <c r="S137" s="18" t="s">
        <v>38</v>
      </c>
      <c r="T137" s="18" t="s">
        <v>43</v>
      </c>
      <c r="U137" s="18" t="s">
        <v>144</v>
      </c>
      <c r="V137" s="18">
        <v>230000</v>
      </c>
      <c r="W137" s="18">
        <v>0.111</v>
      </c>
      <c r="X137" s="18">
        <v>3400</v>
      </c>
      <c r="Y137" s="18">
        <v>50</v>
      </c>
      <c r="Z137" s="18">
        <v>100</v>
      </c>
      <c r="AA137" s="20">
        <f t="shared" si="16"/>
        <v>234.9</v>
      </c>
      <c r="AB137" s="18">
        <v>90</v>
      </c>
      <c r="AC137" s="18" t="e">
        <f t="shared" si="17"/>
        <v>#REF!</v>
      </c>
      <c r="AD137" s="18">
        <f>208.58/2</f>
        <v>104.29</v>
      </c>
      <c r="AE137" s="18">
        <v>94.74</v>
      </c>
      <c r="AF137">
        <f t="shared" si="22"/>
        <v>1.4782608695652174E-2</v>
      </c>
    </row>
    <row r="138" spans="1:32" x14ac:dyDescent="0.25">
      <c r="A138" s="2">
        <v>135</v>
      </c>
      <c r="B138" s="20"/>
      <c r="C138" s="18" t="s">
        <v>204</v>
      </c>
      <c r="D138" s="18">
        <v>32.799999999999997</v>
      </c>
      <c r="E138" s="18">
        <v>150</v>
      </c>
      <c r="F138" s="18">
        <v>300</v>
      </c>
      <c r="G138" s="18">
        <v>261</v>
      </c>
      <c r="H138" s="18">
        <v>300</v>
      </c>
      <c r="I138" s="18">
        <v>0</v>
      </c>
      <c r="J138" s="18" t="s">
        <v>36</v>
      </c>
      <c r="K138" s="48">
        <v>740</v>
      </c>
      <c r="L138" s="19">
        <f t="shared" si="19"/>
        <v>2.8352490421455938</v>
      </c>
      <c r="M138" s="18" t="s">
        <v>37</v>
      </c>
      <c r="N138" s="18"/>
      <c r="O138" s="18"/>
      <c r="P138" s="18"/>
      <c r="Q138" s="18"/>
      <c r="R138" s="18"/>
      <c r="S138" s="18" t="s">
        <v>38</v>
      </c>
      <c r="T138" s="18" t="s">
        <v>43</v>
      </c>
      <c r="U138" s="18" t="s">
        <v>144</v>
      </c>
      <c r="V138" s="18">
        <v>230000</v>
      </c>
      <c r="W138" s="18">
        <v>0.111</v>
      </c>
      <c r="X138" s="18">
        <v>3400</v>
      </c>
      <c r="Y138" s="18">
        <v>50</v>
      </c>
      <c r="Z138" s="18">
        <v>100</v>
      </c>
      <c r="AA138" s="20">
        <f t="shared" si="16"/>
        <v>234.9</v>
      </c>
      <c r="AB138" s="18">
        <v>90</v>
      </c>
      <c r="AC138" s="18" t="e">
        <f t="shared" si="17"/>
        <v>#REF!</v>
      </c>
      <c r="AD138" s="18">
        <f>230.38/2</f>
        <v>115.19</v>
      </c>
      <c r="AE138" s="18">
        <v>116.54</v>
      </c>
      <c r="AF138">
        <f t="shared" si="22"/>
        <v>1.4782608695652174E-2</v>
      </c>
    </row>
    <row r="139" spans="1:32" x14ac:dyDescent="0.25">
      <c r="A139" s="2">
        <v>136</v>
      </c>
      <c r="B139" s="20"/>
      <c r="C139" s="18" t="s">
        <v>205</v>
      </c>
      <c r="D139" s="18">
        <v>32.799999999999997</v>
      </c>
      <c r="E139" s="18">
        <v>150</v>
      </c>
      <c r="F139" s="18">
        <v>300</v>
      </c>
      <c r="G139" s="18">
        <v>261</v>
      </c>
      <c r="H139" s="18">
        <v>300</v>
      </c>
      <c r="I139" s="18">
        <v>0</v>
      </c>
      <c r="J139" s="18" t="s">
        <v>36</v>
      </c>
      <c r="K139" s="48">
        <v>741</v>
      </c>
      <c r="L139" s="19">
        <f t="shared" si="19"/>
        <v>2.8390804597701149</v>
      </c>
      <c r="M139" s="18" t="s">
        <v>37</v>
      </c>
      <c r="N139" s="18"/>
      <c r="O139" s="18"/>
      <c r="P139" s="18"/>
      <c r="Q139" s="18"/>
      <c r="R139" s="18"/>
      <c r="S139" s="18" t="s">
        <v>38</v>
      </c>
      <c r="T139" s="18" t="s">
        <v>43</v>
      </c>
      <c r="U139" s="18" t="s">
        <v>144</v>
      </c>
      <c r="V139" s="18">
        <v>230000</v>
      </c>
      <c r="W139" s="18">
        <v>0.111</v>
      </c>
      <c r="X139" s="18">
        <v>3400</v>
      </c>
      <c r="Y139" s="18">
        <v>50</v>
      </c>
      <c r="Z139" s="18">
        <v>100</v>
      </c>
      <c r="AA139" s="20">
        <f t="shared" si="16"/>
        <v>234.9</v>
      </c>
      <c r="AB139" s="18">
        <v>90</v>
      </c>
      <c r="AC139" s="18" t="e">
        <f t="shared" si="17"/>
        <v>#REF!</v>
      </c>
      <c r="AD139" s="18">
        <f>214.97/2</f>
        <v>107.485</v>
      </c>
      <c r="AE139" s="18">
        <v>101.13</v>
      </c>
      <c r="AF139">
        <f t="shared" si="22"/>
        <v>1.4782608695652174E-2</v>
      </c>
    </row>
    <row r="140" spans="1:32" x14ac:dyDescent="0.25">
      <c r="A140" s="2">
        <v>137</v>
      </c>
      <c r="B140" s="20" t="s">
        <v>121</v>
      </c>
      <c r="C140" s="18" t="s">
        <v>206</v>
      </c>
      <c r="D140" s="18">
        <v>32.799999999999997</v>
      </c>
      <c r="E140" s="18">
        <v>150</v>
      </c>
      <c r="F140" s="18">
        <v>300</v>
      </c>
      <c r="G140" s="18">
        <v>261</v>
      </c>
      <c r="H140" s="18">
        <v>300</v>
      </c>
      <c r="I140" s="18">
        <v>0</v>
      </c>
      <c r="J140" s="18" t="s">
        <v>36</v>
      </c>
      <c r="K140" s="48">
        <v>742</v>
      </c>
      <c r="L140" s="19">
        <f t="shared" si="19"/>
        <v>2.842911877394636</v>
      </c>
      <c r="M140" s="18" t="s">
        <v>37</v>
      </c>
      <c r="N140" s="18"/>
      <c r="O140" s="18"/>
      <c r="P140" s="18"/>
      <c r="Q140" s="18"/>
      <c r="R140" s="18"/>
      <c r="S140" s="18" t="s">
        <v>38</v>
      </c>
      <c r="T140" s="18" t="s">
        <v>43</v>
      </c>
      <c r="U140" s="18" t="s">
        <v>144</v>
      </c>
      <c r="V140" s="18">
        <v>230000</v>
      </c>
      <c r="W140" s="18">
        <v>0.111</v>
      </c>
      <c r="X140" s="18">
        <v>3400</v>
      </c>
      <c r="Y140" s="18">
        <v>50</v>
      </c>
      <c r="Z140" s="18">
        <v>100</v>
      </c>
      <c r="AA140" s="20">
        <f t="shared" si="16"/>
        <v>234.9</v>
      </c>
      <c r="AB140" s="18">
        <v>90</v>
      </c>
      <c r="AC140" s="18" t="e">
        <f t="shared" si="17"/>
        <v>#REF!</v>
      </c>
      <c r="AD140" s="18">
        <f>211.98/2</f>
        <v>105.99</v>
      </c>
      <c r="AE140" s="18">
        <v>98.14</v>
      </c>
      <c r="AF140">
        <f t="shared" si="22"/>
        <v>1.4782608695652174E-2</v>
      </c>
    </row>
    <row r="141" spans="1:32" x14ac:dyDescent="0.25">
      <c r="A141" s="2">
        <v>138</v>
      </c>
      <c r="B141" s="20"/>
      <c r="C141" s="18" t="s">
        <v>207</v>
      </c>
      <c r="D141" s="18">
        <v>32.799999999999997</v>
      </c>
      <c r="E141" s="18">
        <v>150</v>
      </c>
      <c r="F141" s="18">
        <v>300</v>
      </c>
      <c r="G141" s="18">
        <v>261</v>
      </c>
      <c r="H141" s="18">
        <v>300</v>
      </c>
      <c r="I141" s="18">
        <v>0</v>
      </c>
      <c r="J141" s="18" t="s">
        <v>36</v>
      </c>
      <c r="K141" s="48">
        <v>743</v>
      </c>
      <c r="L141" s="19">
        <f t="shared" si="19"/>
        <v>2.8467432950191571</v>
      </c>
      <c r="M141" s="18" t="s">
        <v>37</v>
      </c>
      <c r="N141" s="18"/>
      <c r="O141" s="18"/>
      <c r="P141" s="18"/>
      <c r="Q141" s="18"/>
      <c r="R141" s="18"/>
      <c r="S141" s="18" t="s">
        <v>38</v>
      </c>
      <c r="T141" s="18" t="s">
        <v>43</v>
      </c>
      <c r="U141" s="18" t="s">
        <v>144</v>
      </c>
      <c r="V141" s="18">
        <v>230000</v>
      </c>
      <c r="W141" s="18">
        <v>0.111</v>
      </c>
      <c r="X141" s="18">
        <v>3400</v>
      </c>
      <c r="Y141" s="18">
        <v>50</v>
      </c>
      <c r="Z141" s="18">
        <v>100</v>
      </c>
      <c r="AA141" s="20">
        <f t="shared" si="16"/>
        <v>234.9</v>
      </c>
      <c r="AB141" s="18">
        <v>90</v>
      </c>
      <c r="AC141" s="18" t="e">
        <f t="shared" si="17"/>
        <v>#REF!</v>
      </c>
      <c r="AD141" s="18">
        <f>205.57/2</f>
        <v>102.785</v>
      </c>
      <c r="AE141" s="18">
        <v>91.73</v>
      </c>
      <c r="AF141">
        <f t="shared" si="22"/>
        <v>1.4782608695652174E-2</v>
      </c>
    </row>
    <row r="142" spans="1:32" x14ac:dyDescent="0.25">
      <c r="A142" s="2">
        <v>139</v>
      </c>
      <c r="B142" s="20"/>
      <c r="C142" s="18" t="s">
        <v>208</v>
      </c>
      <c r="D142" s="18">
        <v>32.799999999999997</v>
      </c>
      <c r="E142" s="18">
        <v>150</v>
      </c>
      <c r="F142" s="18">
        <v>300</v>
      </c>
      <c r="G142" s="18">
        <v>261</v>
      </c>
      <c r="H142" s="18">
        <v>300</v>
      </c>
      <c r="I142" s="18">
        <v>0</v>
      </c>
      <c r="J142" s="18" t="s">
        <v>36</v>
      </c>
      <c r="K142" s="48">
        <v>744</v>
      </c>
      <c r="L142" s="19">
        <f t="shared" si="19"/>
        <v>2.8505747126436782</v>
      </c>
      <c r="M142" s="18" t="s">
        <v>37</v>
      </c>
      <c r="N142" s="18"/>
      <c r="O142" s="18"/>
      <c r="P142" s="18"/>
      <c r="Q142" s="18"/>
      <c r="R142" s="18"/>
      <c r="S142" s="18" t="s">
        <v>38</v>
      </c>
      <c r="T142" s="18" t="s">
        <v>43</v>
      </c>
      <c r="U142" s="18" t="s">
        <v>144</v>
      </c>
      <c r="V142" s="18">
        <v>230000</v>
      </c>
      <c r="W142" s="18">
        <v>0.111</v>
      </c>
      <c r="X142" s="18">
        <v>3400</v>
      </c>
      <c r="Y142" s="18">
        <v>50</v>
      </c>
      <c r="Z142" s="18">
        <v>141.4</v>
      </c>
      <c r="AA142" s="20">
        <f t="shared" si="16"/>
        <v>234.9</v>
      </c>
      <c r="AB142" s="18">
        <v>45</v>
      </c>
      <c r="AC142" s="18" t="e">
        <f t="shared" si="17"/>
        <v>#REF!</v>
      </c>
      <c r="AD142" s="18">
        <f>236.83/2</f>
        <v>118.41500000000001</v>
      </c>
      <c r="AE142" s="18">
        <v>122.99</v>
      </c>
      <c r="AF142">
        <f t="shared" si="22"/>
        <v>1.4782608695652174E-2</v>
      </c>
    </row>
    <row r="143" spans="1:32" x14ac:dyDescent="0.25">
      <c r="A143" s="2">
        <v>140</v>
      </c>
      <c r="B143" s="20"/>
      <c r="C143" s="18" t="s">
        <v>209</v>
      </c>
      <c r="D143" s="18">
        <v>32.799999999999997</v>
      </c>
      <c r="E143" s="18">
        <v>150</v>
      </c>
      <c r="F143" s="18">
        <v>300</v>
      </c>
      <c r="G143" s="18">
        <v>261</v>
      </c>
      <c r="H143" s="18">
        <v>300</v>
      </c>
      <c r="I143" s="18">
        <v>0</v>
      </c>
      <c r="J143" s="18" t="s">
        <v>36</v>
      </c>
      <c r="K143" s="48">
        <v>745</v>
      </c>
      <c r="L143" s="19">
        <f t="shared" si="19"/>
        <v>2.8544061302681993</v>
      </c>
      <c r="M143" s="18" t="s">
        <v>37</v>
      </c>
      <c r="N143" s="18"/>
      <c r="O143" s="18"/>
      <c r="P143" s="18"/>
      <c r="Q143" s="18"/>
      <c r="R143" s="18"/>
      <c r="S143" s="18" t="s">
        <v>38</v>
      </c>
      <c r="T143" s="18" t="s">
        <v>43</v>
      </c>
      <c r="U143" s="18" t="s">
        <v>144</v>
      </c>
      <c r="V143" s="18">
        <v>230000</v>
      </c>
      <c r="W143" s="18">
        <v>0.111</v>
      </c>
      <c r="X143" s="18">
        <v>3400</v>
      </c>
      <c r="Y143" s="18">
        <v>50</v>
      </c>
      <c r="Z143" s="18">
        <v>141.4</v>
      </c>
      <c r="AA143" s="20">
        <f t="shared" si="16"/>
        <v>234.9</v>
      </c>
      <c r="AB143" s="18">
        <v>45</v>
      </c>
      <c r="AC143" s="18" t="e">
        <f t="shared" si="17"/>
        <v>#REF!</v>
      </c>
      <c r="AD143" s="18">
        <f>230.26/2</f>
        <v>115.13</v>
      </c>
      <c r="AE143" s="18">
        <v>116.42</v>
      </c>
      <c r="AF143">
        <f t="shared" si="22"/>
        <v>1.4782608695652174E-2</v>
      </c>
    </row>
    <row r="144" spans="1:32" x14ac:dyDescent="0.25">
      <c r="A144" s="2">
        <v>141</v>
      </c>
      <c r="B144" s="20"/>
      <c r="C144" s="18" t="s">
        <v>210</v>
      </c>
      <c r="D144" s="18">
        <v>32.799999999999997</v>
      </c>
      <c r="E144" s="18">
        <v>150</v>
      </c>
      <c r="F144" s="18">
        <v>300</v>
      </c>
      <c r="G144" s="18">
        <v>261</v>
      </c>
      <c r="H144" s="18">
        <v>300</v>
      </c>
      <c r="I144" s="18">
        <v>0</v>
      </c>
      <c r="J144" s="18" t="s">
        <v>36</v>
      </c>
      <c r="K144" s="48">
        <v>746</v>
      </c>
      <c r="L144" s="19">
        <f t="shared" si="19"/>
        <v>2.8582375478927204</v>
      </c>
      <c r="M144" s="18" t="s">
        <v>37</v>
      </c>
      <c r="N144" s="18"/>
      <c r="O144" s="18"/>
      <c r="P144" s="18"/>
      <c r="Q144" s="18"/>
      <c r="R144" s="18"/>
      <c r="S144" s="18" t="s">
        <v>38</v>
      </c>
      <c r="T144" s="18" t="s">
        <v>39</v>
      </c>
      <c r="U144" s="18" t="s">
        <v>144</v>
      </c>
      <c r="V144" s="18">
        <v>230000</v>
      </c>
      <c r="W144" s="18">
        <v>0.111</v>
      </c>
      <c r="X144" s="18">
        <v>3400</v>
      </c>
      <c r="Y144" s="18">
        <v>1</v>
      </c>
      <c r="Z144" s="18">
        <v>1</v>
      </c>
      <c r="AA144" s="20">
        <f t="shared" si="16"/>
        <v>234.9</v>
      </c>
      <c r="AB144" s="18">
        <v>90</v>
      </c>
      <c r="AC144" s="18" t="e">
        <f t="shared" si="17"/>
        <v>#REF!</v>
      </c>
      <c r="AD144" s="18">
        <f>276.74/2</f>
        <v>138.37</v>
      </c>
      <c r="AE144" s="18">
        <v>162.9</v>
      </c>
      <c r="AF144">
        <f t="shared" si="22"/>
        <v>1.4782608695652174E-2</v>
      </c>
    </row>
    <row r="145" spans="1:32" x14ac:dyDescent="0.25">
      <c r="A145" s="2">
        <v>142</v>
      </c>
      <c r="B145" s="20"/>
      <c r="C145" s="18" t="s">
        <v>211</v>
      </c>
      <c r="D145" s="18">
        <v>32.799999999999997</v>
      </c>
      <c r="E145" s="18">
        <v>150</v>
      </c>
      <c r="F145" s="18">
        <v>300</v>
      </c>
      <c r="G145" s="18">
        <v>261</v>
      </c>
      <c r="H145" s="18">
        <v>300</v>
      </c>
      <c r="I145" s="18">
        <v>0</v>
      </c>
      <c r="J145" s="18" t="s">
        <v>36</v>
      </c>
      <c r="K145" s="48">
        <v>747</v>
      </c>
      <c r="L145" s="19">
        <f t="shared" si="19"/>
        <v>2.8620689655172415</v>
      </c>
      <c r="M145" s="18" t="s">
        <v>37</v>
      </c>
      <c r="N145" s="31"/>
      <c r="O145" s="31"/>
      <c r="P145" s="31"/>
      <c r="Q145" s="31"/>
      <c r="R145" s="18"/>
      <c r="S145" s="18" t="s">
        <v>38</v>
      </c>
      <c r="T145" s="18" t="s">
        <v>39</v>
      </c>
      <c r="U145" s="18" t="s">
        <v>144</v>
      </c>
      <c r="V145" s="18">
        <v>230000</v>
      </c>
      <c r="W145" s="18">
        <v>0.111</v>
      </c>
      <c r="X145" s="18">
        <v>3400</v>
      </c>
      <c r="Y145" s="18">
        <v>1</v>
      </c>
      <c r="Z145" s="18">
        <v>1</v>
      </c>
      <c r="AA145" s="20">
        <f t="shared" si="16"/>
        <v>234.9</v>
      </c>
      <c r="AB145" s="18">
        <v>90</v>
      </c>
      <c r="AC145" s="18" t="e">
        <f t="shared" si="17"/>
        <v>#REF!</v>
      </c>
      <c r="AD145" s="18">
        <f>224.85/2</f>
        <v>112.425</v>
      </c>
      <c r="AE145" s="18">
        <v>111.01</v>
      </c>
      <c r="AF145">
        <f t="shared" si="22"/>
        <v>1.4782608695652174E-2</v>
      </c>
    </row>
    <row r="146" spans="1:32" x14ac:dyDescent="0.25">
      <c r="A146" s="2">
        <v>143</v>
      </c>
      <c r="B146" s="32"/>
      <c r="C146" s="18" t="s">
        <v>212</v>
      </c>
      <c r="D146" s="18">
        <v>44.1</v>
      </c>
      <c r="E146" s="18">
        <v>140</v>
      </c>
      <c r="F146" s="18">
        <v>600</v>
      </c>
      <c r="G146" s="17">
        <v>520</v>
      </c>
      <c r="H146" s="18">
        <v>600</v>
      </c>
      <c r="I146" s="18">
        <v>150</v>
      </c>
      <c r="J146" s="18" t="s">
        <v>86</v>
      </c>
      <c r="K146" s="48">
        <v>1550</v>
      </c>
      <c r="L146" s="19">
        <f t="shared" si="19"/>
        <v>2.9807692307692308</v>
      </c>
      <c r="M146" s="18" t="s">
        <v>37</v>
      </c>
      <c r="N146" s="31"/>
      <c r="O146" s="31"/>
      <c r="P146" s="31"/>
      <c r="Q146" s="31"/>
      <c r="R146" s="18"/>
      <c r="S146" s="18" t="s">
        <v>38</v>
      </c>
      <c r="T146" s="18" t="s">
        <v>43</v>
      </c>
      <c r="U146" s="18" t="s">
        <v>144</v>
      </c>
      <c r="V146" s="18">
        <v>230000</v>
      </c>
      <c r="W146" s="18">
        <v>0.11</v>
      </c>
      <c r="X146" s="18">
        <v>3400</v>
      </c>
      <c r="Y146" s="18">
        <v>50</v>
      </c>
      <c r="Z146" s="18">
        <v>141.4</v>
      </c>
      <c r="AA146" s="20">
        <f t="shared" si="16"/>
        <v>318</v>
      </c>
      <c r="AB146" s="18">
        <v>45</v>
      </c>
      <c r="AC146" s="18" t="e">
        <f t="shared" si="17"/>
        <v>#REF!</v>
      </c>
      <c r="AD146" s="18">
        <v>213.6</v>
      </c>
      <c r="AE146" s="18">
        <v>103.5</v>
      </c>
      <c r="AF146">
        <f t="shared" si="22"/>
        <v>1.4782608695652174E-2</v>
      </c>
    </row>
    <row r="147" spans="1:32" x14ac:dyDescent="0.25">
      <c r="A147" s="2">
        <v>144</v>
      </c>
      <c r="B147" s="32" t="s">
        <v>213</v>
      </c>
      <c r="C147" s="18" t="s">
        <v>214</v>
      </c>
      <c r="D147" s="18">
        <v>44.1</v>
      </c>
      <c r="E147" s="18">
        <v>140</v>
      </c>
      <c r="F147" s="18">
        <v>600</v>
      </c>
      <c r="G147" s="17">
        <v>520</v>
      </c>
      <c r="H147" s="18">
        <v>600</v>
      </c>
      <c r="I147" s="18">
        <v>150</v>
      </c>
      <c r="J147" s="18" t="s">
        <v>86</v>
      </c>
      <c r="K147" s="48">
        <v>1550</v>
      </c>
      <c r="L147" s="19">
        <f t="shared" si="19"/>
        <v>2.9807692307692308</v>
      </c>
      <c r="M147" s="18" t="s">
        <v>52</v>
      </c>
      <c r="N147" s="18">
        <v>6</v>
      </c>
      <c r="O147" s="18">
        <v>400</v>
      </c>
      <c r="P147" s="18">
        <v>200000</v>
      </c>
      <c r="Q147" s="18">
        <v>520</v>
      </c>
      <c r="R147" s="18">
        <f>100*2*3.1416*N147^2/4/O147/E147</f>
        <v>0.10097999999999999</v>
      </c>
      <c r="S147" s="18" t="s">
        <v>38</v>
      </c>
      <c r="T147" s="18" t="s">
        <v>43</v>
      </c>
      <c r="U147" s="18" t="s">
        <v>144</v>
      </c>
      <c r="V147" s="18">
        <v>230000</v>
      </c>
      <c r="W147" s="18">
        <v>0.11</v>
      </c>
      <c r="X147" s="18">
        <v>3400</v>
      </c>
      <c r="Y147" s="18">
        <v>50</v>
      </c>
      <c r="Z147" s="18">
        <v>100</v>
      </c>
      <c r="AA147" s="20">
        <f t="shared" si="16"/>
        <v>318</v>
      </c>
      <c r="AB147" s="18">
        <v>90</v>
      </c>
      <c r="AC147" s="18" t="e">
        <f t="shared" si="17"/>
        <v>#REF!</v>
      </c>
      <c r="AD147" s="18">
        <v>272.8</v>
      </c>
      <c r="AE147" s="18">
        <v>85.25</v>
      </c>
      <c r="AF147">
        <f t="shared" si="22"/>
        <v>1.4782608695652174E-2</v>
      </c>
    </row>
    <row r="148" spans="1:32" x14ac:dyDescent="0.25">
      <c r="A148" s="2">
        <v>145</v>
      </c>
      <c r="B148" s="32"/>
      <c r="C148" s="18" t="s">
        <v>215</v>
      </c>
      <c r="D148" s="18">
        <v>44.1</v>
      </c>
      <c r="E148" s="18">
        <v>140</v>
      </c>
      <c r="F148" s="18">
        <v>600</v>
      </c>
      <c r="G148" s="17">
        <v>520</v>
      </c>
      <c r="H148" s="18">
        <v>600</v>
      </c>
      <c r="I148" s="18">
        <v>150</v>
      </c>
      <c r="J148" s="18" t="s">
        <v>86</v>
      </c>
      <c r="K148" s="48">
        <v>1550</v>
      </c>
      <c r="L148" s="19">
        <f t="shared" si="19"/>
        <v>2.9807692307692308</v>
      </c>
      <c r="M148" s="18" t="s">
        <v>52</v>
      </c>
      <c r="N148" s="18">
        <v>6</v>
      </c>
      <c r="O148" s="18">
        <v>400</v>
      </c>
      <c r="P148" s="18">
        <v>200000</v>
      </c>
      <c r="Q148" s="18">
        <v>520</v>
      </c>
      <c r="R148" s="18">
        <f>100*2*3.1416*N148^2/4/O148/E148</f>
        <v>0.10097999999999999</v>
      </c>
      <c r="S148" s="18" t="s">
        <v>106</v>
      </c>
      <c r="T148" s="18" t="s">
        <v>39</v>
      </c>
      <c r="U148" s="18" t="s">
        <v>144</v>
      </c>
      <c r="V148" s="18">
        <v>17700</v>
      </c>
      <c r="W148" s="18">
        <v>1.8</v>
      </c>
      <c r="X148" s="18">
        <v>106</v>
      </c>
      <c r="Y148" s="18">
        <v>1</v>
      </c>
      <c r="Z148" s="18">
        <v>1</v>
      </c>
      <c r="AA148" s="20">
        <f t="shared" si="16"/>
        <v>318</v>
      </c>
      <c r="AB148" s="18">
        <v>90</v>
      </c>
      <c r="AC148" s="18" t="e">
        <f t="shared" si="17"/>
        <v>#REF!</v>
      </c>
      <c r="AD148" s="18">
        <v>297.45</v>
      </c>
      <c r="AE148" s="18">
        <v>109.9</v>
      </c>
      <c r="AF148">
        <f t="shared" si="22"/>
        <v>5.9887005649717513E-3</v>
      </c>
    </row>
    <row r="149" spans="1:32" x14ac:dyDescent="0.25">
      <c r="A149" s="2">
        <v>146</v>
      </c>
      <c r="B149" s="20"/>
      <c r="C149" s="18" t="s">
        <v>216</v>
      </c>
      <c r="D149" s="18">
        <v>37.200000000000003</v>
      </c>
      <c r="E149" s="18">
        <v>300</v>
      </c>
      <c r="F149" s="18">
        <v>300</v>
      </c>
      <c r="G149" s="18">
        <v>245</v>
      </c>
      <c r="H149" s="18">
        <v>300</v>
      </c>
      <c r="I149" s="18">
        <v>55</v>
      </c>
      <c r="J149" s="18" t="s">
        <v>36</v>
      </c>
      <c r="K149" s="48">
        <v>1000</v>
      </c>
      <c r="L149" s="19">
        <f t="shared" si="19"/>
        <v>4.0816326530612246</v>
      </c>
      <c r="M149" s="18" t="s">
        <v>37</v>
      </c>
      <c r="N149" s="18"/>
      <c r="O149" s="18"/>
      <c r="P149" s="18"/>
      <c r="Q149" s="18"/>
      <c r="R149" s="18"/>
      <c r="S149" s="18" t="s">
        <v>38</v>
      </c>
      <c r="T149" s="18" t="s">
        <v>39</v>
      </c>
      <c r="U149" s="18" t="s">
        <v>144</v>
      </c>
      <c r="V149" s="18">
        <v>230000</v>
      </c>
      <c r="W149" s="18">
        <v>0.16700000000000001</v>
      </c>
      <c r="X149" s="18">
        <v>3400</v>
      </c>
      <c r="Y149" s="18">
        <v>1</v>
      </c>
      <c r="Z149" s="18">
        <v>1</v>
      </c>
      <c r="AA149" s="20">
        <f t="shared" si="16"/>
        <v>165.5</v>
      </c>
      <c r="AB149" s="18">
        <v>90</v>
      </c>
      <c r="AC149" s="18" t="e">
        <f t="shared" si="17"/>
        <v>#REF!</v>
      </c>
      <c r="AD149" s="18">
        <v>165</v>
      </c>
      <c r="AE149" s="18">
        <v>53</v>
      </c>
      <c r="AF149">
        <f t="shared" si="22"/>
        <v>1.4782608695652174E-2</v>
      </c>
    </row>
    <row r="150" spans="1:32" x14ac:dyDescent="0.25">
      <c r="A150" s="2">
        <v>147</v>
      </c>
      <c r="B150" s="20" t="s">
        <v>217</v>
      </c>
      <c r="C150" s="18" t="s">
        <v>218</v>
      </c>
      <c r="D150" s="18">
        <v>39.6</v>
      </c>
      <c r="E150" s="18">
        <v>300</v>
      </c>
      <c r="F150" s="18">
        <v>300</v>
      </c>
      <c r="G150" s="18">
        <v>245</v>
      </c>
      <c r="H150" s="18">
        <v>300</v>
      </c>
      <c r="I150" s="18">
        <v>55</v>
      </c>
      <c r="J150" s="18" t="s">
        <v>36</v>
      </c>
      <c r="K150" s="48">
        <v>1000</v>
      </c>
      <c r="L150" s="19">
        <f t="shared" si="19"/>
        <v>4.0816326530612246</v>
      </c>
      <c r="M150" s="18" t="s">
        <v>37</v>
      </c>
      <c r="N150" s="18"/>
      <c r="O150" s="18"/>
      <c r="P150" s="18"/>
      <c r="Q150" s="18"/>
      <c r="R150" s="18"/>
      <c r="S150" s="18" t="s">
        <v>140</v>
      </c>
      <c r="T150" s="18" t="s">
        <v>39</v>
      </c>
      <c r="U150" s="18" t="s">
        <v>144</v>
      </c>
      <c r="V150" s="18">
        <v>120000</v>
      </c>
      <c r="W150" s="18">
        <v>0.28599999999999998</v>
      </c>
      <c r="X150" s="18">
        <v>2000</v>
      </c>
      <c r="Y150" s="18">
        <v>1</v>
      </c>
      <c r="Z150" s="18">
        <v>1</v>
      </c>
      <c r="AA150" s="20">
        <f t="shared" si="16"/>
        <v>165.5</v>
      </c>
      <c r="AB150" s="18">
        <v>90</v>
      </c>
      <c r="AC150" s="18" t="e">
        <f t="shared" si="17"/>
        <v>#REF!</v>
      </c>
      <c r="AD150" s="18">
        <v>155</v>
      </c>
      <c r="AE150" s="18">
        <v>43</v>
      </c>
      <c r="AF150">
        <f t="shared" si="22"/>
        <v>1.6666666666666666E-2</v>
      </c>
    </row>
    <row r="151" spans="1:32" x14ac:dyDescent="0.25">
      <c r="A151" s="2">
        <v>148</v>
      </c>
      <c r="B151" s="26"/>
      <c r="C151" s="26" t="s">
        <v>219</v>
      </c>
      <c r="D151" s="2">
        <v>40</v>
      </c>
      <c r="E151" s="2">
        <v>130</v>
      </c>
      <c r="F151" s="2">
        <v>450</v>
      </c>
      <c r="G151" s="2">
        <v>425</v>
      </c>
      <c r="H151" s="2">
        <v>450</v>
      </c>
      <c r="I151" s="2">
        <v>0</v>
      </c>
      <c r="J151" s="2" t="s">
        <v>36</v>
      </c>
      <c r="K151" s="2">
        <v>900</v>
      </c>
      <c r="L151" s="43">
        <f>K151/G151</f>
        <v>2.1176470588235294</v>
      </c>
      <c r="M151" s="2" t="s">
        <v>52</v>
      </c>
      <c r="N151" s="2">
        <v>6</v>
      </c>
      <c r="O151" s="2">
        <v>300</v>
      </c>
      <c r="P151" s="2">
        <v>210000</v>
      </c>
      <c r="Q151" s="2">
        <v>240</v>
      </c>
      <c r="R151" s="2">
        <f>100*2*3.1416*N151^2/4/O151/E151</f>
        <v>0.14499692307692308</v>
      </c>
      <c r="S151" s="2" t="s">
        <v>38</v>
      </c>
      <c r="T151" s="2" t="s">
        <v>43</v>
      </c>
      <c r="U151" s="2" t="s">
        <v>220</v>
      </c>
      <c r="V151" s="2">
        <v>105000</v>
      </c>
      <c r="W151" s="2">
        <v>0.43</v>
      </c>
      <c r="X151" s="2">
        <v>1400</v>
      </c>
      <c r="Y151" s="2">
        <v>40</v>
      </c>
      <c r="Z151" s="2">
        <v>200</v>
      </c>
      <c r="AA151" s="2">
        <f>0.9*G151-(F151-H151)-I151</f>
        <v>382.5</v>
      </c>
      <c r="AB151" s="2">
        <v>90</v>
      </c>
      <c r="AC151" s="2">
        <v>45</v>
      </c>
      <c r="AD151" s="49">
        <v>177.5</v>
      </c>
      <c r="AE151" s="2">
        <v>67.5</v>
      </c>
      <c r="AF151">
        <f t="shared" si="22"/>
        <v>1.3333333333333334E-2</v>
      </c>
    </row>
    <row r="152" spans="1:32" x14ac:dyDescent="0.25">
      <c r="A152" s="2">
        <v>149</v>
      </c>
      <c r="B152" s="26" t="s">
        <v>156</v>
      </c>
      <c r="C152" s="26" t="s">
        <v>221</v>
      </c>
      <c r="D152" s="2">
        <v>40</v>
      </c>
      <c r="E152" s="2">
        <v>130</v>
      </c>
      <c r="F152" s="2">
        <v>450</v>
      </c>
      <c r="G152" s="2">
        <v>425</v>
      </c>
      <c r="H152" s="2">
        <v>450</v>
      </c>
      <c r="I152" s="2">
        <v>0</v>
      </c>
      <c r="J152" s="2" t="s">
        <v>36</v>
      </c>
      <c r="K152" s="2">
        <v>900</v>
      </c>
      <c r="L152" s="43">
        <f t="shared" ref="L152:L157" si="23">K152/G152</f>
        <v>2.1176470588235294</v>
      </c>
      <c r="M152" s="2" t="s">
        <v>52</v>
      </c>
      <c r="N152" s="2">
        <v>6</v>
      </c>
      <c r="O152" s="2">
        <v>300</v>
      </c>
      <c r="P152" s="2">
        <v>210000</v>
      </c>
      <c r="Q152" s="2">
        <v>240</v>
      </c>
      <c r="R152" s="2">
        <f t="shared" ref="R152:R154" si="24">100*2*3.1416*N152^2/4/O152/E152</f>
        <v>0.14499692307692308</v>
      </c>
      <c r="S152" s="2" t="s">
        <v>38</v>
      </c>
      <c r="T152" s="2" t="s">
        <v>43</v>
      </c>
      <c r="U152" s="2" t="s">
        <v>220</v>
      </c>
      <c r="V152" s="2">
        <v>105000</v>
      </c>
      <c r="W152" s="2">
        <v>0.43</v>
      </c>
      <c r="X152" s="2">
        <v>1400</v>
      </c>
      <c r="Y152" s="2">
        <v>40</v>
      </c>
      <c r="Z152" s="2">
        <v>250</v>
      </c>
      <c r="AA152" s="2">
        <f t="shared" ref="AA152:AA157" si="25">0.9*G152-(F152-H152)-I152</f>
        <v>382.5</v>
      </c>
      <c r="AB152" s="2">
        <v>90</v>
      </c>
      <c r="AC152" s="2">
        <v>45</v>
      </c>
      <c r="AD152" s="49">
        <v>155</v>
      </c>
      <c r="AE152" s="2">
        <v>45</v>
      </c>
      <c r="AF152">
        <f t="shared" si="22"/>
        <v>1.3333333333333334E-2</v>
      </c>
    </row>
    <row r="153" spans="1:32" x14ac:dyDescent="0.25">
      <c r="A153" s="2">
        <v>150</v>
      </c>
      <c r="B153" s="26"/>
      <c r="C153" s="26" t="s">
        <v>222</v>
      </c>
      <c r="D153" s="2">
        <v>40</v>
      </c>
      <c r="E153" s="2">
        <v>130</v>
      </c>
      <c r="F153" s="2">
        <v>450</v>
      </c>
      <c r="G153" s="2">
        <v>425</v>
      </c>
      <c r="H153" s="2">
        <v>450</v>
      </c>
      <c r="I153" s="2">
        <v>0</v>
      </c>
      <c r="J153" s="2" t="s">
        <v>36</v>
      </c>
      <c r="K153" s="2">
        <v>900</v>
      </c>
      <c r="L153" s="43">
        <f t="shared" si="23"/>
        <v>2.1176470588235294</v>
      </c>
      <c r="M153" s="2" t="s">
        <v>52</v>
      </c>
      <c r="N153" s="2">
        <v>6</v>
      </c>
      <c r="O153" s="2">
        <v>300</v>
      </c>
      <c r="P153" s="2">
        <v>210000</v>
      </c>
      <c r="Q153" s="2">
        <v>240</v>
      </c>
      <c r="R153" s="2">
        <f t="shared" si="24"/>
        <v>0.14499692307692308</v>
      </c>
      <c r="S153" s="2" t="s">
        <v>38</v>
      </c>
      <c r="T153" s="2" t="s">
        <v>43</v>
      </c>
      <c r="U153" s="2" t="s">
        <v>220</v>
      </c>
      <c r="V153" s="2">
        <v>105000</v>
      </c>
      <c r="W153" s="2">
        <v>0.43</v>
      </c>
      <c r="X153" s="2">
        <v>1400</v>
      </c>
      <c r="Y153" s="2">
        <v>40</v>
      </c>
      <c r="Z153" s="2">
        <v>300</v>
      </c>
      <c r="AA153" s="2">
        <f t="shared" si="25"/>
        <v>382.5</v>
      </c>
      <c r="AB153" s="2">
        <v>45</v>
      </c>
      <c r="AC153" s="2">
        <v>45</v>
      </c>
      <c r="AD153" s="49">
        <v>145.5</v>
      </c>
      <c r="AE153" s="2">
        <v>35.5</v>
      </c>
      <c r="AF153">
        <f t="shared" si="22"/>
        <v>1.3333333333333334E-2</v>
      </c>
    </row>
    <row r="154" spans="1:32" x14ac:dyDescent="0.25">
      <c r="A154" s="2">
        <v>151</v>
      </c>
      <c r="B154" s="26"/>
      <c r="C154" s="26" t="s">
        <v>223</v>
      </c>
      <c r="D154" s="2">
        <v>40</v>
      </c>
      <c r="E154" s="2">
        <v>130</v>
      </c>
      <c r="F154" s="2">
        <v>450</v>
      </c>
      <c r="G154" s="2">
        <v>425</v>
      </c>
      <c r="H154" s="2">
        <v>450</v>
      </c>
      <c r="I154" s="2">
        <v>0</v>
      </c>
      <c r="J154" s="2" t="s">
        <v>36</v>
      </c>
      <c r="K154" s="2">
        <v>900</v>
      </c>
      <c r="L154" s="43">
        <f t="shared" si="23"/>
        <v>2.1176470588235294</v>
      </c>
      <c r="M154" s="2" t="s">
        <v>52</v>
      </c>
      <c r="N154" s="2">
        <v>6</v>
      </c>
      <c r="O154" s="2">
        <v>300</v>
      </c>
      <c r="P154" s="2">
        <v>210000</v>
      </c>
      <c r="Q154" s="2">
        <v>240</v>
      </c>
      <c r="R154" s="2">
        <f t="shared" si="24"/>
        <v>0.14499692307692308</v>
      </c>
      <c r="S154" s="2" t="s">
        <v>38</v>
      </c>
      <c r="T154" s="2" t="s">
        <v>43</v>
      </c>
      <c r="U154" s="2" t="s">
        <v>220</v>
      </c>
      <c r="V154" s="2">
        <v>105000</v>
      </c>
      <c r="W154" s="2">
        <v>0.43</v>
      </c>
      <c r="X154" s="2">
        <v>1400</v>
      </c>
      <c r="Y154" s="2">
        <v>40</v>
      </c>
      <c r="Z154" s="2">
        <v>350</v>
      </c>
      <c r="AA154" s="2">
        <f t="shared" si="25"/>
        <v>382.5</v>
      </c>
      <c r="AB154" s="2">
        <v>45</v>
      </c>
      <c r="AC154" s="2">
        <v>45</v>
      </c>
      <c r="AD154" s="49">
        <v>132</v>
      </c>
      <c r="AE154" s="2">
        <v>22</v>
      </c>
      <c r="AF154">
        <f t="shared" si="22"/>
        <v>1.3333333333333334E-2</v>
      </c>
    </row>
    <row r="155" spans="1:32" x14ac:dyDescent="0.25">
      <c r="A155" s="2">
        <v>152</v>
      </c>
      <c r="B155" s="2"/>
      <c r="C155" s="2" t="s">
        <v>224</v>
      </c>
      <c r="D155" s="2">
        <v>41</v>
      </c>
      <c r="E155" s="2">
        <v>300</v>
      </c>
      <c r="F155" s="2">
        <v>300</v>
      </c>
      <c r="G155" s="2">
        <v>245</v>
      </c>
      <c r="H155" s="2">
        <v>300</v>
      </c>
      <c r="I155" s="2">
        <v>0</v>
      </c>
      <c r="J155" s="2" t="s">
        <v>36</v>
      </c>
      <c r="K155" s="2">
        <v>1000</v>
      </c>
      <c r="L155" s="43">
        <f t="shared" si="23"/>
        <v>4.0816326530612246</v>
      </c>
      <c r="M155" s="2" t="s">
        <v>37</v>
      </c>
      <c r="N155" s="2">
        <v>0</v>
      </c>
      <c r="O155" s="2"/>
      <c r="P155" s="2"/>
      <c r="Q155" s="2"/>
      <c r="R155" s="2"/>
      <c r="S155" s="2" t="s">
        <v>38</v>
      </c>
      <c r="T155" s="2" t="s">
        <v>225</v>
      </c>
      <c r="U155" s="2" t="s">
        <v>220</v>
      </c>
      <c r="V155" s="2">
        <v>230000</v>
      </c>
      <c r="W155" s="2">
        <v>0.16700000000000001</v>
      </c>
      <c r="X155" s="2">
        <v>3400</v>
      </c>
      <c r="Y155" s="2">
        <v>1</v>
      </c>
      <c r="Z155" s="2">
        <v>1</v>
      </c>
      <c r="AA155" s="2">
        <f t="shared" si="25"/>
        <v>220.5</v>
      </c>
      <c r="AB155" s="2">
        <v>90</v>
      </c>
      <c r="AC155" s="2">
        <v>45</v>
      </c>
      <c r="AD155" s="49">
        <f>457/2</f>
        <v>228.5</v>
      </c>
      <c r="AE155" s="2">
        <f>116.5/2</f>
        <v>58.25</v>
      </c>
      <c r="AF155">
        <f t="shared" si="22"/>
        <v>1.4782608695652174E-2</v>
      </c>
    </row>
    <row r="156" spans="1:32" x14ac:dyDescent="0.25">
      <c r="A156" s="2">
        <v>153</v>
      </c>
      <c r="B156" s="2"/>
      <c r="C156" s="2" t="s">
        <v>226</v>
      </c>
      <c r="D156" s="2">
        <v>41.1</v>
      </c>
      <c r="E156" s="2">
        <v>300</v>
      </c>
      <c r="F156" s="2">
        <v>300</v>
      </c>
      <c r="G156" s="2">
        <v>245</v>
      </c>
      <c r="H156" s="2">
        <v>300</v>
      </c>
      <c r="I156" s="2">
        <v>0</v>
      </c>
      <c r="J156" s="2" t="s">
        <v>36</v>
      </c>
      <c r="K156" s="2">
        <v>1000</v>
      </c>
      <c r="L156" s="43">
        <f t="shared" si="23"/>
        <v>4.0816326530612246</v>
      </c>
      <c r="M156" s="2" t="s">
        <v>37</v>
      </c>
      <c r="N156" s="2">
        <v>0</v>
      </c>
      <c r="O156" s="2"/>
      <c r="P156" s="2"/>
      <c r="Q156" s="2"/>
      <c r="R156" s="2"/>
      <c r="S156" s="2" t="s">
        <v>38</v>
      </c>
      <c r="T156" s="2" t="s">
        <v>225</v>
      </c>
      <c r="U156" s="2" t="s">
        <v>220</v>
      </c>
      <c r="V156" s="2">
        <v>230000</v>
      </c>
      <c r="W156" s="2">
        <v>0.16700000000000001</v>
      </c>
      <c r="X156" s="2">
        <v>3400</v>
      </c>
      <c r="Y156" s="2">
        <v>1</v>
      </c>
      <c r="Z156" s="2">
        <v>1</v>
      </c>
      <c r="AA156" s="2">
        <f t="shared" si="25"/>
        <v>220.5</v>
      </c>
      <c r="AB156" s="2">
        <v>90</v>
      </c>
      <c r="AC156" s="2">
        <v>45</v>
      </c>
      <c r="AD156" s="49">
        <f>475/2</f>
        <v>237.5</v>
      </c>
      <c r="AE156" s="2">
        <f>125.5/2</f>
        <v>62.75</v>
      </c>
      <c r="AF156">
        <f t="shared" si="22"/>
        <v>1.4782608695652174E-2</v>
      </c>
    </row>
    <row r="157" spans="1:32" x14ac:dyDescent="0.25">
      <c r="A157" s="2">
        <v>154</v>
      </c>
      <c r="B157" s="2" t="s">
        <v>217</v>
      </c>
      <c r="C157" s="2" t="s">
        <v>227</v>
      </c>
      <c r="D157" s="2">
        <v>42.4</v>
      </c>
      <c r="E157" s="2">
        <v>300</v>
      </c>
      <c r="F157" s="2">
        <v>300</v>
      </c>
      <c r="G157" s="2">
        <v>245</v>
      </c>
      <c r="H157" s="2">
        <v>300</v>
      </c>
      <c r="I157" s="2">
        <v>0</v>
      </c>
      <c r="J157" s="2" t="s">
        <v>36</v>
      </c>
      <c r="K157" s="2">
        <v>1000</v>
      </c>
      <c r="L157" s="43">
        <f t="shared" si="23"/>
        <v>4.0816326530612246</v>
      </c>
      <c r="M157" s="2" t="s">
        <v>37</v>
      </c>
      <c r="N157" s="2">
        <v>0</v>
      </c>
      <c r="O157" s="2"/>
      <c r="P157" s="2"/>
      <c r="Q157" s="2"/>
      <c r="R157" s="2"/>
      <c r="S157" s="2" t="s">
        <v>38</v>
      </c>
      <c r="T157" s="2" t="s">
        <v>225</v>
      </c>
      <c r="U157" s="2" t="s">
        <v>220</v>
      </c>
      <c r="V157" s="2">
        <v>230000</v>
      </c>
      <c r="W157" s="2">
        <v>0.16700000000000001</v>
      </c>
      <c r="X157" s="2">
        <v>3400</v>
      </c>
      <c r="Y157" s="2">
        <v>1</v>
      </c>
      <c r="Z157" s="2">
        <v>1</v>
      </c>
      <c r="AA157" s="2">
        <f t="shared" si="25"/>
        <v>220.5</v>
      </c>
      <c r="AB157" s="2">
        <v>90</v>
      </c>
      <c r="AC157" s="2">
        <v>45</v>
      </c>
      <c r="AD157" s="49">
        <f>500/2</f>
        <v>250</v>
      </c>
      <c r="AE157" s="2">
        <f>138/2</f>
        <v>69</v>
      </c>
      <c r="AF157">
        <f t="shared" si="22"/>
        <v>1.4782608695652174E-2</v>
      </c>
    </row>
    <row r="158" spans="1:32" x14ac:dyDescent="0.25">
      <c r="A158" s="2">
        <v>155</v>
      </c>
      <c r="B158" s="2"/>
      <c r="C158" s="2" t="s">
        <v>228</v>
      </c>
      <c r="D158" s="2">
        <v>41.8</v>
      </c>
      <c r="E158" s="2">
        <v>300</v>
      </c>
      <c r="F158" s="2">
        <v>300</v>
      </c>
      <c r="G158" s="2">
        <v>245</v>
      </c>
      <c r="H158" s="2">
        <v>300</v>
      </c>
      <c r="I158" s="2">
        <v>0</v>
      </c>
      <c r="J158" s="2" t="s">
        <v>36</v>
      </c>
      <c r="K158" s="2">
        <v>1000</v>
      </c>
      <c r="L158" s="43">
        <f>K158/G158</f>
        <v>4.0816326530612246</v>
      </c>
      <c r="M158" s="2" t="s">
        <v>37</v>
      </c>
      <c r="N158" s="2">
        <v>0</v>
      </c>
      <c r="O158" s="2"/>
      <c r="P158" s="2"/>
      <c r="Q158" s="2"/>
      <c r="R158" s="2"/>
      <c r="S158" s="2" t="s">
        <v>140</v>
      </c>
      <c r="T158" s="2" t="s">
        <v>225</v>
      </c>
      <c r="U158" s="2" t="s">
        <v>220</v>
      </c>
      <c r="V158" s="2">
        <v>120000</v>
      </c>
      <c r="W158" s="2">
        <v>0.28599999999999998</v>
      </c>
      <c r="X158" s="2">
        <v>2000</v>
      </c>
      <c r="Y158" s="2">
        <v>1</v>
      </c>
      <c r="Z158" s="2">
        <v>1</v>
      </c>
      <c r="AA158" s="2">
        <f>0.9*G158-(F158-H158)-I158</f>
        <v>220.5</v>
      </c>
      <c r="AB158" s="2">
        <v>90</v>
      </c>
      <c r="AC158" s="2">
        <v>45</v>
      </c>
      <c r="AD158" s="49">
        <f>400/2</f>
        <v>200</v>
      </c>
      <c r="AE158" s="2">
        <f>88/2</f>
        <v>44</v>
      </c>
      <c r="AF158">
        <f t="shared" si="22"/>
        <v>1.6666666666666666E-2</v>
      </c>
    </row>
    <row r="159" spans="1:32" x14ac:dyDescent="0.25">
      <c r="A159" s="2">
        <v>156</v>
      </c>
      <c r="B159" s="2"/>
      <c r="C159" s="2" t="s">
        <v>229</v>
      </c>
      <c r="D159" s="2">
        <v>43.9</v>
      </c>
      <c r="E159" s="2">
        <v>300</v>
      </c>
      <c r="F159" s="2">
        <v>300</v>
      </c>
      <c r="G159" s="2">
        <v>245</v>
      </c>
      <c r="H159" s="2">
        <v>300</v>
      </c>
      <c r="I159" s="2">
        <v>0</v>
      </c>
      <c r="J159" s="2" t="s">
        <v>36</v>
      </c>
      <c r="K159" s="2">
        <v>1000</v>
      </c>
      <c r="L159" s="43">
        <f>K159/G159</f>
        <v>4.0816326530612246</v>
      </c>
      <c r="M159" s="2" t="s">
        <v>37</v>
      </c>
      <c r="N159" s="2">
        <v>0</v>
      </c>
      <c r="O159" s="2"/>
      <c r="P159" s="2"/>
      <c r="Q159" s="2"/>
      <c r="R159" s="2"/>
      <c r="S159" s="2" t="s">
        <v>140</v>
      </c>
      <c r="T159" s="2" t="s">
        <v>225</v>
      </c>
      <c r="U159" s="2" t="s">
        <v>220</v>
      </c>
      <c r="V159" s="2">
        <v>120000</v>
      </c>
      <c r="W159" s="2">
        <v>0.28599999999999998</v>
      </c>
      <c r="X159" s="2">
        <v>2000</v>
      </c>
      <c r="Y159" s="2">
        <v>1</v>
      </c>
      <c r="Z159" s="2">
        <v>1</v>
      </c>
      <c r="AA159" s="2">
        <f>0.9*G159-(F159-H159)-I159</f>
        <v>220.5</v>
      </c>
      <c r="AB159" s="2">
        <v>90</v>
      </c>
      <c r="AC159" s="2">
        <v>45</v>
      </c>
      <c r="AD159" s="49">
        <f>490/2</f>
        <v>245</v>
      </c>
      <c r="AE159" s="2">
        <f>133/2</f>
        <v>66.5</v>
      </c>
      <c r="AF159">
        <f t="shared" si="22"/>
        <v>1.6666666666666666E-2</v>
      </c>
    </row>
    <row r="160" spans="1:32" x14ac:dyDescent="0.25">
      <c r="A160" s="2">
        <v>157</v>
      </c>
      <c r="B160" s="2"/>
      <c r="C160" s="2" t="s">
        <v>230</v>
      </c>
      <c r="D160" s="2">
        <v>43.5</v>
      </c>
      <c r="E160" s="2">
        <v>300</v>
      </c>
      <c r="F160" s="2">
        <v>300</v>
      </c>
      <c r="G160" s="2">
        <v>245</v>
      </c>
      <c r="H160" s="2">
        <v>300</v>
      </c>
      <c r="I160" s="2">
        <v>0</v>
      </c>
      <c r="J160" s="2" t="s">
        <v>36</v>
      </c>
      <c r="K160" s="2">
        <v>1000</v>
      </c>
      <c r="L160" s="43">
        <f>K160/G160</f>
        <v>4.0816326530612246</v>
      </c>
      <c r="M160" s="2" t="s">
        <v>37</v>
      </c>
      <c r="N160" s="2">
        <v>0</v>
      </c>
      <c r="O160" s="2"/>
      <c r="P160" s="2"/>
      <c r="Q160" s="2"/>
      <c r="R160" s="2"/>
      <c r="S160" s="2" t="s">
        <v>140</v>
      </c>
      <c r="T160" s="2" t="s">
        <v>225</v>
      </c>
      <c r="U160" s="2" t="s">
        <v>220</v>
      </c>
      <c r="V160" s="2">
        <v>120000</v>
      </c>
      <c r="W160" s="2">
        <v>0.28599999999999998</v>
      </c>
      <c r="X160" s="2">
        <v>2000</v>
      </c>
      <c r="Y160" s="2">
        <v>1</v>
      </c>
      <c r="Z160" s="2">
        <v>1</v>
      </c>
      <c r="AA160" s="2">
        <f>0.9*G160-(F160-H160)-I160</f>
        <v>220.5</v>
      </c>
      <c r="AB160" s="2">
        <v>90</v>
      </c>
      <c r="AC160" s="2">
        <v>45</v>
      </c>
      <c r="AD160" s="49">
        <f>488/2</f>
        <v>244</v>
      </c>
      <c r="AE160" s="2">
        <f>132/2</f>
        <v>66</v>
      </c>
      <c r="AF160">
        <f t="shared" si="22"/>
        <v>1.6666666666666666E-2</v>
      </c>
    </row>
    <row r="161" spans="1:32" x14ac:dyDescent="0.25">
      <c r="A161" s="2">
        <v>158</v>
      </c>
      <c r="B161" s="2"/>
      <c r="C161" s="16" t="s">
        <v>231</v>
      </c>
      <c r="D161" s="2">
        <v>46</v>
      </c>
      <c r="E161" s="2">
        <v>180</v>
      </c>
      <c r="F161" s="2">
        <v>500</v>
      </c>
      <c r="G161" s="2">
        <f>F161-84</f>
        <v>416</v>
      </c>
      <c r="H161" s="2">
        <v>500</v>
      </c>
      <c r="I161" s="2">
        <v>0</v>
      </c>
      <c r="J161" s="2" t="s">
        <v>36</v>
      </c>
      <c r="K161" s="2">
        <v>1250</v>
      </c>
      <c r="L161" s="43">
        <f t="shared" ref="L161:L181" si="26">K161/G161</f>
        <v>3.0048076923076925</v>
      </c>
      <c r="M161" s="2" t="s">
        <v>37</v>
      </c>
      <c r="N161" s="2">
        <v>0</v>
      </c>
      <c r="O161" s="2"/>
      <c r="P161" s="2"/>
      <c r="Q161" s="2"/>
      <c r="R161" s="2"/>
      <c r="S161" s="2" t="s">
        <v>38</v>
      </c>
      <c r="T161" s="2" t="s">
        <v>225</v>
      </c>
      <c r="U161" s="2" t="s">
        <v>220</v>
      </c>
      <c r="V161" s="2">
        <v>234000</v>
      </c>
      <c r="W161" s="16">
        <f>200/1100</f>
        <v>0.18181818181818182</v>
      </c>
      <c r="X161" s="2">
        <v>4500</v>
      </c>
      <c r="Y161" s="2">
        <v>1</v>
      </c>
      <c r="Z161" s="2">
        <f>Y161/SIN(AB161/180*PI())</f>
        <v>1.4142135623730951</v>
      </c>
      <c r="AA161" s="2">
        <f t="shared" ref="AA161:AA203" si="27">0.9*G161-(F161-H161)-I161</f>
        <v>374.40000000000003</v>
      </c>
      <c r="AB161" s="2">
        <v>45</v>
      </c>
      <c r="AC161" s="2">
        <v>30</v>
      </c>
      <c r="AD161" s="49">
        <v>338</v>
      </c>
      <c r="AE161" s="2" t="s">
        <v>37</v>
      </c>
      <c r="AF161">
        <f t="shared" si="22"/>
        <v>1.9230769230769232E-2</v>
      </c>
    </row>
    <row r="162" spans="1:32" x14ac:dyDescent="0.25">
      <c r="A162" s="2">
        <v>159</v>
      </c>
      <c r="B162" s="2" t="s">
        <v>116</v>
      </c>
      <c r="C162" s="2" t="s">
        <v>232</v>
      </c>
      <c r="D162" s="2">
        <v>52</v>
      </c>
      <c r="E162" s="2">
        <v>180</v>
      </c>
      <c r="F162" s="2">
        <v>500</v>
      </c>
      <c r="G162" s="2">
        <f>F162-84</f>
        <v>416</v>
      </c>
      <c r="H162" s="2">
        <v>500</v>
      </c>
      <c r="I162" s="2">
        <v>0</v>
      </c>
      <c r="J162" s="2" t="s">
        <v>36</v>
      </c>
      <c r="K162" s="2">
        <v>1250</v>
      </c>
      <c r="L162" s="43">
        <f t="shared" si="26"/>
        <v>3.0048076923076925</v>
      </c>
      <c r="M162" s="2" t="s">
        <v>37</v>
      </c>
      <c r="N162" s="2">
        <v>0</v>
      </c>
      <c r="O162" s="2"/>
      <c r="P162" s="2"/>
      <c r="Q162" s="2"/>
      <c r="R162" s="2"/>
      <c r="S162" s="2" t="s">
        <v>38</v>
      </c>
      <c r="T162" s="2" t="s">
        <v>225</v>
      </c>
      <c r="U162" s="2" t="s">
        <v>220</v>
      </c>
      <c r="V162" s="2">
        <v>234000</v>
      </c>
      <c r="W162" s="16">
        <f t="shared" ref="W162:W163" si="28">200/1100</f>
        <v>0.18181818181818182</v>
      </c>
      <c r="X162" s="2">
        <v>4500</v>
      </c>
      <c r="Y162" s="2">
        <v>1</v>
      </c>
      <c r="Z162" s="2">
        <f>Y162/SIN(AB162/180*PI())</f>
        <v>1</v>
      </c>
      <c r="AA162" s="2">
        <f t="shared" si="27"/>
        <v>374.40000000000003</v>
      </c>
      <c r="AB162" s="2">
        <v>90</v>
      </c>
      <c r="AC162" s="2">
        <v>30</v>
      </c>
      <c r="AD162" s="49">
        <v>367</v>
      </c>
      <c r="AE162" s="2" t="s">
        <v>37</v>
      </c>
      <c r="AF162">
        <f t="shared" si="22"/>
        <v>1.9230769230769232E-2</v>
      </c>
    </row>
    <row r="163" spans="1:32" x14ac:dyDescent="0.25">
      <c r="A163" s="2">
        <v>160</v>
      </c>
      <c r="B163" s="2"/>
      <c r="C163" s="16" t="s">
        <v>233</v>
      </c>
      <c r="D163" s="2">
        <v>46</v>
      </c>
      <c r="E163" s="2">
        <v>180</v>
      </c>
      <c r="F163" s="2">
        <v>500</v>
      </c>
      <c r="G163" s="2">
        <f>F163-84</f>
        <v>416</v>
      </c>
      <c r="H163" s="2">
        <v>500</v>
      </c>
      <c r="I163" s="2">
        <v>0</v>
      </c>
      <c r="J163" s="2" t="s">
        <v>36</v>
      </c>
      <c r="K163" s="2">
        <v>1250</v>
      </c>
      <c r="L163" s="43">
        <f t="shared" si="26"/>
        <v>3.0048076923076925</v>
      </c>
      <c r="M163" s="2" t="s">
        <v>37</v>
      </c>
      <c r="N163" s="2">
        <v>0</v>
      </c>
      <c r="O163" s="2"/>
      <c r="P163" s="2"/>
      <c r="Q163" s="2"/>
      <c r="R163" s="2"/>
      <c r="S163" s="2" t="s">
        <v>38</v>
      </c>
      <c r="T163" s="2" t="s">
        <v>225</v>
      </c>
      <c r="U163" s="2" t="s">
        <v>220</v>
      </c>
      <c r="V163" s="2">
        <v>234000</v>
      </c>
      <c r="W163" s="16">
        <f t="shared" si="28"/>
        <v>0.18181818181818182</v>
      </c>
      <c r="X163" s="2">
        <v>4500</v>
      </c>
      <c r="Y163" s="2">
        <v>1</v>
      </c>
      <c r="Z163" s="2">
        <f>Y163/SIN(AB163/180*PI())</f>
        <v>1</v>
      </c>
      <c r="AA163" s="2">
        <f t="shared" si="27"/>
        <v>374.40000000000003</v>
      </c>
      <c r="AB163" s="2">
        <v>90</v>
      </c>
      <c r="AC163" s="2">
        <v>30</v>
      </c>
      <c r="AD163" s="49">
        <v>388</v>
      </c>
      <c r="AE163" s="2" t="s">
        <v>37</v>
      </c>
      <c r="AF163">
        <f t="shared" si="22"/>
        <v>1.9230769230769232E-2</v>
      </c>
    </row>
    <row r="164" spans="1:32" x14ac:dyDescent="0.25">
      <c r="A164" s="2">
        <v>161</v>
      </c>
      <c r="B164" s="26" t="s">
        <v>161</v>
      </c>
      <c r="C164" s="26" t="s">
        <v>234</v>
      </c>
      <c r="D164" s="2">
        <v>13.3</v>
      </c>
      <c r="E164" s="2">
        <v>250</v>
      </c>
      <c r="F164" s="2">
        <v>450</v>
      </c>
      <c r="G164" s="16">
        <v>400</v>
      </c>
      <c r="H164" s="2">
        <v>450</v>
      </c>
      <c r="I164" s="2">
        <v>0</v>
      </c>
      <c r="J164" s="2" t="s">
        <v>36</v>
      </c>
      <c r="K164" s="2">
        <v>1400</v>
      </c>
      <c r="L164" s="43">
        <f t="shared" si="26"/>
        <v>3.5</v>
      </c>
      <c r="M164" s="2" t="s">
        <v>18</v>
      </c>
      <c r="N164" s="2">
        <v>8</v>
      </c>
      <c r="O164" s="2">
        <v>400</v>
      </c>
      <c r="P164" s="16">
        <v>200000</v>
      </c>
      <c r="Q164" s="2">
        <v>500</v>
      </c>
      <c r="R164" s="2">
        <f t="shared" ref="R164:R184" si="29">100*2*3.1416*N164^2/4/O164/E164</f>
        <v>0.10053119999999999</v>
      </c>
      <c r="S164" s="2" t="s">
        <v>38</v>
      </c>
      <c r="T164" s="2" t="s">
        <v>43</v>
      </c>
      <c r="U164" s="2" t="s">
        <v>220</v>
      </c>
      <c r="V164" s="2">
        <v>390000</v>
      </c>
      <c r="W164" s="2">
        <v>0.22</v>
      </c>
      <c r="X164" s="2">
        <v>3000</v>
      </c>
      <c r="Y164" s="2">
        <v>50</v>
      </c>
      <c r="Z164" s="2">
        <v>100</v>
      </c>
      <c r="AA164" s="2">
        <f t="shared" si="27"/>
        <v>360</v>
      </c>
      <c r="AB164" s="2">
        <v>90</v>
      </c>
      <c r="AC164" s="2">
        <v>45</v>
      </c>
      <c r="AD164" s="49">
        <v>158.5</v>
      </c>
      <c r="AE164" s="2" t="s">
        <v>37</v>
      </c>
      <c r="AF164">
        <f t="shared" si="22"/>
        <v>7.6923076923076927E-3</v>
      </c>
    </row>
    <row r="165" spans="1:32" x14ac:dyDescent="0.25">
      <c r="A165" s="2">
        <v>162</v>
      </c>
      <c r="B165" s="2"/>
      <c r="C165" s="2" t="s">
        <v>235</v>
      </c>
      <c r="D165" s="2">
        <v>30.9</v>
      </c>
      <c r="E165" s="2">
        <v>76</v>
      </c>
      <c r="F165" s="2">
        <v>180</v>
      </c>
      <c r="G165" s="2">
        <v>155</v>
      </c>
      <c r="H165" s="2">
        <v>180</v>
      </c>
      <c r="I165" s="2">
        <v>0</v>
      </c>
      <c r="J165" s="2" t="s">
        <v>36</v>
      </c>
      <c r="K165" s="2">
        <v>450</v>
      </c>
      <c r="L165" s="43">
        <f t="shared" si="26"/>
        <v>2.903225806451613</v>
      </c>
      <c r="M165" s="2" t="s">
        <v>52</v>
      </c>
      <c r="N165" s="2">
        <v>4</v>
      </c>
      <c r="O165" s="2">
        <v>120</v>
      </c>
      <c r="P165" s="16">
        <v>200000</v>
      </c>
      <c r="Q165" s="16">
        <v>500</v>
      </c>
      <c r="R165" s="2">
        <f t="shared" si="29"/>
        <v>0.27557894736842103</v>
      </c>
      <c r="S165" s="2" t="s">
        <v>38</v>
      </c>
      <c r="T165" s="2" t="s">
        <v>43</v>
      </c>
      <c r="U165" s="2" t="s">
        <v>220</v>
      </c>
      <c r="V165" s="2">
        <v>235000</v>
      </c>
      <c r="W165" s="2">
        <v>0.11</v>
      </c>
      <c r="X165" s="2">
        <v>4200</v>
      </c>
      <c r="Y165" s="2">
        <v>20</v>
      </c>
      <c r="Z165" s="2">
        <v>60</v>
      </c>
      <c r="AA165" s="2">
        <f t="shared" si="27"/>
        <v>139.5</v>
      </c>
      <c r="AB165" s="2">
        <v>90</v>
      </c>
      <c r="AC165" s="2">
        <v>45</v>
      </c>
      <c r="AD165" s="49">
        <f>132.2/2</f>
        <v>66.099999999999994</v>
      </c>
      <c r="AE165" s="2">
        <f>50.7/2</f>
        <v>25.35</v>
      </c>
      <c r="AF165">
        <f t="shared" si="22"/>
        <v>1.7872340425531916E-2</v>
      </c>
    </row>
    <row r="166" spans="1:32" x14ac:dyDescent="0.25">
      <c r="A166" s="2">
        <v>163</v>
      </c>
      <c r="B166" s="2"/>
      <c r="C166" s="2" t="s">
        <v>236</v>
      </c>
      <c r="D166" s="2">
        <v>30.9</v>
      </c>
      <c r="E166" s="2">
        <v>76</v>
      </c>
      <c r="F166" s="2">
        <v>180</v>
      </c>
      <c r="G166" s="2">
        <v>155</v>
      </c>
      <c r="H166" s="2">
        <v>180</v>
      </c>
      <c r="I166" s="2">
        <v>0</v>
      </c>
      <c r="J166" s="2" t="s">
        <v>36</v>
      </c>
      <c r="K166" s="2">
        <v>450</v>
      </c>
      <c r="L166" s="43">
        <f t="shared" si="26"/>
        <v>2.903225806451613</v>
      </c>
      <c r="M166" s="2" t="s">
        <v>52</v>
      </c>
      <c r="N166" s="2">
        <v>4</v>
      </c>
      <c r="O166" s="2">
        <v>120</v>
      </c>
      <c r="P166" s="16">
        <v>200000</v>
      </c>
      <c r="Q166" s="16">
        <v>500</v>
      </c>
      <c r="R166" s="2">
        <f t="shared" si="29"/>
        <v>0.27557894736842103</v>
      </c>
      <c r="S166" s="2" t="s">
        <v>38</v>
      </c>
      <c r="T166" s="2" t="s">
        <v>43</v>
      </c>
      <c r="U166" s="2" t="s">
        <v>220</v>
      </c>
      <c r="V166" s="2">
        <v>235000</v>
      </c>
      <c r="W166" s="2">
        <v>0.11</v>
      </c>
      <c r="X166" s="2">
        <v>4200</v>
      </c>
      <c r="Y166" s="2">
        <v>20</v>
      </c>
      <c r="Z166" s="2">
        <v>60</v>
      </c>
      <c r="AA166" s="2">
        <f t="shared" si="27"/>
        <v>139.5</v>
      </c>
      <c r="AB166" s="2">
        <v>90</v>
      </c>
      <c r="AC166" s="2">
        <v>45</v>
      </c>
      <c r="AD166" s="49">
        <f>133.3/2</f>
        <v>66.650000000000006</v>
      </c>
      <c r="AE166" s="2">
        <f>51.8/2</f>
        <v>25.9</v>
      </c>
      <c r="AF166">
        <f t="shared" si="22"/>
        <v>1.7872340425531916E-2</v>
      </c>
    </row>
    <row r="167" spans="1:32" x14ac:dyDescent="0.25">
      <c r="A167" s="2">
        <v>164</v>
      </c>
      <c r="B167" s="2" t="s">
        <v>237</v>
      </c>
      <c r="C167" s="2" t="s">
        <v>238</v>
      </c>
      <c r="D167" s="2">
        <v>30.9</v>
      </c>
      <c r="E167" s="2">
        <v>150</v>
      </c>
      <c r="F167" s="2">
        <v>360</v>
      </c>
      <c r="G167" s="2">
        <v>305</v>
      </c>
      <c r="H167" s="2">
        <v>360</v>
      </c>
      <c r="I167" s="2">
        <v>0</v>
      </c>
      <c r="J167" s="2" t="s">
        <v>36</v>
      </c>
      <c r="K167" s="2">
        <v>900</v>
      </c>
      <c r="L167" s="43">
        <f t="shared" si="26"/>
        <v>2.9508196721311477</v>
      </c>
      <c r="M167" s="2" t="s">
        <v>52</v>
      </c>
      <c r="N167" s="2">
        <v>6</v>
      </c>
      <c r="O167" s="2">
        <v>135</v>
      </c>
      <c r="P167" s="16">
        <v>200000</v>
      </c>
      <c r="Q167" s="16">
        <v>500</v>
      </c>
      <c r="R167" s="2">
        <f t="shared" si="29"/>
        <v>0.2792533333333333</v>
      </c>
      <c r="S167" s="2" t="s">
        <v>38</v>
      </c>
      <c r="T167" s="2" t="s">
        <v>43</v>
      </c>
      <c r="U167" s="2" t="s">
        <v>220</v>
      </c>
      <c r="V167" s="2">
        <v>235000</v>
      </c>
      <c r="W167" s="2">
        <v>0.22</v>
      </c>
      <c r="X167" s="2">
        <v>4200</v>
      </c>
      <c r="Y167" s="2">
        <v>40</v>
      </c>
      <c r="Z167" s="2">
        <v>120</v>
      </c>
      <c r="AA167" s="2">
        <f t="shared" si="27"/>
        <v>274.5</v>
      </c>
      <c r="AB167" s="2">
        <v>90</v>
      </c>
      <c r="AC167" s="2">
        <v>45</v>
      </c>
      <c r="AD167" s="49">
        <f>472.7/2</f>
        <v>236.35</v>
      </c>
      <c r="AE167" s="2">
        <f>173/2</f>
        <v>86.5</v>
      </c>
      <c r="AF167">
        <f t="shared" si="22"/>
        <v>1.7872340425531916E-2</v>
      </c>
    </row>
    <row r="168" spans="1:32" x14ac:dyDescent="0.25">
      <c r="A168" s="2">
        <v>165</v>
      </c>
      <c r="B168" s="2"/>
      <c r="C168" s="2" t="s">
        <v>239</v>
      </c>
      <c r="D168" s="2">
        <v>30.9</v>
      </c>
      <c r="E168" s="2">
        <v>150</v>
      </c>
      <c r="F168" s="2">
        <v>360</v>
      </c>
      <c r="G168" s="2">
        <v>305</v>
      </c>
      <c r="H168" s="2">
        <v>360</v>
      </c>
      <c r="I168" s="2">
        <v>0</v>
      </c>
      <c r="J168" s="2" t="s">
        <v>36</v>
      </c>
      <c r="K168" s="2">
        <v>900</v>
      </c>
      <c r="L168" s="43">
        <f t="shared" si="26"/>
        <v>2.9508196721311477</v>
      </c>
      <c r="M168" s="2" t="s">
        <v>52</v>
      </c>
      <c r="N168" s="2">
        <v>6</v>
      </c>
      <c r="O168" s="2">
        <v>135</v>
      </c>
      <c r="P168" s="16">
        <v>200000</v>
      </c>
      <c r="Q168" s="16">
        <v>500</v>
      </c>
      <c r="R168" s="2">
        <f t="shared" si="29"/>
        <v>0.2792533333333333</v>
      </c>
      <c r="S168" s="2" t="s">
        <v>38</v>
      </c>
      <c r="T168" s="2" t="s">
        <v>43</v>
      </c>
      <c r="U168" s="2" t="s">
        <v>220</v>
      </c>
      <c r="V168" s="2">
        <v>235000</v>
      </c>
      <c r="W168" s="2">
        <v>0.22</v>
      </c>
      <c r="X168" s="2">
        <v>4200</v>
      </c>
      <c r="Y168" s="2">
        <v>40</v>
      </c>
      <c r="Z168" s="2">
        <v>120</v>
      </c>
      <c r="AA168" s="2">
        <f t="shared" si="27"/>
        <v>274.5</v>
      </c>
      <c r="AB168" s="2">
        <v>90</v>
      </c>
      <c r="AC168" s="2">
        <v>45</v>
      </c>
      <c r="AD168" s="49">
        <f>500.6/2</f>
        <v>250.3</v>
      </c>
      <c r="AE168" s="2">
        <f>200.9/2</f>
        <v>100.45</v>
      </c>
      <c r="AF168">
        <f t="shared" si="22"/>
        <v>1.7872340425531916E-2</v>
      </c>
    </row>
    <row r="169" spans="1:32" x14ac:dyDescent="0.25">
      <c r="A169" s="2">
        <v>166</v>
      </c>
      <c r="B169" s="2"/>
      <c r="C169" s="2" t="s">
        <v>240</v>
      </c>
      <c r="D169" s="2">
        <v>30.9</v>
      </c>
      <c r="E169" s="2">
        <v>300</v>
      </c>
      <c r="F169" s="2">
        <v>720</v>
      </c>
      <c r="G169" s="2">
        <v>660</v>
      </c>
      <c r="H169" s="2">
        <v>720</v>
      </c>
      <c r="I169" s="2">
        <v>0</v>
      </c>
      <c r="J169" s="2" t="s">
        <v>36</v>
      </c>
      <c r="K169" s="2">
        <v>1800</v>
      </c>
      <c r="L169" s="43">
        <f t="shared" si="26"/>
        <v>2.7272727272727271</v>
      </c>
      <c r="M169" s="2" t="s">
        <v>52</v>
      </c>
      <c r="N169" s="2">
        <v>8</v>
      </c>
      <c r="O169" s="2">
        <v>240</v>
      </c>
      <c r="P169" s="16">
        <v>200000</v>
      </c>
      <c r="Q169" s="16">
        <v>500</v>
      </c>
      <c r="R169" s="2">
        <f t="shared" si="29"/>
        <v>0.13962666666666665</v>
      </c>
      <c r="S169" s="2" t="s">
        <v>38</v>
      </c>
      <c r="T169" s="2" t="s">
        <v>43</v>
      </c>
      <c r="U169" s="2" t="s">
        <v>220</v>
      </c>
      <c r="V169" s="2">
        <v>235000</v>
      </c>
      <c r="W169" s="2">
        <v>0.44</v>
      </c>
      <c r="X169" s="2">
        <v>4200</v>
      </c>
      <c r="Y169" s="2">
        <v>80</v>
      </c>
      <c r="Z169" s="2">
        <v>240</v>
      </c>
      <c r="AA169" s="2">
        <f t="shared" si="27"/>
        <v>594</v>
      </c>
      <c r="AB169" s="2">
        <v>90</v>
      </c>
      <c r="AC169" s="2">
        <v>45</v>
      </c>
      <c r="AD169" s="49">
        <f>1743.1/2</f>
        <v>871.55</v>
      </c>
      <c r="AE169" s="2">
        <f>667.1/2</f>
        <v>333.55</v>
      </c>
      <c r="AF169">
        <f t="shared" si="22"/>
        <v>1.7872340425531916E-2</v>
      </c>
    </row>
    <row r="170" spans="1:32" x14ac:dyDescent="0.25">
      <c r="A170" s="2">
        <v>167</v>
      </c>
      <c r="B170" s="2"/>
      <c r="C170" s="2" t="s">
        <v>241</v>
      </c>
      <c r="D170" s="2">
        <v>30.9</v>
      </c>
      <c r="E170" s="2">
        <v>300</v>
      </c>
      <c r="F170" s="2">
        <v>720</v>
      </c>
      <c r="G170" s="2">
        <v>660</v>
      </c>
      <c r="H170" s="2">
        <v>720</v>
      </c>
      <c r="I170" s="2">
        <v>0</v>
      </c>
      <c r="J170" s="2" t="s">
        <v>36</v>
      </c>
      <c r="K170" s="2">
        <v>1800</v>
      </c>
      <c r="L170" s="43">
        <f t="shared" si="26"/>
        <v>2.7272727272727271</v>
      </c>
      <c r="M170" s="2" t="s">
        <v>52</v>
      </c>
      <c r="N170" s="2">
        <v>8</v>
      </c>
      <c r="O170" s="2">
        <v>240</v>
      </c>
      <c r="P170" s="16">
        <v>200000</v>
      </c>
      <c r="Q170" s="16">
        <v>500</v>
      </c>
      <c r="R170" s="2">
        <f t="shared" si="29"/>
        <v>0.13962666666666665</v>
      </c>
      <c r="S170" s="2" t="s">
        <v>38</v>
      </c>
      <c r="T170" s="2" t="s">
        <v>43</v>
      </c>
      <c r="U170" s="2" t="s">
        <v>220</v>
      </c>
      <c r="V170" s="2">
        <v>235000</v>
      </c>
      <c r="W170" s="2">
        <v>0.44</v>
      </c>
      <c r="X170" s="2">
        <v>4200</v>
      </c>
      <c r="Y170" s="2">
        <v>80</v>
      </c>
      <c r="Z170" s="2">
        <v>240</v>
      </c>
      <c r="AA170" s="2">
        <f t="shared" si="27"/>
        <v>594</v>
      </c>
      <c r="AB170" s="2">
        <v>90</v>
      </c>
      <c r="AC170" s="2">
        <v>45</v>
      </c>
      <c r="AD170" s="49">
        <f>1762.3/2</f>
        <v>881.15</v>
      </c>
      <c r="AE170" s="2">
        <f>686.3/2</f>
        <v>343.15</v>
      </c>
      <c r="AF170">
        <f t="shared" si="22"/>
        <v>1.7872340425531916E-2</v>
      </c>
    </row>
    <row r="171" spans="1:32" x14ac:dyDescent="0.25">
      <c r="A171" s="2">
        <v>168</v>
      </c>
      <c r="B171" s="26"/>
      <c r="C171" s="26" t="s">
        <v>242</v>
      </c>
      <c r="D171" s="2">
        <v>41.03</v>
      </c>
      <c r="E171" s="2">
        <v>150</v>
      </c>
      <c r="F171" s="2">
        <v>350</v>
      </c>
      <c r="G171" s="16">
        <v>300</v>
      </c>
      <c r="H171" s="2">
        <v>350</v>
      </c>
      <c r="I171" s="2">
        <v>0</v>
      </c>
      <c r="J171" s="2" t="s">
        <v>36</v>
      </c>
      <c r="K171" s="2">
        <v>900</v>
      </c>
      <c r="L171" s="43">
        <f t="shared" si="26"/>
        <v>3</v>
      </c>
      <c r="M171" s="2" t="s">
        <v>52</v>
      </c>
      <c r="N171" s="2">
        <v>6</v>
      </c>
      <c r="O171" s="16">
        <v>160</v>
      </c>
      <c r="P171" s="16">
        <v>200000</v>
      </c>
      <c r="Q171" s="2">
        <v>494.5</v>
      </c>
      <c r="R171" s="2">
        <f t="shared" si="29"/>
        <v>0.23561999999999997</v>
      </c>
      <c r="S171" s="18" t="s">
        <v>106</v>
      </c>
      <c r="T171" s="2" t="s">
        <v>225</v>
      </c>
      <c r="U171" s="2" t="s">
        <v>220</v>
      </c>
      <c r="V171" s="2">
        <v>75900</v>
      </c>
      <c r="W171" s="2">
        <v>0.12</v>
      </c>
      <c r="X171" s="2">
        <v>3600</v>
      </c>
      <c r="Y171" s="2">
        <v>1</v>
      </c>
      <c r="Z171" s="2">
        <v>1</v>
      </c>
      <c r="AA171" s="2">
        <f t="shared" si="27"/>
        <v>270</v>
      </c>
      <c r="AB171" s="2">
        <v>90</v>
      </c>
      <c r="AC171" s="2">
        <v>45</v>
      </c>
      <c r="AD171" s="49">
        <v>242</v>
      </c>
      <c r="AE171" s="2" t="s">
        <v>37</v>
      </c>
      <c r="AF171">
        <f t="shared" si="22"/>
        <v>4.7430830039525688E-2</v>
      </c>
    </row>
    <row r="172" spans="1:32" x14ac:dyDescent="0.25">
      <c r="A172" s="2">
        <v>169</v>
      </c>
      <c r="B172" s="26" t="s">
        <v>243</v>
      </c>
      <c r="C172" s="26" t="s">
        <v>244</v>
      </c>
      <c r="D172" s="2">
        <v>41.03</v>
      </c>
      <c r="E172" s="2">
        <v>150</v>
      </c>
      <c r="F172" s="2">
        <v>350</v>
      </c>
      <c r="G172" s="16">
        <v>300</v>
      </c>
      <c r="H172" s="2">
        <v>350</v>
      </c>
      <c r="I172" s="2">
        <v>0</v>
      </c>
      <c r="J172" s="2" t="s">
        <v>36</v>
      </c>
      <c r="K172" s="2">
        <v>900</v>
      </c>
      <c r="L172" s="43">
        <f t="shared" si="26"/>
        <v>3</v>
      </c>
      <c r="M172" s="2" t="s">
        <v>52</v>
      </c>
      <c r="N172" s="2">
        <v>6</v>
      </c>
      <c r="O172" s="16">
        <v>160</v>
      </c>
      <c r="P172" s="16">
        <v>200000</v>
      </c>
      <c r="Q172" s="2">
        <v>494.5</v>
      </c>
      <c r="R172" s="2">
        <f t="shared" si="29"/>
        <v>0.23561999999999997</v>
      </c>
      <c r="S172" s="18" t="s">
        <v>106</v>
      </c>
      <c r="T172" s="2" t="s">
        <v>225</v>
      </c>
      <c r="U172" s="2" t="s">
        <v>220</v>
      </c>
      <c r="V172" s="2">
        <v>75900</v>
      </c>
      <c r="W172" s="2">
        <v>0.24</v>
      </c>
      <c r="X172" s="2">
        <v>3600</v>
      </c>
      <c r="Y172" s="2">
        <v>1</v>
      </c>
      <c r="Z172" s="2">
        <v>1</v>
      </c>
      <c r="AA172" s="2">
        <f t="shared" si="27"/>
        <v>270</v>
      </c>
      <c r="AB172" s="2">
        <v>90</v>
      </c>
      <c r="AC172" s="2">
        <v>45</v>
      </c>
      <c r="AD172" s="49">
        <v>270</v>
      </c>
      <c r="AE172" s="2" t="s">
        <v>37</v>
      </c>
      <c r="AF172">
        <f t="shared" si="22"/>
        <v>4.7430830039525688E-2</v>
      </c>
    </row>
    <row r="173" spans="1:32" x14ac:dyDescent="0.25">
      <c r="A173" s="2">
        <v>170</v>
      </c>
      <c r="B173" s="26"/>
      <c r="C173" s="26" t="s">
        <v>245</v>
      </c>
      <c r="D173" s="2">
        <v>41.03</v>
      </c>
      <c r="E173" s="2">
        <v>150</v>
      </c>
      <c r="F173" s="2">
        <v>350</v>
      </c>
      <c r="G173" s="16">
        <v>300</v>
      </c>
      <c r="H173" s="2">
        <v>350</v>
      </c>
      <c r="I173" s="2">
        <v>0</v>
      </c>
      <c r="J173" s="2" t="s">
        <v>36</v>
      </c>
      <c r="K173" s="2">
        <v>900</v>
      </c>
      <c r="L173" s="43">
        <f t="shared" si="26"/>
        <v>3</v>
      </c>
      <c r="M173" s="2" t="s">
        <v>52</v>
      </c>
      <c r="N173" s="2">
        <v>6</v>
      </c>
      <c r="O173" s="16">
        <v>160</v>
      </c>
      <c r="P173" s="16">
        <v>200000</v>
      </c>
      <c r="Q173" s="2">
        <v>494.5</v>
      </c>
      <c r="R173" s="2">
        <f t="shared" si="29"/>
        <v>0.23561999999999997</v>
      </c>
      <c r="S173" s="18" t="s">
        <v>106</v>
      </c>
      <c r="T173" s="2" t="s">
        <v>225</v>
      </c>
      <c r="U173" s="2" t="s">
        <v>220</v>
      </c>
      <c r="V173" s="2">
        <v>75900</v>
      </c>
      <c r="W173" s="2">
        <v>0.36</v>
      </c>
      <c r="X173" s="2">
        <v>3600</v>
      </c>
      <c r="Y173" s="2">
        <v>1</v>
      </c>
      <c r="Z173" s="2">
        <v>1</v>
      </c>
      <c r="AA173" s="2">
        <f t="shared" si="27"/>
        <v>270</v>
      </c>
      <c r="AB173" s="2">
        <v>90</v>
      </c>
      <c r="AC173" s="2">
        <v>45</v>
      </c>
      <c r="AD173" s="49">
        <v>318</v>
      </c>
      <c r="AE173" s="2" t="s">
        <v>37</v>
      </c>
      <c r="AF173">
        <f t="shared" si="22"/>
        <v>4.7430830039525688E-2</v>
      </c>
    </row>
    <row r="174" spans="1:32" x14ac:dyDescent="0.25">
      <c r="A174" s="2">
        <v>171</v>
      </c>
      <c r="B174" s="26"/>
      <c r="C174" s="26" t="s">
        <v>246</v>
      </c>
      <c r="D174" s="2">
        <v>41.03</v>
      </c>
      <c r="E174" s="2">
        <v>150</v>
      </c>
      <c r="F174" s="2">
        <v>350</v>
      </c>
      <c r="G174" s="16">
        <v>300</v>
      </c>
      <c r="H174" s="2">
        <v>350</v>
      </c>
      <c r="I174" s="2">
        <v>0</v>
      </c>
      <c r="J174" s="2" t="s">
        <v>36</v>
      </c>
      <c r="K174" s="2">
        <v>900</v>
      </c>
      <c r="L174" s="43">
        <f t="shared" si="26"/>
        <v>3</v>
      </c>
      <c r="M174" s="2" t="s">
        <v>52</v>
      </c>
      <c r="N174" s="2">
        <v>6</v>
      </c>
      <c r="O174" s="16">
        <v>160</v>
      </c>
      <c r="P174" s="16">
        <v>200000</v>
      </c>
      <c r="Q174" s="2">
        <v>494.5</v>
      </c>
      <c r="R174" s="2">
        <f t="shared" si="29"/>
        <v>0.23561999999999997</v>
      </c>
      <c r="S174" s="18" t="s">
        <v>106</v>
      </c>
      <c r="T174" s="2" t="s">
        <v>225</v>
      </c>
      <c r="U174" s="2" t="s">
        <v>220</v>
      </c>
      <c r="V174" s="2">
        <v>75900</v>
      </c>
      <c r="W174" s="2">
        <v>0.36</v>
      </c>
      <c r="X174" s="2">
        <v>3600</v>
      </c>
      <c r="Y174" s="2">
        <v>1</v>
      </c>
      <c r="Z174" s="2">
        <v>1</v>
      </c>
      <c r="AA174" s="2">
        <f t="shared" si="27"/>
        <v>270</v>
      </c>
      <c r="AB174" s="2">
        <v>90</v>
      </c>
      <c r="AC174" s="2">
        <v>45</v>
      </c>
      <c r="AD174" s="49">
        <v>279</v>
      </c>
      <c r="AE174" s="2" t="s">
        <v>37</v>
      </c>
      <c r="AF174">
        <f t="shared" si="22"/>
        <v>4.7430830039525688E-2</v>
      </c>
    </row>
    <row r="175" spans="1:32" x14ac:dyDescent="0.25">
      <c r="A175" s="2">
        <v>172</v>
      </c>
      <c r="B175" s="2"/>
      <c r="C175" s="2" t="s">
        <v>247</v>
      </c>
      <c r="D175" s="2">
        <v>24</v>
      </c>
      <c r="E175" s="2">
        <v>250</v>
      </c>
      <c r="F175" s="2">
        <v>420</v>
      </c>
      <c r="G175" s="2">
        <f>F175-58</f>
        <v>362</v>
      </c>
      <c r="H175" s="2">
        <v>420</v>
      </c>
      <c r="I175" s="2">
        <v>0</v>
      </c>
      <c r="J175" s="2" t="s">
        <v>36</v>
      </c>
      <c r="K175" s="2">
        <v>1360</v>
      </c>
      <c r="L175" s="43">
        <f t="shared" si="26"/>
        <v>3.7569060773480665</v>
      </c>
      <c r="M175" s="2" t="s">
        <v>52</v>
      </c>
      <c r="N175" s="2">
        <v>8</v>
      </c>
      <c r="O175" s="2">
        <v>380</v>
      </c>
      <c r="P175" s="16">
        <v>200000</v>
      </c>
      <c r="Q175" s="16">
        <v>430</v>
      </c>
      <c r="R175" s="2">
        <f t="shared" si="29"/>
        <v>0.10582231578947368</v>
      </c>
      <c r="S175" s="2" t="s">
        <v>38</v>
      </c>
      <c r="T175" s="2" t="s">
        <v>43</v>
      </c>
      <c r="U175" s="2" t="s">
        <v>220</v>
      </c>
      <c r="V175" s="2">
        <v>240000</v>
      </c>
      <c r="W175" s="2">
        <v>0.29299999999999998</v>
      </c>
      <c r="X175" s="2">
        <v>4000</v>
      </c>
      <c r="Y175" s="2">
        <v>300</v>
      </c>
      <c r="Z175" s="2">
        <v>500</v>
      </c>
      <c r="AA175" s="2">
        <f t="shared" si="27"/>
        <v>325.8</v>
      </c>
      <c r="AB175" s="2">
        <v>90</v>
      </c>
      <c r="AC175" s="2">
        <v>45</v>
      </c>
      <c r="AD175" s="49">
        <v>271</v>
      </c>
      <c r="AE175" s="2" t="s">
        <v>37</v>
      </c>
      <c r="AF175">
        <f t="shared" si="22"/>
        <v>1.6666666666666666E-2</v>
      </c>
    </row>
    <row r="176" spans="1:32" x14ac:dyDescent="0.25">
      <c r="A176" s="2">
        <v>173</v>
      </c>
      <c r="B176" s="2" t="s">
        <v>248</v>
      </c>
      <c r="C176" s="2" t="s">
        <v>249</v>
      </c>
      <c r="D176" s="2">
        <v>24</v>
      </c>
      <c r="E176" s="2">
        <v>250</v>
      </c>
      <c r="F176" s="2">
        <v>420</v>
      </c>
      <c r="G176" s="2">
        <f>F176-58</f>
        <v>362</v>
      </c>
      <c r="H176" s="2">
        <v>420</v>
      </c>
      <c r="I176" s="2">
        <v>0</v>
      </c>
      <c r="J176" s="2" t="s">
        <v>36</v>
      </c>
      <c r="K176" s="2">
        <v>1150</v>
      </c>
      <c r="L176" s="43">
        <f t="shared" si="26"/>
        <v>3.1767955801104972</v>
      </c>
      <c r="M176" s="2" t="s">
        <v>52</v>
      </c>
      <c r="N176" s="2">
        <v>8</v>
      </c>
      <c r="O176" s="2">
        <v>380</v>
      </c>
      <c r="P176" s="16">
        <v>200000</v>
      </c>
      <c r="Q176" s="16">
        <v>430</v>
      </c>
      <c r="R176" s="2">
        <f t="shared" si="29"/>
        <v>0.10582231578947368</v>
      </c>
      <c r="S176" s="2" t="s">
        <v>38</v>
      </c>
      <c r="T176" s="2" t="s">
        <v>43</v>
      </c>
      <c r="U176" s="2" t="s">
        <v>220</v>
      </c>
      <c r="V176" s="2">
        <v>240000</v>
      </c>
      <c r="W176" s="2">
        <v>0.29299999999999998</v>
      </c>
      <c r="X176" s="2">
        <v>4000</v>
      </c>
      <c r="Y176" s="2">
        <v>300</v>
      </c>
      <c r="Z176" s="2">
        <v>500</v>
      </c>
      <c r="AA176" s="2">
        <f t="shared" si="27"/>
        <v>325.8</v>
      </c>
      <c r="AB176" s="2">
        <v>90</v>
      </c>
      <c r="AC176" s="2">
        <v>45</v>
      </c>
      <c r="AD176" s="49">
        <v>271</v>
      </c>
      <c r="AE176" s="2" t="s">
        <v>37</v>
      </c>
      <c r="AF176">
        <f t="shared" si="22"/>
        <v>1.6666666666666666E-2</v>
      </c>
    </row>
    <row r="177" spans="1:32" x14ac:dyDescent="0.25">
      <c r="A177" s="2">
        <v>174</v>
      </c>
      <c r="B177" s="2"/>
      <c r="C177" s="2" t="s">
        <v>250</v>
      </c>
      <c r="D177" s="2">
        <v>22.6</v>
      </c>
      <c r="E177" s="2">
        <v>250</v>
      </c>
      <c r="F177" s="2">
        <v>420</v>
      </c>
      <c r="G177" s="2">
        <f>F177-58</f>
        <v>362</v>
      </c>
      <c r="H177" s="2">
        <v>420</v>
      </c>
      <c r="I177" s="2">
        <v>0</v>
      </c>
      <c r="J177" s="2" t="s">
        <v>36</v>
      </c>
      <c r="K177" s="2">
        <v>1360</v>
      </c>
      <c r="L177" s="43">
        <f t="shared" si="26"/>
        <v>3.7569060773480665</v>
      </c>
      <c r="M177" s="2" t="s">
        <v>52</v>
      </c>
      <c r="N177" s="2">
        <v>8</v>
      </c>
      <c r="O177" s="2">
        <v>380</v>
      </c>
      <c r="P177" s="16">
        <v>200000</v>
      </c>
      <c r="Q177" s="16">
        <v>430</v>
      </c>
      <c r="R177" s="2">
        <f t="shared" si="29"/>
        <v>0.10582231578947368</v>
      </c>
      <c r="S177" s="2" t="s">
        <v>38</v>
      </c>
      <c r="T177" s="2" t="s">
        <v>43</v>
      </c>
      <c r="U177" s="2" t="s">
        <v>220</v>
      </c>
      <c r="V177" s="2">
        <v>227000</v>
      </c>
      <c r="W177" s="2">
        <v>0.16500000000000001</v>
      </c>
      <c r="X177" s="2">
        <v>3800</v>
      </c>
      <c r="Y177" s="2">
        <v>300</v>
      </c>
      <c r="Z177" s="2">
        <v>500</v>
      </c>
      <c r="AA177" s="2">
        <f t="shared" si="27"/>
        <v>325.8</v>
      </c>
      <c r="AB177" s="2">
        <v>90</v>
      </c>
      <c r="AC177" s="2">
        <v>45</v>
      </c>
      <c r="AD177" s="49">
        <v>279</v>
      </c>
      <c r="AE177" s="2" t="s">
        <v>37</v>
      </c>
      <c r="AF177">
        <f t="shared" si="22"/>
        <v>1.6740088105726872E-2</v>
      </c>
    </row>
    <row r="178" spans="1:32" x14ac:dyDescent="0.25">
      <c r="A178" s="2">
        <v>175</v>
      </c>
      <c r="B178" s="2"/>
      <c r="C178" s="2" t="s">
        <v>251</v>
      </c>
      <c r="D178" s="2">
        <v>22.6</v>
      </c>
      <c r="E178" s="2">
        <v>250</v>
      </c>
      <c r="F178" s="2">
        <v>420</v>
      </c>
      <c r="G178" s="2">
        <f>F178-58</f>
        <v>362</v>
      </c>
      <c r="H178" s="2">
        <v>420</v>
      </c>
      <c r="I178" s="2">
        <v>0</v>
      </c>
      <c r="J178" s="2" t="s">
        <v>36</v>
      </c>
      <c r="K178" s="2">
        <v>1150</v>
      </c>
      <c r="L178" s="43">
        <f t="shared" si="26"/>
        <v>3.1767955801104972</v>
      </c>
      <c r="M178" s="2" t="s">
        <v>52</v>
      </c>
      <c r="N178" s="2">
        <v>8</v>
      </c>
      <c r="O178" s="2">
        <v>380</v>
      </c>
      <c r="P178" s="16">
        <v>200000</v>
      </c>
      <c r="Q178" s="16">
        <v>430</v>
      </c>
      <c r="R178" s="2">
        <f t="shared" si="29"/>
        <v>0.10582231578947368</v>
      </c>
      <c r="S178" s="2" t="s">
        <v>38</v>
      </c>
      <c r="T178" s="2" t="s">
        <v>43</v>
      </c>
      <c r="U178" s="2" t="s">
        <v>220</v>
      </c>
      <c r="V178" s="2">
        <v>227000</v>
      </c>
      <c r="W178" s="2">
        <v>0.16500000000000001</v>
      </c>
      <c r="X178" s="2">
        <v>3800</v>
      </c>
      <c r="Y178" s="2">
        <v>300</v>
      </c>
      <c r="Z178" s="2">
        <v>500</v>
      </c>
      <c r="AA178" s="2">
        <f t="shared" si="27"/>
        <v>325.8</v>
      </c>
      <c r="AB178" s="2">
        <v>90</v>
      </c>
      <c r="AC178" s="2">
        <v>45</v>
      </c>
      <c r="AD178" s="49">
        <v>318</v>
      </c>
      <c r="AE178" s="2" t="s">
        <v>37</v>
      </c>
      <c r="AF178">
        <f t="shared" si="22"/>
        <v>1.6740088105726872E-2</v>
      </c>
    </row>
    <row r="179" spans="1:32" x14ac:dyDescent="0.25">
      <c r="A179" s="2">
        <v>176</v>
      </c>
      <c r="B179" s="26"/>
      <c r="C179" s="26">
        <v>6</v>
      </c>
      <c r="D179" s="2">
        <v>45.7</v>
      </c>
      <c r="E179" s="2">
        <v>150</v>
      </c>
      <c r="F179" s="2">
        <v>400</v>
      </c>
      <c r="G179" s="2">
        <v>355</v>
      </c>
      <c r="H179" s="2">
        <v>400</v>
      </c>
      <c r="I179" s="2">
        <v>0</v>
      </c>
      <c r="J179" s="2" t="s">
        <v>86</v>
      </c>
      <c r="K179" s="2">
        <v>1070</v>
      </c>
      <c r="L179" s="43">
        <f t="shared" si="26"/>
        <v>3.0140845070422535</v>
      </c>
      <c r="M179" s="2" t="s">
        <v>52</v>
      </c>
      <c r="N179" s="2">
        <v>4.2</v>
      </c>
      <c r="O179" s="2">
        <v>170</v>
      </c>
      <c r="P179" s="2">
        <f>771/4.34*1000</f>
        <v>177649.76958525347</v>
      </c>
      <c r="Q179" s="2">
        <v>771</v>
      </c>
      <c r="R179" s="2">
        <f t="shared" si="29"/>
        <v>0.10866240000000001</v>
      </c>
      <c r="S179" s="2" t="s">
        <v>38</v>
      </c>
      <c r="T179" s="2" t="s">
        <v>43</v>
      </c>
      <c r="U179" s="2" t="s">
        <v>220</v>
      </c>
      <c r="V179" s="16">
        <v>228000</v>
      </c>
      <c r="W179" s="16">
        <v>0.16500000000000001</v>
      </c>
      <c r="X179" s="16">
        <v>3790</v>
      </c>
      <c r="Y179" s="2">
        <v>150</v>
      </c>
      <c r="Z179" s="2">
        <v>230</v>
      </c>
      <c r="AA179" s="2">
        <f t="shared" si="27"/>
        <v>319.5</v>
      </c>
      <c r="AB179" s="2">
        <v>90</v>
      </c>
      <c r="AC179" s="2">
        <v>45</v>
      </c>
      <c r="AD179" s="49">
        <f>650/2</f>
        <v>325</v>
      </c>
      <c r="AE179" s="2">
        <f>AD179-372/2</f>
        <v>139</v>
      </c>
      <c r="AF179">
        <f t="shared" si="22"/>
        <v>1.6622807017543859E-2</v>
      </c>
    </row>
    <row r="180" spans="1:32" x14ac:dyDescent="0.25">
      <c r="A180" s="2">
        <v>177</v>
      </c>
      <c r="B180" s="26" t="s">
        <v>252</v>
      </c>
      <c r="C180" s="26">
        <v>7</v>
      </c>
      <c r="D180" s="2">
        <v>45.8</v>
      </c>
      <c r="E180" s="2">
        <v>150</v>
      </c>
      <c r="F180" s="2">
        <v>400</v>
      </c>
      <c r="G180" s="2">
        <v>355</v>
      </c>
      <c r="H180" s="2">
        <v>400</v>
      </c>
      <c r="I180" s="2">
        <v>0</v>
      </c>
      <c r="J180" s="2" t="s">
        <v>86</v>
      </c>
      <c r="K180" s="2">
        <v>1070</v>
      </c>
      <c r="L180" s="43">
        <f t="shared" si="26"/>
        <v>3.0140845070422535</v>
      </c>
      <c r="M180" s="2" t="s">
        <v>52</v>
      </c>
      <c r="N180" s="2">
        <v>4.2</v>
      </c>
      <c r="O180" s="2">
        <v>170</v>
      </c>
      <c r="P180" s="2">
        <f t="shared" ref="P180:P181" si="30">771/4.34*1000</f>
        <v>177649.76958525347</v>
      </c>
      <c r="Q180" s="2">
        <v>772</v>
      </c>
      <c r="R180" s="2">
        <f t="shared" si="29"/>
        <v>0.10866240000000001</v>
      </c>
      <c r="S180" s="2" t="s">
        <v>38</v>
      </c>
      <c r="T180" s="2" t="s">
        <v>43</v>
      </c>
      <c r="U180" s="2" t="s">
        <v>220</v>
      </c>
      <c r="V180" s="16">
        <v>228000</v>
      </c>
      <c r="W180" s="16">
        <f>0.165*2</f>
        <v>0.33</v>
      </c>
      <c r="X180" s="16">
        <v>3790</v>
      </c>
      <c r="Y180" s="2">
        <v>150</v>
      </c>
      <c r="Z180" s="2">
        <v>230</v>
      </c>
      <c r="AA180" s="2">
        <f t="shared" si="27"/>
        <v>319.5</v>
      </c>
      <c r="AB180" s="2">
        <v>90</v>
      </c>
      <c r="AC180" s="2">
        <v>45</v>
      </c>
      <c r="AD180" s="49">
        <f>778/2</f>
        <v>389</v>
      </c>
      <c r="AE180" s="2">
        <f>AD180-372/2</f>
        <v>203</v>
      </c>
      <c r="AF180">
        <f t="shared" si="22"/>
        <v>1.6622807017543859E-2</v>
      </c>
    </row>
    <row r="181" spans="1:32" x14ac:dyDescent="0.25">
      <c r="A181" s="2">
        <v>178</v>
      </c>
      <c r="B181" s="26" t="s">
        <v>253</v>
      </c>
      <c r="C181" s="26">
        <v>8</v>
      </c>
      <c r="D181" s="2">
        <v>46.6</v>
      </c>
      <c r="E181" s="2">
        <v>150</v>
      </c>
      <c r="F181" s="2">
        <v>400</v>
      </c>
      <c r="G181" s="2">
        <v>355</v>
      </c>
      <c r="H181" s="2">
        <v>400</v>
      </c>
      <c r="I181" s="2">
        <v>0</v>
      </c>
      <c r="J181" s="2" t="s">
        <v>86</v>
      </c>
      <c r="K181" s="2">
        <v>1070</v>
      </c>
      <c r="L181" s="43">
        <f t="shared" si="26"/>
        <v>3.0140845070422535</v>
      </c>
      <c r="M181" s="2" t="s">
        <v>52</v>
      </c>
      <c r="N181" s="2">
        <v>4.2</v>
      </c>
      <c r="O181" s="2">
        <v>170</v>
      </c>
      <c r="P181" s="2">
        <f t="shared" si="30"/>
        <v>177649.76958525347</v>
      </c>
      <c r="Q181" s="2">
        <v>773</v>
      </c>
      <c r="R181" s="2">
        <f t="shared" si="29"/>
        <v>0.10866240000000001</v>
      </c>
      <c r="S181" s="2" t="s">
        <v>38</v>
      </c>
      <c r="T181" s="2" t="s">
        <v>43</v>
      </c>
      <c r="U181" s="2" t="s">
        <v>220</v>
      </c>
      <c r="V181" s="16">
        <v>228000</v>
      </c>
      <c r="W181" s="16">
        <f>0.165*2</f>
        <v>0.33</v>
      </c>
      <c r="X181" s="16">
        <v>3790</v>
      </c>
      <c r="Y181" s="2">
        <v>150</v>
      </c>
      <c r="Z181" s="2">
        <v>230</v>
      </c>
      <c r="AA181" s="2">
        <f t="shared" si="27"/>
        <v>319.5</v>
      </c>
      <c r="AB181" s="2">
        <v>45</v>
      </c>
      <c r="AC181" s="2">
        <v>45</v>
      </c>
      <c r="AD181" s="49">
        <f>612/2</f>
        <v>306</v>
      </c>
      <c r="AE181" s="2">
        <f>AD181-372/2</f>
        <v>120</v>
      </c>
      <c r="AF181">
        <f t="shared" si="22"/>
        <v>1.6622807017543859E-2</v>
      </c>
    </row>
    <row r="182" spans="1:32" x14ac:dyDescent="0.25">
      <c r="A182" s="2">
        <v>179</v>
      </c>
      <c r="B182" s="2"/>
      <c r="C182" s="2" t="s">
        <v>254</v>
      </c>
      <c r="D182" s="2">
        <v>35.1</v>
      </c>
      <c r="E182" s="2">
        <v>125</v>
      </c>
      <c r="F182" s="2">
        <v>200</v>
      </c>
      <c r="G182" s="2">
        <v>165</v>
      </c>
      <c r="H182" s="2">
        <v>200</v>
      </c>
      <c r="I182" s="2">
        <v>0</v>
      </c>
      <c r="J182" s="2" t="s">
        <v>36</v>
      </c>
      <c r="K182" s="2">
        <f t="shared" ref="K182:K203" si="31">L182*G182</f>
        <v>495</v>
      </c>
      <c r="L182" s="43">
        <v>3</v>
      </c>
      <c r="M182" s="2" t="s">
        <v>37</v>
      </c>
      <c r="N182" s="2">
        <v>0</v>
      </c>
      <c r="O182" s="2"/>
      <c r="P182" s="2"/>
      <c r="Q182" s="2"/>
      <c r="R182" s="2"/>
      <c r="S182" s="2" t="s">
        <v>38</v>
      </c>
      <c r="T182" s="2" t="s">
        <v>43</v>
      </c>
      <c r="U182" s="2" t="s">
        <v>220</v>
      </c>
      <c r="V182" s="2">
        <v>230000</v>
      </c>
      <c r="W182" s="2">
        <v>0.11</v>
      </c>
      <c r="X182" s="2">
        <v>3480</v>
      </c>
      <c r="Y182" s="2">
        <v>20</v>
      </c>
      <c r="Z182" s="2">
        <v>100</v>
      </c>
      <c r="AA182" s="2">
        <f t="shared" si="27"/>
        <v>148.5</v>
      </c>
      <c r="AB182" s="2">
        <v>90</v>
      </c>
      <c r="AC182" s="2">
        <v>45</v>
      </c>
      <c r="AD182" s="49">
        <f>128.1/2</f>
        <v>64.05</v>
      </c>
      <c r="AE182" s="2" t="s">
        <v>37</v>
      </c>
      <c r="AF182">
        <f t="shared" si="22"/>
        <v>1.5130434782608696E-2</v>
      </c>
    </row>
    <row r="183" spans="1:32" x14ac:dyDescent="0.25">
      <c r="A183" s="2">
        <v>180</v>
      </c>
      <c r="B183" s="2"/>
      <c r="C183" s="2" t="s">
        <v>255</v>
      </c>
      <c r="D183" s="2">
        <v>32.4</v>
      </c>
      <c r="E183" s="2">
        <v>125</v>
      </c>
      <c r="F183" s="2">
        <v>200</v>
      </c>
      <c r="G183" s="2">
        <v>165</v>
      </c>
      <c r="H183" s="2">
        <v>200</v>
      </c>
      <c r="I183" s="2">
        <v>0</v>
      </c>
      <c r="J183" s="2" t="s">
        <v>36</v>
      </c>
      <c r="K183" s="2">
        <f t="shared" si="31"/>
        <v>495</v>
      </c>
      <c r="L183" s="43">
        <v>3</v>
      </c>
      <c r="M183" s="2" t="s">
        <v>37</v>
      </c>
      <c r="N183" s="2">
        <v>0</v>
      </c>
      <c r="O183" s="2"/>
      <c r="P183" s="2"/>
      <c r="Q183" s="2"/>
      <c r="R183" s="2"/>
      <c r="S183" s="2" t="s">
        <v>38</v>
      </c>
      <c r="T183" s="2" t="s">
        <v>43</v>
      </c>
      <c r="U183" s="2" t="s">
        <v>220</v>
      </c>
      <c r="V183" s="2">
        <v>230000</v>
      </c>
      <c r="W183" s="2">
        <v>0.11</v>
      </c>
      <c r="X183" s="2">
        <v>3480</v>
      </c>
      <c r="Y183" s="2">
        <v>50</v>
      </c>
      <c r="Z183" s="2">
        <v>100</v>
      </c>
      <c r="AA183" s="2">
        <f t="shared" si="27"/>
        <v>148.5</v>
      </c>
      <c r="AB183" s="2">
        <v>90</v>
      </c>
      <c r="AC183" s="2">
        <v>45</v>
      </c>
      <c r="AD183" s="49">
        <f>186.7/2</f>
        <v>93.35</v>
      </c>
      <c r="AE183" s="2" t="s">
        <v>37</v>
      </c>
      <c r="AF183">
        <f t="shared" si="22"/>
        <v>1.5130434782608696E-2</v>
      </c>
    </row>
    <row r="184" spans="1:32" x14ac:dyDescent="0.25">
      <c r="A184" s="2">
        <v>181</v>
      </c>
      <c r="B184" s="2" t="s">
        <v>256</v>
      </c>
      <c r="C184" s="2" t="s">
        <v>257</v>
      </c>
      <c r="D184" s="2">
        <v>35</v>
      </c>
      <c r="E184" s="2">
        <v>125</v>
      </c>
      <c r="F184" s="2">
        <v>200</v>
      </c>
      <c r="G184" s="2">
        <v>165</v>
      </c>
      <c r="H184" s="2">
        <v>200</v>
      </c>
      <c r="I184" s="2">
        <v>0</v>
      </c>
      <c r="J184" s="2" t="s">
        <v>36</v>
      </c>
      <c r="K184" s="2">
        <f t="shared" si="31"/>
        <v>445.50000000000006</v>
      </c>
      <c r="L184" s="43">
        <v>2.7</v>
      </c>
      <c r="M184" s="2" t="s">
        <v>18</v>
      </c>
      <c r="N184" s="2">
        <v>6</v>
      </c>
      <c r="O184" s="2">
        <v>150</v>
      </c>
      <c r="P184" s="16">
        <v>200000</v>
      </c>
      <c r="Q184" s="2">
        <v>418</v>
      </c>
      <c r="R184" s="2">
        <f t="shared" si="29"/>
        <v>0.30159359999999996</v>
      </c>
      <c r="S184" s="2" t="s">
        <v>38</v>
      </c>
      <c r="T184" s="2" t="s">
        <v>43</v>
      </c>
      <c r="U184" s="2" t="s">
        <v>220</v>
      </c>
      <c r="V184" s="2">
        <v>230000</v>
      </c>
      <c r="W184" s="2">
        <v>0.11</v>
      </c>
      <c r="X184" s="2">
        <v>3480</v>
      </c>
      <c r="Y184" s="2">
        <v>20</v>
      </c>
      <c r="Z184" s="2">
        <v>100</v>
      </c>
      <c r="AA184" s="2">
        <f t="shared" si="27"/>
        <v>148.5</v>
      </c>
      <c r="AB184" s="2">
        <v>90</v>
      </c>
      <c r="AC184" s="2">
        <v>45</v>
      </c>
      <c r="AD184" s="49">
        <f>182.2/2</f>
        <v>91.1</v>
      </c>
      <c r="AE184" s="2" t="s">
        <v>37</v>
      </c>
      <c r="AF184">
        <f t="shared" si="22"/>
        <v>1.5130434782608696E-2</v>
      </c>
    </row>
    <row r="185" spans="1:32" x14ac:dyDescent="0.25">
      <c r="A185" s="2">
        <v>182</v>
      </c>
      <c r="B185" s="2"/>
      <c r="C185" s="2" t="s">
        <v>258</v>
      </c>
      <c r="D185" s="2">
        <v>32.4</v>
      </c>
      <c r="E185" s="2">
        <v>125</v>
      </c>
      <c r="F185" s="2">
        <v>200</v>
      </c>
      <c r="G185" s="2">
        <v>165</v>
      </c>
      <c r="H185" s="2">
        <v>200</v>
      </c>
      <c r="I185" s="2">
        <v>0</v>
      </c>
      <c r="J185" s="2" t="s">
        <v>36</v>
      </c>
      <c r="K185" s="2">
        <f t="shared" si="31"/>
        <v>396</v>
      </c>
      <c r="L185" s="43">
        <v>2.4</v>
      </c>
      <c r="M185" s="2" t="s">
        <v>37</v>
      </c>
      <c r="N185" s="2">
        <v>0</v>
      </c>
      <c r="O185" s="2"/>
      <c r="P185" s="2"/>
      <c r="Q185" s="2"/>
      <c r="R185" s="2"/>
      <c r="S185" s="2" t="s">
        <v>38</v>
      </c>
      <c r="T185" s="2" t="s">
        <v>43</v>
      </c>
      <c r="U185" s="2" t="s">
        <v>220</v>
      </c>
      <c r="V185" s="2">
        <v>230000</v>
      </c>
      <c r="W185" s="2">
        <v>0.11</v>
      </c>
      <c r="X185" s="2">
        <v>3480</v>
      </c>
      <c r="Y185" s="2">
        <v>20</v>
      </c>
      <c r="Z185" s="2">
        <v>100</v>
      </c>
      <c r="AA185" s="2">
        <f t="shared" si="27"/>
        <v>148.5</v>
      </c>
      <c r="AB185" s="2">
        <v>90</v>
      </c>
      <c r="AC185" s="2">
        <v>45</v>
      </c>
      <c r="AD185" s="49">
        <f>125.5/2</f>
        <v>62.75</v>
      </c>
      <c r="AE185" s="2" t="s">
        <v>37</v>
      </c>
      <c r="AF185">
        <f t="shared" si="22"/>
        <v>1.5130434782608696E-2</v>
      </c>
    </row>
    <row r="186" spans="1:32" x14ac:dyDescent="0.25">
      <c r="A186" s="2">
        <v>183</v>
      </c>
      <c r="B186" s="2"/>
      <c r="C186" s="2" t="s">
        <v>259</v>
      </c>
      <c r="D186" s="2">
        <v>32.4</v>
      </c>
      <c r="E186" s="2">
        <v>125</v>
      </c>
      <c r="F186" s="2">
        <v>200</v>
      </c>
      <c r="G186" s="2">
        <v>165</v>
      </c>
      <c r="H186" s="2">
        <v>200</v>
      </c>
      <c r="I186" s="2">
        <v>0</v>
      </c>
      <c r="J186" s="2" t="s">
        <v>36</v>
      </c>
      <c r="K186" s="2">
        <f t="shared" si="31"/>
        <v>297</v>
      </c>
      <c r="L186" s="50">
        <v>1.8</v>
      </c>
      <c r="M186" s="2" t="s">
        <v>37</v>
      </c>
      <c r="N186" s="2">
        <v>0</v>
      </c>
      <c r="O186" s="2"/>
      <c r="P186" s="2"/>
      <c r="Q186" s="2"/>
      <c r="R186" s="2"/>
      <c r="S186" s="2" t="s">
        <v>38</v>
      </c>
      <c r="T186" s="2" t="s">
        <v>43</v>
      </c>
      <c r="U186" s="2" t="s">
        <v>220</v>
      </c>
      <c r="V186" s="2">
        <v>230000</v>
      </c>
      <c r="W186" s="2">
        <v>0.11</v>
      </c>
      <c r="X186" s="2">
        <v>3480</v>
      </c>
      <c r="Y186" s="2">
        <v>20</v>
      </c>
      <c r="Z186" s="2">
        <v>100</v>
      </c>
      <c r="AA186" s="2">
        <f t="shared" si="27"/>
        <v>148.5</v>
      </c>
      <c r="AB186" s="2">
        <v>90</v>
      </c>
      <c r="AC186" s="2">
        <v>45</v>
      </c>
      <c r="AD186" s="49">
        <f>147.3/2</f>
        <v>73.650000000000006</v>
      </c>
      <c r="AE186" s="2" t="s">
        <v>37</v>
      </c>
      <c r="AF186">
        <f t="shared" si="22"/>
        <v>1.5130434782608696E-2</v>
      </c>
    </row>
    <row r="187" spans="1:32" x14ac:dyDescent="0.25">
      <c r="A187" s="2">
        <v>184</v>
      </c>
      <c r="B187" s="2"/>
      <c r="C187" s="2" t="s">
        <v>260</v>
      </c>
      <c r="D187" s="2">
        <v>39.1</v>
      </c>
      <c r="E187" s="2">
        <v>125</v>
      </c>
      <c r="F187" s="2">
        <v>200</v>
      </c>
      <c r="G187" s="2">
        <v>165</v>
      </c>
      <c r="H187" s="2">
        <v>200</v>
      </c>
      <c r="I187" s="2">
        <v>0</v>
      </c>
      <c r="J187" s="2" t="s">
        <v>36</v>
      </c>
      <c r="K187" s="2">
        <f t="shared" si="31"/>
        <v>330</v>
      </c>
      <c r="L187" s="43">
        <v>2</v>
      </c>
      <c r="M187" s="2" t="s">
        <v>37</v>
      </c>
      <c r="N187" s="2">
        <v>0</v>
      </c>
      <c r="O187" s="2"/>
      <c r="P187" s="2"/>
      <c r="Q187" s="2"/>
      <c r="R187" s="2"/>
      <c r="S187" s="2" t="s">
        <v>38</v>
      </c>
      <c r="T187" s="2" t="s">
        <v>43</v>
      </c>
      <c r="U187" s="2" t="s">
        <v>220</v>
      </c>
      <c r="V187" s="2">
        <v>230000</v>
      </c>
      <c r="W187" s="2">
        <v>0.11</v>
      </c>
      <c r="X187" s="2">
        <v>3480</v>
      </c>
      <c r="Y187" s="2">
        <v>50</v>
      </c>
      <c r="Z187" s="2">
        <v>100</v>
      </c>
      <c r="AA187" s="2">
        <f t="shared" si="27"/>
        <v>148.5</v>
      </c>
      <c r="AB187" s="2">
        <v>90</v>
      </c>
      <c r="AC187" s="2">
        <v>45</v>
      </c>
      <c r="AD187" s="49">
        <f>186.2/2</f>
        <v>93.1</v>
      </c>
      <c r="AE187" s="2" t="s">
        <v>37</v>
      </c>
      <c r="AF187">
        <f t="shared" si="22"/>
        <v>1.5130434782608696E-2</v>
      </c>
    </row>
    <row r="188" spans="1:32" x14ac:dyDescent="0.25">
      <c r="A188" s="2">
        <v>185</v>
      </c>
      <c r="B188" s="16"/>
      <c r="C188" s="16" t="s">
        <v>261</v>
      </c>
      <c r="D188" s="2">
        <v>43</v>
      </c>
      <c r="E188" s="2">
        <v>150</v>
      </c>
      <c r="F188" s="2">
        <v>300</v>
      </c>
      <c r="G188" s="2">
        <f>F188-28</f>
        <v>272</v>
      </c>
      <c r="H188" s="2">
        <f>F188</f>
        <v>300</v>
      </c>
      <c r="I188" s="2">
        <v>0</v>
      </c>
      <c r="J188" s="2" t="s">
        <v>36</v>
      </c>
      <c r="K188" s="2">
        <f t="shared" si="31"/>
        <v>799.68</v>
      </c>
      <c r="L188" s="43">
        <v>2.94</v>
      </c>
      <c r="M188" s="2" t="s">
        <v>37</v>
      </c>
      <c r="N188" s="2">
        <v>0</v>
      </c>
      <c r="O188" s="2"/>
      <c r="P188" s="2"/>
      <c r="Q188" s="2"/>
      <c r="R188" s="2"/>
      <c r="S188" s="2" t="s">
        <v>140</v>
      </c>
      <c r="T188" s="2" t="s">
        <v>43</v>
      </c>
      <c r="U188" s="2" t="s">
        <v>220</v>
      </c>
      <c r="V188" s="2">
        <v>73000</v>
      </c>
      <c r="W188" s="2">
        <v>4.3999999999999997E-2</v>
      </c>
      <c r="X188" s="2">
        <v>2700</v>
      </c>
      <c r="Y188" s="2">
        <v>200</v>
      </c>
      <c r="Z188" s="2">
        <v>200</v>
      </c>
      <c r="AA188" s="2">
        <f t="shared" si="27"/>
        <v>244.8</v>
      </c>
      <c r="AB188" s="2">
        <v>90</v>
      </c>
      <c r="AC188" s="2">
        <v>45</v>
      </c>
      <c r="AD188" s="49">
        <v>91</v>
      </c>
      <c r="AE188" s="2" t="s">
        <v>37</v>
      </c>
      <c r="AF188">
        <f t="shared" si="22"/>
        <v>3.6986301369863014E-2</v>
      </c>
    </row>
    <row r="189" spans="1:32" x14ac:dyDescent="0.25">
      <c r="A189" s="2">
        <v>186</v>
      </c>
      <c r="B189" s="16"/>
      <c r="C189" s="16" t="s">
        <v>262</v>
      </c>
      <c r="D189" s="2">
        <v>43</v>
      </c>
      <c r="E189" s="2">
        <v>150</v>
      </c>
      <c r="F189" s="2">
        <v>300</v>
      </c>
      <c r="G189" s="2">
        <f t="shared" ref="G189:G190" si="32">F189-28</f>
        <v>272</v>
      </c>
      <c r="H189" s="2">
        <f t="shared" ref="H189:H203" si="33">F189</f>
        <v>300</v>
      </c>
      <c r="I189" s="2">
        <v>0</v>
      </c>
      <c r="J189" s="2" t="s">
        <v>36</v>
      </c>
      <c r="K189" s="2">
        <f t="shared" si="31"/>
        <v>799.68</v>
      </c>
      <c r="L189" s="43">
        <v>2.94</v>
      </c>
      <c r="M189" s="2" t="s">
        <v>37</v>
      </c>
      <c r="N189" s="2">
        <v>0</v>
      </c>
      <c r="O189" s="2"/>
      <c r="P189" s="2"/>
      <c r="Q189" s="2"/>
      <c r="R189" s="2"/>
      <c r="S189" s="2" t="s">
        <v>140</v>
      </c>
      <c r="T189" s="2" t="s">
        <v>43</v>
      </c>
      <c r="U189" s="2" t="s">
        <v>220</v>
      </c>
      <c r="V189" s="2">
        <v>73000</v>
      </c>
      <c r="W189" s="2">
        <v>4.3999999999999997E-2</v>
      </c>
      <c r="X189" s="2">
        <v>2700</v>
      </c>
      <c r="Y189" s="2">
        <v>100</v>
      </c>
      <c r="Z189" s="2">
        <v>200</v>
      </c>
      <c r="AA189" s="2">
        <f t="shared" si="27"/>
        <v>244.8</v>
      </c>
      <c r="AB189" s="2">
        <v>90</v>
      </c>
      <c r="AC189" s="2">
        <v>45</v>
      </c>
      <c r="AD189" s="49">
        <v>90</v>
      </c>
      <c r="AE189" s="2" t="s">
        <v>37</v>
      </c>
      <c r="AF189">
        <f t="shared" si="22"/>
        <v>3.6986301369863014E-2</v>
      </c>
    </row>
    <row r="190" spans="1:32" x14ac:dyDescent="0.25">
      <c r="A190" s="2">
        <v>187</v>
      </c>
      <c r="B190" s="16"/>
      <c r="C190" s="16" t="s">
        <v>263</v>
      </c>
      <c r="D190" s="2">
        <v>44.8</v>
      </c>
      <c r="E190" s="2">
        <v>150</v>
      </c>
      <c r="F190" s="2">
        <v>300</v>
      </c>
      <c r="G190" s="2">
        <f t="shared" si="32"/>
        <v>272</v>
      </c>
      <c r="H190" s="2">
        <f t="shared" si="33"/>
        <v>300</v>
      </c>
      <c r="I190" s="2">
        <v>0</v>
      </c>
      <c r="J190" s="2" t="s">
        <v>36</v>
      </c>
      <c r="K190" s="2">
        <f t="shared" si="31"/>
        <v>799.68</v>
      </c>
      <c r="L190" s="43">
        <v>2.94</v>
      </c>
      <c r="M190" s="2" t="s">
        <v>37</v>
      </c>
      <c r="N190" s="2">
        <v>0</v>
      </c>
      <c r="O190" s="2"/>
      <c r="P190" s="2"/>
      <c r="Q190" s="2"/>
      <c r="R190" s="2"/>
      <c r="S190" s="2" t="s">
        <v>140</v>
      </c>
      <c r="T190" s="2" t="s">
        <v>43</v>
      </c>
      <c r="U190" s="2" t="s">
        <v>220</v>
      </c>
      <c r="V190" s="2">
        <v>73000</v>
      </c>
      <c r="W190" s="2">
        <v>8.7999999999999995E-2</v>
      </c>
      <c r="X190" s="2">
        <v>2700</v>
      </c>
      <c r="Y190" s="2">
        <v>200</v>
      </c>
      <c r="Z190" s="2">
        <v>200</v>
      </c>
      <c r="AA190" s="2">
        <f t="shared" si="27"/>
        <v>244.8</v>
      </c>
      <c r="AB190" s="2">
        <v>90</v>
      </c>
      <c r="AC190" s="2">
        <v>45</v>
      </c>
      <c r="AD190" s="49">
        <v>114</v>
      </c>
      <c r="AE190" s="2" t="s">
        <v>37</v>
      </c>
      <c r="AF190">
        <f t="shared" si="22"/>
        <v>3.6986301369863014E-2</v>
      </c>
    </row>
    <row r="191" spans="1:32" x14ac:dyDescent="0.25">
      <c r="A191" s="2">
        <v>188</v>
      </c>
      <c r="B191" s="16"/>
      <c r="C191" s="16" t="s">
        <v>264</v>
      </c>
      <c r="D191" s="2">
        <v>40.5</v>
      </c>
      <c r="E191" s="2">
        <v>300</v>
      </c>
      <c r="F191" s="2">
        <v>300</v>
      </c>
      <c r="G191" s="2">
        <f>F191-43</f>
        <v>257</v>
      </c>
      <c r="H191" s="2">
        <f t="shared" si="33"/>
        <v>300</v>
      </c>
      <c r="I191" s="2">
        <v>0</v>
      </c>
      <c r="J191" s="2" t="s">
        <v>36</v>
      </c>
      <c r="K191" s="2">
        <f t="shared" si="31"/>
        <v>760.72</v>
      </c>
      <c r="L191" s="2">
        <v>2.96</v>
      </c>
      <c r="M191" s="2" t="s">
        <v>37</v>
      </c>
      <c r="N191" s="2">
        <v>0</v>
      </c>
      <c r="O191" s="2"/>
      <c r="P191" s="2"/>
      <c r="Q191" s="2"/>
      <c r="R191" s="2"/>
      <c r="S191" s="2" t="s">
        <v>38</v>
      </c>
      <c r="T191" s="2" t="s">
        <v>43</v>
      </c>
      <c r="U191" s="2" t="s">
        <v>220</v>
      </c>
      <c r="V191" s="2">
        <v>244000</v>
      </c>
      <c r="W191" s="2">
        <v>0.111</v>
      </c>
      <c r="X191" s="2">
        <v>4200</v>
      </c>
      <c r="Y191" s="2">
        <v>200</v>
      </c>
      <c r="Z191" s="2">
        <v>200</v>
      </c>
      <c r="AA191" s="2">
        <f t="shared" si="27"/>
        <v>231.3</v>
      </c>
      <c r="AB191" s="2">
        <v>90</v>
      </c>
      <c r="AC191" s="2">
        <v>45</v>
      </c>
      <c r="AD191" s="49">
        <v>214</v>
      </c>
      <c r="AE191" s="2" t="s">
        <v>37</v>
      </c>
      <c r="AF191">
        <f t="shared" si="22"/>
        <v>1.7213114754098362E-2</v>
      </c>
    </row>
    <row r="192" spans="1:32" x14ac:dyDescent="0.25">
      <c r="A192" s="2">
        <v>189</v>
      </c>
      <c r="B192" s="16"/>
      <c r="C192" s="16" t="s">
        <v>265</v>
      </c>
      <c r="D192" s="2">
        <v>40.5</v>
      </c>
      <c r="E192" s="2">
        <v>300</v>
      </c>
      <c r="F192" s="2">
        <v>300</v>
      </c>
      <c r="G192" s="2">
        <f t="shared" ref="G192:G193" si="34">F192-43</f>
        <v>257</v>
      </c>
      <c r="H192" s="2">
        <f t="shared" si="33"/>
        <v>300</v>
      </c>
      <c r="I192" s="2">
        <v>0</v>
      </c>
      <c r="J192" s="2" t="s">
        <v>36</v>
      </c>
      <c r="K192" s="2">
        <f t="shared" si="31"/>
        <v>809.55</v>
      </c>
      <c r="L192" s="2">
        <v>3.15</v>
      </c>
      <c r="M192" s="2" t="s">
        <v>37</v>
      </c>
      <c r="N192" s="2">
        <v>0</v>
      </c>
      <c r="O192" s="2"/>
      <c r="P192" s="2"/>
      <c r="Q192" s="2"/>
      <c r="R192" s="2"/>
      <c r="S192" s="2" t="s">
        <v>38</v>
      </c>
      <c r="T192" s="2" t="s">
        <v>43</v>
      </c>
      <c r="U192" s="2" t="s">
        <v>220</v>
      </c>
      <c r="V192" s="2">
        <v>244000</v>
      </c>
      <c r="W192" s="2">
        <v>0.111</v>
      </c>
      <c r="X192" s="2">
        <v>4200</v>
      </c>
      <c r="Y192" s="2">
        <v>100</v>
      </c>
      <c r="Z192" s="2">
        <v>200</v>
      </c>
      <c r="AA192" s="2">
        <f t="shared" si="27"/>
        <v>231.3</v>
      </c>
      <c r="AB192" s="2">
        <v>90</v>
      </c>
      <c r="AC192" s="2">
        <v>45</v>
      </c>
      <c r="AD192" s="49">
        <v>159</v>
      </c>
      <c r="AE192" s="2" t="s">
        <v>37</v>
      </c>
      <c r="AF192">
        <f t="shared" si="22"/>
        <v>1.7213114754098362E-2</v>
      </c>
    </row>
    <row r="193" spans="1:32" x14ac:dyDescent="0.25">
      <c r="A193" s="2">
        <v>190</v>
      </c>
      <c r="B193" s="16"/>
      <c r="C193" s="16" t="s">
        <v>266</v>
      </c>
      <c r="D193" s="2">
        <v>44.8</v>
      </c>
      <c r="E193" s="2">
        <v>150</v>
      </c>
      <c r="F193" s="2">
        <v>300</v>
      </c>
      <c r="G193" s="2">
        <f t="shared" si="34"/>
        <v>257</v>
      </c>
      <c r="H193" s="2">
        <f t="shared" si="33"/>
        <v>300</v>
      </c>
      <c r="I193" s="2">
        <v>0</v>
      </c>
      <c r="J193" s="2" t="s">
        <v>36</v>
      </c>
      <c r="K193" s="2">
        <f t="shared" si="31"/>
        <v>809.55</v>
      </c>
      <c r="L193" s="2">
        <v>3.15</v>
      </c>
      <c r="M193" s="2" t="s">
        <v>37</v>
      </c>
      <c r="N193" s="2">
        <v>0</v>
      </c>
      <c r="O193" s="2"/>
      <c r="P193" s="2"/>
      <c r="Q193" s="2"/>
      <c r="R193" s="2"/>
      <c r="S193" s="2" t="s">
        <v>38</v>
      </c>
      <c r="T193" s="2" t="s">
        <v>43</v>
      </c>
      <c r="U193" s="2" t="s">
        <v>220</v>
      </c>
      <c r="V193" s="2">
        <v>244000</v>
      </c>
      <c r="W193" s="2">
        <v>0.111</v>
      </c>
      <c r="X193" s="2">
        <v>4200</v>
      </c>
      <c r="Y193" s="2">
        <v>100</v>
      </c>
      <c r="Z193" s="2">
        <v>200</v>
      </c>
      <c r="AA193" s="2">
        <f t="shared" si="27"/>
        <v>231.3</v>
      </c>
      <c r="AB193" s="2">
        <v>90</v>
      </c>
      <c r="AC193" s="2">
        <v>45</v>
      </c>
      <c r="AD193" s="49">
        <v>116</v>
      </c>
      <c r="AE193" s="2" t="s">
        <v>37</v>
      </c>
      <c r="AF193">
        <f t="shared" si="22"/>
        <v>1.7213114754098362E-2</v>
      </c>
    </row>
    <row r="194" spans="1:32" x14ac:dyDescent="0.25">
      <c r="A194" s="2">
        <v>191</v>
      </c>
      <c r="B194" s="16"/>
      <c r="C194" s="16" t="s">
        <v>267</v>
      </c>
      <c r="D194" s="2">
        <v>41.9</v>
      </c>
      <c r="E194" s="2">
        <v>150</v>
      </c>
      <c r="F194" s="2">
        <v>300</v>
      </c>
      <c r="G194" s="2">
        <f>F194-47</f>
        <v>253</v>
      </c>
      <c r="H194" s="2">
        <f t="shared" si="33"/>
        <v>300</v>
      </c>
      <c r="I194" s="2">
        <v>0</v>
      </c>
      <c r="J194" s="2" t="s">
        <v>36</v>
      </c>
      <c r="K194" s="2">
        <f t="shared" si="31"/>
        <v>809.6</v>
      </c>
      <c r="L194" s="43">
        <v>3.2</v>
      </c>
      <c r="M194" s="2" t="s">
        <v>37</v>
      </c>
      <c r="N194" s="2">
        <v>0</v>
      </c>
      <c r="O194" s="2"/>
      <c r="P194" s="2"/>
      <c r="Q194" s="2"/>
      <c r="R194" s="2"/>
      <c r="S194" s="2" t="s">
        <v>140</v>
      </c>
      <c r="T194" s="2" t="s">
        <v>43</v>
      </c>
      <c r="U194" s="2" t="s">
        <v>220</v>
      </c>
      <c r="V194" s="2">
        <v>73000</v>
      </c>
      <c r="W194" s="2">
        <v>4.3999999999999997E-2</v>
      </c>
      <c r="X194" s="2">
        <v>2700</v>
      </c>
      <c r="Y194" s="2">
        <v>200</v>
      </c>
      <c r="Z194" s="2">
        <v>200</v>
      </c>
      <c r="AA194" s="2">
        <f t="shared" si="27"/>
        <v>227.70000000000002</v>
      </c>
      <c r="AB194" s="2">
        <v>90</v>
      </c>
      <c r="AC194" s="2">
        <v>45</v>
      </c>
      <c r="AD194" s="49">
        <v>110</v>
      </c>
      <c r="AE194" s="2" t="s">
        <v>37</v>
      </c>
      <c r="AF194">
        <f t="shared" si="22"/>
        <v>3.6986301369863014E-2</v>
      </c>
    </row>
    <row r="195" spans="1:32" x14ac:dyDescent="0.25">
      <c r="A195" s="2">
        <v>192</v>
      </c>
      <c r="B195" s="16" t="s">
        <v>268</v>
      </c>
      <c r="C195" s="16" t="s">
        <v>269</v>
      </c>
      <c r="D195" s="2">
        <v>45.6</v>
      </c>
      <c r="E195" s="2">
        <v>300</v>
      </c>
      <c r="F195" s="2">
        <v>300</v>
      </c>
      <c r="G195" s="2">
        <f t="shared" ref="G195:G199" si="35">F195-47</f>
        <v>253</v>
      </c>
      <c r="H195" s="2">
        <f t="shared" si="33"/>
        <v>300</v>
      </c>
      <c r="I195" s="2">
        <v>0</v>
      </c>
      <c r="J195" s="2" t="s">
        <v>36</v>
      </c>
      <c r="K195" s="2">
        <f t="shared" si="31"/>
        <v>809.6</v>
      </c>
      <c r="L195" s="43">
        <v>3.2</v>
      </c>
      <c r="M195" s="2" t="s">
        <v>37</v>
      </c>
      <c r="N195" s="2">
        <v>0</v>
      </c>
      <c r="O195" s="2"/>
      <c r="P195" s="2"/>
      <c r="Q195" s="2"/>
      <c r="R195" s="2"/>
      <c r="S195" s="2" t="s">
        <v>140</v>
      </c>
      <c r="T195" s="2" t="s">
        <v>43</v>
      </c>
      <c r="U195" s="2" t="s">
        <v>220</v>
      </c>
      <c r="V195" s="2">
        <v>73000</v>
      </c>
      <c r="W195" s="2">
        <v>4.3999999999999997E-2</v>
      </c>
      <c r="X195" s="2">
        <v>2700</v>
      </c>
      <c r="Y195" s="2">
        <v>200</v>
      </c>
      <c r="Z195" s="2">
        <v>200</v>
      </c>
      <c r="AA195" s="2">
        <f t="shared" si="27"/>
        <v>227.70000000000002</v>
      </c>
      <c r="AB195" s="2">
        <v>90</v>
      </c>
      <c r="AC195" s="2">
        <v>45</v>
      </c>
      <c r="AD195" s="49">
        <v>173</v>
      </c>
      <c r="AE195" s="2" t="s">
        <v>37</v>
      </c>
      <c r="AF195">
        <f t="shared" si="22"/>
        <v>3.6986301369863014E-2</v>
      </c>
    </row>
    <row r="196" spans="1:32" x14ac:dyDescent="0.25">
      <c r="A196" s="2">
        <v>193</v>
      </c>
      <c r="B196" s="16"/>
      <c r="C196" s="16" t="s">
        <v>270</v>
      </c>
      <c r="D196" s="2">
        <v>41.9</v>
      </c>
      <c r="E196" s="2">
        <v>300</v>
      </c>
      <c r="F196" s="2">
        <v>300</v>
      </c>
      <c r="G196" s="2">
        <f t="shared" si="35"/>
        <v>253</v>
      </c>
      <c r="H196" s="2">
        <f t="shared" si="33"/>
        <v>300</v>
      </c>
      <c r="I196" s="2">
        <v>0</v>
      </c>
      <c r="J196" s="2" t="s">
        <v>36</v>
      </c>
      <c r="K196" s="2">
        <f t="shared" si="31"/>
        <v>809.6</v>
      </c>
      <c r="L196" s="43">
        <v>3.2</v>
      </c>
      <c r="M196" s="2" t="s">
        <v>37</v>
      </c>
      <c r="N196" s="2">
        <v>0</v>
      </c>
      <c r="O196" s="2"/>
      <c r="P196" s="2"/>
      <c r="Q196" s="2"/>
      <c r="R196" s="2"/>
      <c r="S196" s="2" t="s">
        <v>140</v>
      </c>
      <c r="T196" s="2" t="s">
        <v>43</v>
      </c>
      <c r="U196" s="2" t="s">
        <v>220</v>
      </c>
      <c r="V196" s="2">
        <v>73000</v>
      </c>
      <c r="W196" s="2">
        <v>8.7999999999999995E-2</v>
      </c>
      <c r="X196" s="2">
        <v>2700</v>
      </c>
      <c r="Y196" s="2">
        <v>200</v>
      </c>
      <c r="Z196" s="2">
        <v>200</v>
      </c>
      <c r="AA196" s="2">
        <f t="shared" si="27"/>
        <v>227.70000000000002</v>
      </c>
      <c r="AB196" s="2">
        <v>90</v>
      </c>
      <c r="AC196" s="2">
        <v>45</v>
      </c>
      <c r="AD196" s="49">
        <v>209</v>
      </c>
      <c r="AE196" s="2" t="s">
        <v>37</v>
      </c>
      <c r="AF196">
        <f t="shared" si="22"/>
        <v>3.6986301369863014E-2</v>
      </c>
    </row>
    <row r="197" spans="1:32" x14ac:dyDescent="0.25">
      <c r="A197" s="2">
        <v>194</v>
      </c>
      <c r="B197" s="16"/>
      <c r="C197" s="16" t="s">
        <v>271</v>
      </c>
      <c r="D197" s="2">
        <v>41.9</v>
      </c>
      <c r="E197" s="2">
        <v>300</v>
      </c>
      <c r="F197" s="2">
        <v>300</v>
      </c>
      <c r="G197" s="2">
        <f t="shared" si="35"/>
        <v>253</v>
      </c>
      <c r="H197" s="2">
        <f t="shared" si="33"/>
        <v>300</v>
      </c>
      <c r="I197" s="2">
        <v>0</v>
      </c>
      <c r="J197" s="2" t="s">
        <v>36</v>
      </c>
      <c r="K197" s="2">
        <f t="shared" si="31"/>
        <v>809.6</v>
      </c>
      <c r="L197" s="43">
        <v>3.2</v>
      </c>
      <c r="M197" s="2" t="s">
        <v>37</v>
      </c>
      <c r="N197" s="2">
        <v>0</v>
      </c>
      <c r="O197" s="2"/>
      <c r="P197" s="2"/>
      <c r="Q197" s="2"/>
      <c r="R197" s="2"/>
      <c r="S197" s="2" t="s">
        <v>140</v>
      </c>
      <c r="T197" s="2" t="s">
        <v>43</v>
      </c>
      <c r="U197" s="2" t="s">
        <v>220</v>
      </c>
      <c r="V197" s="2">
        <v>73000</v>
      </c>
      <c r="W197" s="2">
        <v>8.7999999999999995E-2</v>
      </c>
      <c r="X197" s="2">
        <v>2700</v>
      </c>
      <c r="Y197" s="2">
        <v>200</v>
      </c>
      <c r="Z197" s="2">
        <v>200</v>
      </c>
      <c r="AA197" s="2">
        <f t="shared" si="27"/>
        <v>227.70000000000002</v>
      </c>
      <c r="AB197" s="2">
        <v>90</v>
      </c>
      <c r="AC197" s="2">
        <v>45</v>
      </c>
      <c r="AD197" s="49">
        <v>224</v>
      </c>
      <c r="AE197" s="2" t="s">
        <v>37</v>
      </c>
      <c r="AF197">
        <f t="shared" ref="AF197:AF203" si="36">X197/V197</f>
        <v>3.6986301369863014E-2</v>
      </c>
    </row>
    <row r="198" spans="1:32" x14ac:dyDescent="0.25">
      <c r="A198" s="2">
        <v>195</v>
      </c>
      <c r="B198" s="16"/>
      <c r="C198" s="16" t="s">
        <v>272</v>
      </c>
      <c r="D198" s="2">
        <v>42.7</v>
      </c>
      <c r="E198" s="2">
        <v>300</v>
      </c>
      <c r="F198" s="2">
        <v>300</v>
      </c>
      <c r="G198" s="2">
        <f t="shared" si="35"/>
        <v>253</v>
      </c>
      <c r="H198" s="2">
        <f t="shared" si="33"/>
        <v>300</v>
      </c>
      <c r="I198" s="2">
        <v>0</v>
      </c>
      <c r="J198" s="2" t="s">
        <v>36</v>
      </c>
      <c r="K198" s="2">
        <f t="shared" si="31"/>
        <v>809.6</v>
      </c>
      <c r="L198" s="43">
        <v>3.2</v>
      </c>
      <c r="M198" s="2" t="s">
        <v>37</v>
      </c>
      <c r="N198" s="2">
        <v>0</v>
      </c>
      <c r="O198" s="2"/>
      <c r="P198" s="2"/>
      <c r="Q198" s="2"/>
      <c r="R198" s="2"/>
      <c r="S198" s="2" t="s">
        <v>140</v>
      </c>
      <c r="T198" s="2" t="s">
        <v>43</v>
      </c>
      <c r="U198" s="2" t="s">
        <v>220</v>
      </c>
      <c r="V198" s="2">
        <v>73000</v>
      </c>
      <c r="W198" s="2">
        <v>0.14399999999999999</v>
      </c>
      <c r="X198" s="2">
        <v>2700</v>
      </c>
      <c r="Y198" s="2">
        <v>200</v>
      </c>
      <c r="Z198" s="2">
        <v>200</v>
      </c>
      <c r="AA198" s="2">
        <f t="shared" si="27"/>
        <v>227.70000000000002</v>
      </c>
      <c r="AB198" s="2">
        <v>90</v>
      </c>
      <c r="AC198" s="2">
        <v>45</v>
      </c>
      <c r="AD198" s="49">
        <v>254</v>
      </c>
      <c r="AE198" s="2" t="s">
        <v>37</v>
      </c>
      <c r="AF198">
        <f t="shared" si="36"/>
        <v>3.6986301369863014E-2</v>
      </c>
    </row>
    <row r="199" spans="1:32" x14ac:dyDescent="0.25">
      <c r="A199" s="2">
        <v>196</v>
      </c>
      <c r="B199" s="16"/>
      <c r="C199" s="16" t="s">
        <v>273</v>
      </c>
      <c r="D199" s="2">
        <v>43.5</v>
      </c>
      <c r="E199" s="2">
        <v>600</v>
      </c>
      <c r="F199" s="2">
        <v>300</v>
      </c>
      <c r="G199" s="2">
        <f t="shared" si="35"/>
        <v>253</v>
      </c>
      <c r="H199" s="2">
        <f t="shared" si="33"/>
        <v>300</v>
      </c>
      <c r="I199" s="2">
        <v>0</v>
      </c>
      <c r="J199" s="2" t="s">
        <v>36</v>
      </c>
      <c r="K199" s="2">
        <f t="shared" si="31"/>
        <v>809.6</v>
      </c>
      <c r="L199" s="43">
        <v>3.2</v>
      </c>
      <c r="M199" s="2" t="s">
        <v>37</v>
      </c>
      <c r="N199" s="2">
        <v>0</v>
      </c>
      <c r="O199" s="2"/>
      <c r="P199" s="2"/>
      <c r="Q199" s="2"/>
      <c r="R199" s="2"/>
      <c r="S199" s="2" t="s">
        <v>140</v>
      </c>
      <c r="T199" s="2" t="s">
        <v>43</v>
      </c>
      <c r="U199" s="2" t="s">
        <v>220</v>
      </c>
      <c r="V199" s="2">
        <v>73000</v>
      </c>
      <c r="W199" s="2">
        <v>0.14399999999999999</v>
      </c>
      <c r="X199" s="2">
        <v>2700</v>
      </c>
      <c r="Y199" s="2">
        <v>200</v>
      </c>
      <c r="Z199" s="2">
        <v>200</v>
      </c>
      <c r="AA199" s="2">
        <f t="shared" si="27"/>
        <v>227.70000000000002</v>
      </c>
      <c r="AB199" s="2">
        <v>90</v>
      </c>
      <c r="AC199" s="2">
        <v>45</v>
      </c>
      <c r="AD199" s="49">
        <v>424</v>
      </c>
      <c r="AE199" s="2" t="s">
        <v>37</v>
      </c>
      <c r="AF199">
        <f t="shared" si="36"/>
        <v>3.6986301369863014E-2</v>
      </c>
    </row>
    <row r="200" spans="1:32" x14ac:dyDescent="0.25">
      <c r="A200" s="2">
        <v>197</v>
      </c>
      <c r="B200" s="16"/>
      <c r="C200" s="16" t="s">
        <v>274</v>
      </c>
      <c r="D200" s="2">
        <v>39.9</v>
      </c>
      <c r="E200" s="2">
        <v>450</v>
      </c>
      <c r="F200" s="2">
        <v>450</v>
      </c>
      <c r="G200" s="2">
        <f>F200-51</f>
        <v>399</v>
      </c>
      <c r="H200" s="2">
        <f t="shared" si="33"/>
        <v>450</v>
      </c>
      <c r="I200" s="2">
        <v>0</v>
      </c>
      <c r="J200" s="2" t="s">
        <v>36</v>
      </c>
      <c r="K200" s="2">
        <f t="shared" si="31"/>
        <v>1200.99</v>
      </c>
      <c r="L200" s="43">
        <v>3.01</v>
      </c>
      <c r="M200" s="2" t="s">
        <v>37</v>
      </c>
      <c r="N200" s="2">
        <v>0</v>
      </c>
      <c r="O200" s="2"/>
      <c r="P200" s="2"/>
      <c r="Q200" s="2"/>
      <c r="R200" s="2"/>
      <c r="S200" s="2" t="s">
        <v>140</v>
      </c>
      <c r="T200" s="2" t="s">
        <v>43</v>
      </c>
      <c r="U200" s="2" t="s">
        <v>220</v>
      </c>
      <c r="V200" s="2">
        <v>73000</v>
      </c>
      <c r="W200" s="2">
        <v>0.14399999999999999</v>
      </c>
      <c r="X200" s="2">
        <v>2700</v>
      </c>
      <c r="Y200" s="2">
        <v>200</v>
      </c>
      <c r="Z200" s="2">
        <v>200</v>
      </c>
      <c r="AA200" s="2">
        <f t="shared" si="27"/>
        <v>359.1</v>
      </c>
      <c r="AB200" s="2">
        <v>90</v>
      </c>
      <c r="AC200" s="2">
        <v>45</v>
      </c>
      <c r="AD200" s="49">
        <v>379</v>
      </c>
      <c r="AE200" s="2" t="s">
        <v>37</v>
      </c>
      <c r="AF200">
        <f t="shared" si="36"/>
        <v>3.6986301369863014E-2</v>
      </c>
    </row>
    <row r="201" spans="1:32" x14ac:dyDescent="0.25">
      <c r="A201" s="2">
        <v>198</v>
      </c>
      <c r="B201" s="16"/>
      <c r="C201" s="16" t="s">
        <v>275</v>
      </c>
      <c r="D201" s="2">
        <v>39.9</v>
      </c>
      <c r="E201" s="2">
        <v>550</v>
      </c>
      <c r="F201" s="2">
        <v>550</v>
      </c>
      <c r="G201" s="2">
        <f>F201-51</f>
        <v>499</v>
      </c>
      <c r="H201" s="2">
        <f t="shared" si="33"/>
        <v>550</v>
      </c>
      <c r="I201" s="2">
        <v>0</v>
      </c>
      <c r="J201" s="2" t="s">
        <v>36</v>
      </c>
      <c r="K201" s="2">
        <f t="shared" si="31"/>
        <v>1501.9899999999998</v>
      </c>
      <c r="L201" s="43">
        <v>3.01</v>
      </c>
      <c r="M201" s="2" t="s">
        <v>37</v>
      </c>
      <c r="N201" s="2">
        <v>0</v>
      </c>
      <c r="O201" s="2"/>
      <c r="P201" s="2"/>
      <c r="Q201" s="2"/>
      <c r="R201" s="2"/>
      <c r="S201" s="2" t="s">
        <v>140</v>
      </c>
      <c r="T201" s="2" t="s">
        <v>43</v>
      </c>
      <c r="U201" s="2" t="s">
        <v>220</v>
      </c>
      <c r="V201" s="2">
        <v>73000</v>
      </c>
      <c r="W201" s="2">
        <v>0.14399999999999999</v>
      </c>
      <c r="X201" s="2">
        <v>2700</v>
      </c>
      <c r="Y201" s="2">
        <v>200</v>
      </c>
      <c r="Z201" s="2">
        <v>200</v>
      </c>
      <c r="AA201" s="2">
        <f t="shared" si="27"/>
        <v>449.1</v>
      </c>
      <c r="AB201" s="2">
        <v>90</v>
      </c>
      <c r="AC201" s="2">
        <v>45</v>
      </c>
      <c r="AD201" s="49">
        <v>569</v>
      </c>
      <c r="AE201" s="2" t="s">
        <v>37</v>
      </c>
      <c r="AF201">
        <f t="shared" si="36"/>
        <v>3.6986301369863014E-2</v>
      </c>
    </row>
    <row r="202" spans="1:32" x14ac:dyDescent="0.25">
      <c r="A202" s="2">
        <v>199</v>
      </c>
      <c r="B202" s="16"/>
      <c r="C202" s="16" t="s">
        <v>276</v>
      </c>
      <c r="D202" s="2">
        <v>40.6</v>
      </c>
      <c r="E202" s="2">
        <v>550</v>
      </c>
      <c r="F202" s="2">
        <v>550</v>
      </c>
      <c r="G202" s="2">
        <f>F202-51</f>
        <v>499</v>
      </c>
      <c r="H202" s="2">
        <f t="shared" si="33"/>
        <v>550</v>
      </c>
      <c r="I202" s="2">
        <v>0</v>
      </c>
      <c r="J202" s="2" t="s">
        <v>36</v>
      </c>
      <c r="K202" s="2">
        <f t="shared" si="31"/>
        <v>1501.9899999999998</v>
      </c>
      <c r="L202" s="43">
        <v>3.01</v>
      </c>
      <c r="M202" s="2" t="s">
        <v>37</v>
      </c>
      <c r="N202" s="2">
        <v>0</v>
      </c>
      <c r="O202" s="2"/>
      <c r="P202" s="2"/>
      <c r="Q202" s="2"/>
      <c r="R202" s="2"/>
      <c r="S202" s="2" t="s">
        <v>140</v>
      </c>
      <c r="T202" s="2" t="s">
        <v>43</v>
      </c>
      <c r="U202" s="2" t="s">
        <v>220</v>
      </c>
      <c r="V202" s="2">
        <v>73000</v>
      </c>
      <c r="W202" s="2">
        <v>0.28799999999999998</v>
      </c>
      <c r="X202" s="2">
        <v>2700</v>
      </c>
      <c r="Y202" s="2">
        <v>200</v>
      </c>
      <c r="Z202" s="2">
        <v>200</v>
      </c>
      <c r="AA202" s="2">
        <f t="shared" si="27"/>
        <v>449.1</v>
      </c>
      <c r="AB202" s="2">
        <v>90</v>
      </c>
      <c r="AC202" s="2">
        <v>45</v>
      </c>
      <c r="AD202" s="49">
        <v>662</v>
      </c>
      <c r="AE202" s="2" t="s">
        <v>37</v>
      </c>
      <c r="AF202">
        <f t="shared" si="36"/>
        <v>3.6986301369863014E-2</v>
      </c>
    </row>
    <row r="203" spans="1:32" x14ac:dyDescent="0.25">
      <c r="A203" s="2">
        <v>200</v>
      </c>
      <c r="B203" s="16" t="s">
        <v>277</v>
      </c>
      <c r="C203" s="16" t="s">
        <v>278</v>
      </c>
      <c r="D203" s="2">
        <v>34.700000000000003</v>
      </c>
      <c r="E203" s="2">
        <v>200</v>
      </c>
      <c r="F203" s="2">
        <v>450</v>
      </c>
      <c r="G203" s="2">
        <v>395</v>
      </c>
      <c r="H203" s="2">
        <f t="shared" si="33"/>
        <v>450</v>
      </c>
      <c r="I203" s="2">
        <v>0</v>
      </c>
      <c r="J203" s="2" t="s">
        <v>36</v>
      </c>
      <c r="K203" s="2">
        <f t="shared" si="31"/>
        <v>1248.2</v>
      </c>
      <c r="L203" s="43">
        <v>3.16</v>
      </c>
      <c r="M203" s="16" t="s">
        <v>52</v>
      </c>
      <c r="N203" s="2">
        <v>6</v>
      </c>
      <c r="O203" s="2">
        <v>400</v>
      </c>
      <c r="P203" s="16">
        <v>200000</v>
      </c>
      <c r="Q203" s="2">
        <v>486.1</v>
      </c>
      <c r="R203" s="2">
        <f t="shared" ref="R203" si="37">100*2*3.1416*N203^2/4/O203/E203</f>
        <v>7.0685999999999985E-2</v>
      </c>
      <c r="S203" s="2" t="s">
        <v>38</v>
      </c>
      <c r="T203" s="2" t="s">
        <v>43</v>
      </c>
      <c r="U203" s="2" t="s">
        <v>220</v>
      </c>
      <c r="V203" s="2">
        <v>240000</v>
      </c>
      <c r="W203" s="2">
        <v>0.11</v>
      </c>
      <c r="X203" s="2">
        <v>3400</v>
      </c>
      <c r="Y203" s="2">
        <v>50</v>
      </c>
      <c r="Z203" s="2">
        <v>200</v>
      </c>
      <c r="AA203" s="2">
        <f t="shared" si="27"/>
        <v>355.5</v>
      </c>
      <c r="AB203" s="2">
        <v>90</v>
      </c>
      <c r="AC203" s="2">
        <v>45</v>
      </c>
      <c r="AD203" s="49">
        <v>236</v>
      </c>
      <c r="AE203" s="2" t="s">
        <v>37</v>
      </c>
      <c r="AF203">
        <f t="shared" si="36"/>
        <v>1.4166666666666666E-2</v>
      </c>
    </row>
    <row r="204" spans="1:32" x14ac:dyDescent="0.25">
      <c r="K204" s="2"/>
      <c r="L204" s="51"/>
    </row>
    <row r="205" spans="1:32" x14ac:dyDescent="0.25">
      <c r="K205" s="2"/>
      <c r="L205" s="51"/>
    </row>
  </sheetData>
  <phoneticPr fontId="16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37"/>
  <sheetViews>
    <sheetView topLeftCell="T1" workbookViewId="0">
      <pane ySplit="3" topLeftCell="A113" activePane="bottomLeft" state="frozen"/>
      <selection pane="bottomLeft" activeCell="Z138" sqref="Z138"/>
    </sheetView>
  </sheetViews>
  <sheetFormatPr defaultColWidth="8.85546875" defaultRowHeight="15" x14ac:dyDescent="0.25"/>
  <cols>
    <col min="2" max="2" width="39.85546875" customWidth="1"/>
    <col min="3" max="3" width="15" customWidth="1"/>
    <col min="22" max="22" width="9" bestFit="1" customWidth="1"/>
  </cols>
  <sheetData>
    <row r="1" spans="1:32" x14ac:dyDescent="0.25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 x14ac:dyDescent="0.25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 x14ac:dyDescent="0.3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 x14ac:dyDescent="0.25">
      <c r="A4" s="16">
        <v>1</v>
      </c>
      <c r="B4" s="17"/>
      <c r="C4" s="2">
        <v>5</v>
      </c>
      <c r="D4" s="18">
        <v>24.1</v>
      </c>
      <c r="E4" s="18">
        <v>100</v>
      </c>
      <c r="F4" s="18">
        <v>200</v>
      </c>
      <c r="G4" s="18">
        <v>160</v>
      </c>
      <c r="H4" s="18">
        <v>200</v>
      </c>
      <c r="I4" s="18">
        <v>0</v>
      </c>
      <c r="J4" s="18" t="s">
        <v>36</v>
      </c>
      <c r="K4" s="18">
        <v>425</v>
      </c>
      <c r="L4" s="19">
        <f>K4/G4</f>
        <v>2.65625</v>
      </c>
      <c r="M4" s="17" t="s">
        <v>37</v>
      </c>
      <c r="N4" s="17"/>
      <c r="O4" s="17">
        <v>70</v>
      </c>
      <c r="P4" s="17">
        <v>200000</v>
      </c>
      <c r="Q4" s="17">
        <v>333.2</v>
      </c>
      <c r="R4" s="18"/>
      <c r="S4" s="18" t="s">
        <v>38</v>
      </c>
      <c r="T4" s="18" t="s">
        <v>39</v>
      </c>
      <c r="U4" s="18" t="s">
        <v>40</v>
      </c>
      <c r="V4" s="18">
        <v>230000</v>
      </c>
      <c r="W4" s="18">
        <v>9.7000000000000003E-2</v>
      </c>
      <c r="X4" s="18">
        <v>2454</v>
      </c>
      <c r="Y4" s="18">
        <v>100</v>
      </c>
      <c r="Z4" s="18">
        <v>100</v>
      </c>
      <c r="AA4" s="20">
        <f>0.9*G4</f>
        <v>144</v>
      </c>
      <c r="AB4" s="18">
        <v>90</v>
      </c>
      <c r="AC4" s="21">
        <v>45</v>
      </c>
      <c r="AD4" s="22">
        <v>44.59</v>
      </c>
      <c r="AE4" s="22">
        <v>20.100000000000001</v>
      </c>
    </row>
    <row r="5" spans="1:32" x14ac:dyDescent="0.25">
      <c r="A5" s="16">
        <f t="shared" ref="A5:A68" si="1">A4+1</f>
        <v>2</v>
      </c>
      <c r="B5" s="17" t="s">
        <v>41</v>
      </c>
      <c r="C5" s="2">
        <v>6</v>
      </c>
      <c r="D5" s="18">
        <v>26.9</v>
      </c>
      <c r="E5" s="18">
        <v>100</v>
      </c>
      <c r="F5" s="18">
        <v>200</v>
      </c>
      <c r="G5" s="18">
        <v>160</v>
      </c>
      <c r="H5" s="18">
        <v>200</v>
      </c>
      <c r="I5" s="18">
        <v>0</v>
      </c>
      <c r="J5" s="18" t="s">
        <v>36</v>
      </c>
      <c r="K5" s="18">
        <v>425</v>
      </c>
      <c r="L5" s="19">
        <f>K5/G5</f>
        <v>2.65625</v>
      </c>
      <c r="M5" s="17" t="s">
        <v>37</v>
      </c>
      <c r="N5" s="17"/>
      <c r="O5" s="17">
        <v>70</v>
      </c>
      <c r="P5" s="17">
        <v>200000</v>
      </c>
      <c r="Q5" s="17">
        <v>333.2</v>
      </c>
      <c r="R5" s="18"/>
      <c r="S5" s="18" t="s">
        <v>38</v>
      </c>
      <c r="T5" s="18" t="s">
        <v>39</v>
      </c>
      <c r="U5" s="18" t="s">
        <v>40</v>
      </c>
      <c r="V5" s="18">
        <v>230000</v>
      </c>
      <c r="W5" s="18">
        <v>9.7000000000000003E-2</v>
      </c>
      <c r="X5" s="18">
        <v>2454</v>
      </c>
      <c r="Y5" s="18">
        <v>100</v>
      </c>
      <c r="Z5" s="18">
        <v>141.42135619999999</v>
      </c>
      <c r="AA5" s="20">
        <f>0.9*G5</f>
        <v>144</v>
      </c>
      <c r="AB5" s="18">
        <v>45</v>
      </c>
      <c r="AC5" s="18">
        <v>45</v>
      </c>
      <c r="AD5" s="22">
        <v>56.84</v>
      </c>
      <c r="AE5" s="22">
        <v>31.4</v>
      </c>
    </row>
    <row r="6" spans="1:32" x14ac:dyDescent="0.25">
      <c r="A6" s="16">
        <f t="shared" si="1"/>
        <v>3</v>
      </c>
      <c r="B6" s="17"/>
      <c r="C6" s="2">
        <v>7</v>
      </c>
      <c r="D6" s="18">
        <v>26.9</v>
      </c>
      <c r="E6" s="18">
        <v>100</v>
      </c>
      <c r="F6" s="18">
        <v>200</v>
      </c>
      <c r="G6" s="18">
        <v>160</v>
      </c>
      <c r="H6" s="18">
        <v>200</v>
      </c>
      <c r="I6" s="18">
        <v>0</v>
      </c>
      <c r="J6" s="18" t="s">
        <v>36</v>
      </c>
      <c r="K6" s="18">
        <v>425</v>
      </c>
      <c r="L6" s="19">
        <f>K6/G6</f>
        <v>2.65625</v>
      </c>
      <c r="M6" s="17" t="s">
        <v>37</v>
      </c>
      <c r="N6" s="17"/>
      <c r="O6" s="17">
        <v>70</v>
      </c>
      <c r="P6" s="17">
        <v>200000</v>
      </c>
      <c r="Q6" s="17">
        <v>333.2</v>
      </c>
      <c r="R6" s="18"/>
      <c r="S6" s="18" t="s">
        <v>38</v>
      </c>
      <c r="T6" s="18" t="s">
        <v>39</v>
      </c>
      <c r="U6" s="18" t="s">
        <v>40</v>
      </c>
      <c r="V6" s="18">
        <v>230000</v>
      </c>
      <c r="W6" s="18">
        <v>0.19400000000000001</v>
      </c>
      <c r="X6" s="18">
        <v>2454</v>
      </c>
      <c r="Y6" s="18">
        <v>100</v>
      </c>
      <c r="Z6" s="18">
        <v>100</v>
      </c>
      <c r="AA6" s="20">
        <f>0.9*G6</f>
        <v>144</v>
      </c>
      <c r="AB6" s="18">
        <v>90</v>
      </c>
      <c r="AC6" s="18">
        <v>45</v>
      </c>
      <c r="AD6" s="22">
        <v>44.59</v>
      </c>
      <c r="AE6" s="22">
        <v>19.2</v>
      </c>
    </row>
    <row r="7" spans="1:32" x14ac:dyDescent="0.25">
      <c r="A7" s="2">
        <f t="shared" si="1"/>
        <v>4</v>
      </c>
      <c r="B7" s="23"/>
      <c r="C7" s="2" t="s">
        <v>42</v>
      </c>
      <c r="D7" s="18">
        <v>37.700000000000003</v>
      </c>
      <c r="E7" s="18">
        <v>150</v>
      </c>
      <c r="F7" s="18">
        <v>150</v>
      </c>
      <c r="G7" s="18">
        <v>113</v>
      </c>
      <c r="H7" s="18">
        <v>150</v>
      </c>
      <c r="I7" s="18">
        <v>0</v>
      </c>
      <c r="J7" s="18" t="s">
        <v>36</v>
      </c>
      <c r="K7" s="18">
        <v>400</v>
      </c>
      <c r="L7" s="19">
        <f t="shared" ref="L7:L36" si="2">K7/G7</f>
        <v>3.5398230088495577</v>
      </c>
      <c r="M7" s="23" t="s">
        <v>18</v>
      </c>
      <c r="N7" s="18">
        <v>6</v>
      </c>
      <c r="O7" s="18">
        <v>200</v>
      </c>
      <c r="P7" s="18">
        <v>200000</v>
      </c>
      <c r="Q7" s="18">
        <v>450</v>
      </c>
      <c r="R7" s="18">
        <f t="shared" ref="R7:R47" si="3">100*2*3.1416*N7^2/4/O7/E7</f>
        <v>0.18849599999999997</v>
      </c>
      <c r="S7" s="16" t="s">
        <v>38</v>
      </c>
      <c r="T7" s="18" t="s">
        <v>43</v>
      </c>
      <c r="U7" s="18" t="s">
        <v>40</v>
      </c>
      <c r="V7" s="18">
        <v>16000</v>
      </c>
      <c r="W7" s="18">
        <v>3</v>
      </c>
      <c r="X7" s="18">
        <v>200</v>
      </c>
      <c r="Y7" s="18">
        <v>20</v>
      </c>
      <c r="Z7" s="18">
        <v>50</v>
      </c>
      <c r="AA7" s="20">
        <f>0.9*G7</f>
        <v>101.7</v>
      </c>
      <c r="AB7" s="18">
        <v>90</v>
      </c>
      <c r="AC7" s="18">
        <v>45</v>
      </c>
      <c r="AD7" s="22">
        <v>41.5</v>
      </c>
      <c r="AE7" s="22">
        <v>8.15</v>
      </c>
    </row>
    <row r="8" spans="1:32" x14ac:dyDescent="0.25">
      <c r="A8" s="2">
        <f t="shared" si="1"/>
        <v>5</v>
      </c>
      <c r="B8" s="23" t="s">
        <v>44</v>
      </c>
      <c r="C8" s="2" t="s">
        <v>45</v>
      </c>
      <c r="D8" s="18">
        <v>37.700000000000003</v>
      </c>
      <c r="E8" s="18">
        <v>150</v>
      </c>
      <c r="F8" s="18">
        <v>150</v>
      </c>
      <c r="G8" s="18">
        <v>113</v>
      </c>
      <c r="H8" s="18">
        <v>150</v>
      </c>
      <c r="I8" s="18">
        <v>0</v>
      </c>
      <c r="J8" s="18" t="s">
        <v>36</v>
      </c>
      <c r="K8" s="18">
        <v>400</v>
      </c>
      <c r="L8" s="19">
        <f t="shared" si="2"/>
        <v>3.5398230088495577</v>
      </c>
      <c r="M8" s="23" t="s">
        <v>18</v>
      </c>
      <c r="N8" s="18">
        <v>6</v>
      </c>
      <c r="O8" s="18">
        <v>200</v>
      </c>
      <c r="P8" s="18">
        <v>200000</v>
      </c>
      <c r="Q8" s="18">
        <v>450</v>
      </c>
      <c r="R8" s="18">
        <f t="shared" si="3"/>
        <v>0.18849599999999997</v>
      </c>
      <c r="S8" s="16" t="s">
        <v>38</v>
      </c>
      <c r="T8" s="18" t="s">
        <v>43</v>
      </c>
      <c r="U8" s="18" t="s">
        <v>40</v>
      </c>
      <c r="V8" s="18">
        <v>16000</v>
      </c>
      <c r="W8" s="18">
        <v>3</v>
      </c>
      <c r="X8" s="18">
        <v>200</v>
      </c>
      <c r="Y8" s="18">
        <v>20</v>
      </c>
      <c r="Z8" s="18">
        <v>50</v>
      </c>
      <c r="AA8" s="20">
        <f>0.9*G8</f>
        <v>101.7</v>
      </c>
      <c r="AB8" s="18">
        <v>90</v>
      </c>
      <c r="AC8" s="18">
        <v>45</v>
      </c>
      <c r="AD8" s="22">
        <v>41.2</v>
      </c>
      <c r="AE8" s="22">
        <v>7.85</v>
      </c>
    </row>
    <row r="9" spans="1:32" x14ac:dyDescent="0.25">
      <c r="A9" s="2">
        <f t="shared" si="1"/>
        <v>6</v>
      </c>
      <c r="B9" s="23"/>
      <c r="C9" s="2" t="s">
        <v>46</v>
      </c>
      <c r="D9" s="18">
        <v>37.700000000000003</v>
      </c>
      <c r="E9" s="18">
        <v>150</v>
      </c>
      <c r="F9" s="18">
        <v>150</v>
      </c>
      <c r="G9" s="18">
        <v>113</v>
      </c>
      <c r="H9" s="18">
        <v>135</v>
      </c>
      <c r="I9" s="18">
        <v>15</v>
      </c>
      <c r="J9" s="18" t="s">
        <v>36</v>
      </c>
      <c r="K9" s="18">
        <v>400</v>
      </c>
      <c r="L9" s="19">
        <f t="shared" si="2"/>
        <v>3.5398230088495577</v>
      </c>
      <c r="M9" s="23" t="s">
        <v>18</v>
      </c>
      <c r="N9" s="18">
        <v>6</v>
      </c>
      <c r="O9" s="18">
        <v>200</v>
      </c>
      <c r="P9" s="18">
        <v>200000</v>
      </c>
      <c r="Q9" s="18">
        <v>450</v>
      </c>
      <c r="R9" s="18">
        <f t="shared" si="3"/>
        <v>0.18849599999999997</v>
      </c>
      <c r="S9" s="16" t="s">
        <v>38</v>
      </c>
      <c r="T9" s="18" t="s">
        <v>39</v>
      </c>
      <c r="U9" s="18" t="s">
        <v>40</v>
      </c>
      <c r="V9" s="18">
        <v>16000</v>
      </c>
      <c r="W9" s="18">
        <v>3</v>
      </c>
      <c r="X9" s="18">
        <v>200</v>
      </c>
      <c r="Y9" s="18">
        <v>20</v>
      </c>
      <c r="Z9" s="18">
        <v>20</v>
      </c>
      <c r="AA9" s="20">
        <v>71.7</v>
      </c>
      <c r="AB9" s="18">
        <v>90</v>
      </c>
      <c r="AC9" s="18">
        <v>45</v>
      </c>
      <c r="AD9" s="22">
        <v>42</v>
      </c>
      <c r="AE9" s="22">
        <v>8.65</v>
      </c>
    </row>
    <row r="10" spans="1:32" x14ac:dyDescent="0.25">
      <c r="A10" s="2">
        <f t="shared" si="1"/>
        <v>7</v>
      </c>
      <c r="B10" s="23"/>
      <c r="C10" s="2" t="s">
        <v>47</v>
      </c>
      <c r="D10" s="18">
        <v>37.700000000000003</v>
      </c>
      <c r="E10" s="18">
        <v>150</v>
      </c>
      <c r="F10" s="18">
        <v>150</v>
      </c>
      <c r="G10" s="18">
        <v>113</v>
      </c>
      <c r="H10" s="18">
        <v>135</v>
      </c>
      <c r="I10" s="18">
        <v>15</v>
      </c>
      <c r="J10" s="18" t="s">
        <v>36</v>
      </c>
      <c r="K10" s="18">
        <v>400</v>
      </c>
      <c r="L10" s="19">
        <f t="shared" si="2"/>
        <v>3.5398230088495577</v>
      </c>
      <c r="M10" s="23" t="s">
        <v>18</v>
      </c>
      <c r="N10" s="18">
        <v>6</v>
      </c>
      <c r="O10" s="18">
        <v>200</v>
      </c>
      <c r="P10" s="18">
        <v>200000</v>
      </c>
      <c r="Q10" s="18">
        <v>450</v>
      </c>
      <c r="R10" s="18">
        <f t="shared" si="3"/>
        <v>0.18849599999999997</v>
      </c>
      <c r="S10" s="16" t="s">
        <v>38</v>
      </c>
      <c r="T10" s="18" t="s">
        <v>39</v>
      </c>
      <c r="U10" s="18" t="s">
        <v>40</v>
      </c>
      <c r="V10" s="18">
        <v>16000</v>
      </c>
      <c r="W10" s="18">
        <v>3</v>
      </c>
      <c r="X10" s="18">
        <v>200</v>
      </c>
      <c r="Y10" s="18">
        <v>20</v>
      </c>
      <c r="Z10" s="18">
        <v>20</v>
      </c>
      <c r="AA10" s="20">
        <v>71.7</v>
      </c>
      <c r="AB10" s="18">
        <v>90</v>
      </c>
      <c r="AC10" s="18">
        <v>45</v>
      </c>
      <c r="AD10" s="22">
        <v>45.2</v>
      </c>
      <c r="AE10" s="22">
        <v>11.85</v>
      </c>
    </row>
    <row r="11" spans="1:32" x14ac:dyDescent="0.25">
      <c r="A11" s="16">
        <f t="shared" si="1"/>
        <v>8</v>
      </c>
      <c r="B11" s="17"/>
      <c r="C11" s="2" t="s">
        <v>48</v>
      </c>
      <c r="D11" s="18">
        <v>45.2</v>
      </c>
      <c r="E11" s="18">
        <v>200</v>
      </c>
      <c r="F11" s="18">
        <v>300</v>
      </c>
      <c r="G11" s="18">
        <v>260</v>
      </c>
      <c r="H11" s="18">
        <v>300</v>
      </c>
      <c r="I11" s="18">
        <v>0</v>
      </c>
      <c r="J11" s="18" t="s">
        <v>36</v>
      </c>
      <c r="K11" s="18">
        <v>700</v>
      </c>
      <c r="L11" s="19">
        <f t="shared" si="2"/>
        <v>2.6923076923076925</v>
      </c>
      <c r="M11" s="17" t="s">
        <v>37</v>
      </c>
      <c r="N11" s="17"/>
      <c r="O11" s="17">
        <v>120</v>
      </c>
      <c r="P11" s="17">
        <v>197000</v>
      </c>
      <c r="Q11" s="17">
        <v>390</v>
      </c>
      <c r="R11" s="18"/>
      <c r="S11" s="18" t="s">
        <v>38</v>
      </c>
      <c r="T11" s="18" t="s">
        <v>43</v>
      </c>
      <c r="U11" s="18" t="s">
        <v>40</v>
      </c>
      <c r="V11" s="18">
        <v>230000</v>
      </c>
      <c r="W11" s="18">
        <v>0.11</v>
      </c>
      <c r="X11" s="18">
        <v>3480</v>
      </c>
      <c r="Y11" s="18">
        <v>30</v>
      </c>
      <c r="Z11" s="18">
        <v>60</v>
      </c>
      <c r="AA11" s="20">
        <f t="shared" ref="AA11:AA38" si="4">0.9*G11</f>
        <v>234</v>
      </c>
      <c r="AB11" s="18">
        <v>90</v>
      </c>
      <c r="AC11" s="18">
        <v>45</v>
      </c>
      <c r="AD11" s="22">
        <v>80.25</v>
      </c>
      <c r="AE11" s="22">
        <v>34.200000000000003</v>
      </c>
    </row>
    <row r="12" spans="1:32" x14ac:dyDescent="0.25">
      <c r="A12" s="16">
        <f t="shared" si="1"/>
        <v>9</v>
      </c>
      <c r="B12" s="17" t="s">
        <v>49</v>
      </c>
      <c r="C12" s="2" t="s">
        <v>50</v>
      </c>
      <c r="D12" s="18">
        <v>37.5</v>
      </c>
      <c r="E12" s="18">
        <v>200</v>
      </c>
      <c r="F12" s="18">
        <v>300</v>
      </c>
      <c r="G12" s="18">
        <v>260</v>
      </c>
      <c r="H12" s="18">
        <v>300</v>
      </c>
      <c r="I12" s="18">
        <v>0</v>
      </c>
      <c r="J12" s="18" t="s">
        <v>36</v>
      </c>
      <c r="K12" s="18">
        <v>700</v>
      </c>
      <c r="L12" s="19">
        <f t="shared" si="2"/>
        <v>2.6923076923076925</v>
      </c>
      <c r="M12" s="17" t="s">
        <v>37</v>
      </c>
      <c r="N12" s="17"/>
      <c r="O12" s="17">
        <v>120</v>
      </c>
      <c r="P12" s="17">
        <v>197000</v>
      </c>
      <c r="Q12" s="17">
        <v>390</v>
      </c>
      <c r="R12" s="18"/>
      <c r="S12" s="18" t="s">
        <v>38</v>
      </c>
      <c r="T12" s="18" t="s">
        <v>39</v>
      </c>
      <c r="U12" s="18" t="s">
        <v>40</v>
      </c>
      <c r="V12" s="18">
        <v>230000</v>
      </c>
      <c r="W12" s="18">
        <v>0.11</v>
      </c>
      <c r="X12" s="18">
        <v>3480</v>
      </c>
      <c r="Y12" s="18">
        <v>30</v>
      </c>
      <c r="Z12" s="18">
        <v>30</v>
      </c>
      <c r="AA12" s="20">
        <f t="shared" si="4"/>
        <v>234</v>
      </c>
      <c r="AB12" s="18">
        <v>90</v>
      </c>
      <c r="AC12" s="18">
        <v>45</v>
      </c>
      <c r="AD12" s="22">
        <v>78.150000000000006</v>
      </c>
      <c r="AE12" s="22">
        <v>32.1</v>
      </c>
    </row>
    <row r="13" spans="1:32" x14ac:dyDescent="0.25">
      <c r="A13" s="2">
        <f t="shared" si="1"/>
        <v>10</v>
      </c>
      <c r="B13" s="23"/>
      <c r="C13" s="2" t="s">
        <v>51</v>
      </c>
      <c r="D13" s="18">
        <v>39.200000000000003</v>
      </c>
      <c r="E13" s="18">
        <v>200</v>
      </c>
      <c r="F13" s="18">
        <v>200</v>
      </c>
      <c r="G13" s="18">
        <v>160</v>
      </c>
      <c r="H13" s="18">
        <v>200</v>
      </c>
      <c r="I13" s="18">
        <v>0</v>
      </c>
      <c r="J13" s="18" t="s">
        <v>36</v>
      </c>
      <c r="K13" s="18">
        <v>650</v>
      </c>
      <c r="L13" s="19">
        <f t="shared" si="2"/>
        <v>4.0625</v>
      </c>
      <c r="M13" s="23" t="s">
        <v>52</v>
      </c>
      <c r="N13" s="18">
        <v>3</v>
      </c>
      <c r="O13" s="18">
        <v>100</v>
      </c>
      <c r="P13" s="18">
        <v>178360</v>
      </c>
      <c r="Q13" s="18">
        <v>132.30000000000001</v>
      </c>
      <c r="R13" s="18">
        <f t="shared" si="3"/>
        <v>7.0685999999999985E-2</v>
      </c>
      <c r="S13" s="18" t="s">
        <v>38</v>
      </c>
      <c r="T13" s="18" t="s">
        <v>39</v>
      </c>
      <c r="U13" s="18" t="s">
        <v>40</v>
      </c>
      <c r="V13" s="18">
        <v>284200</v>
      </c>
      <c r="W13" s="24">
        <f>0.097*1</f>
        <v>9.7000000000000003E-2</v>
      </c>
      <c r="X13" s="18">
        <v>3430</v>
      </c>
      <c r="Y13" s="18">
        <v>100</v>
      </c>
      <c r="Z13" s="18">
        <v>100</v>
      </c>
      <c r="AA13" s="20">
        <f t="shared" si="4"/>
        <v>144</v>
      </c>
      <c r="AB13" s="18">
        <v>90</v>
      </c>
      <c r="AC13" s="18">
        <v>45</v>
      </c>
      <c r="AD13" s="22">
        <v>84.67</v>
      </c>
      <c r="AE13" s="22">
        <v>31.1</v>
      </c>
    </row>
    <row r="14" spans="1:32" x14ac:dyDescent="0.25">
      <c r="A14" s="2">
        <f t="shared" si="1"/>
        <v>11</v>
      </c>
      <c r="B14" s="23" t="s">
        <v>53</v>
      </c>
      <c r="C14" s="2" t="s">
        <v>54</v>
      </c>
      <c r="D14" s="18">
        <v>39.200000000000003</v>
      </c>
      <c r="E14" s="18">
        <v>200</v>
      </c>
      <c r="F14" s="18">
        <v>200</v>
      </c>
      <c r="G14" s="18">
        <v>160</v>
      </c>
      <c r="H14" s="18">
        <v>200</v>
      </c>
      <c r="I14" s="18">
        <v>0</v>
      </c>
      <c r="J14" s="18" t="s">
        <v>36</v>
      </c>
      <c r="K14" s="18">
        <v>650</v>
      </c>
      <c r="L14" s="19">
        <f t="shared" si="2"/>
        <v>4.0625</v>
      </c>
      <c r="M14" s="23" t="s">
        <v>52</v>
      </c>
      <c r="N14" s="18">
        <v>3</v>
      </c>
      <c r="O14" s="18">
        <v>100</v>
      </c>
      <c r="P14" s="18">
        <v>178360</v>
      </c>
      <c r="Q14" s="18">
        <v>132.30000000000001</v>
      </c>
      <c r="R14" s="18">
        <f t="shared" si="3"/>
        <v>7.0685999999999985E-2</v>
      </c>
      <c r="S14" s="18" t="s">
        <v>38</v>
      </c>
      <c r="T14" s="18" t="s">
        <v>39</v>
      </c>
      <c r="U14" s="18" t="s">
        <v>40</v>
      </c>
      <c r="V14" s="18">
        <v>284200</v>
      </c>
      <c r="W14" s="24">
        <f>0.097*1</f>
        <v>9.7000000000000003E-2</v>
      </c>
      <c r="X14" s="18">
        <v>3430</v>
      </c>
      <c r="Y14" s="18">
        <v>100</v>
      </c>
      <c r="Z14" s="18">
        <v>100</v>
      </c>
      <c r="AA14" s="20">
        <f t="shared" si="4"/>
        <v>144</v>
      </c>
      <c r="AB14" s="18">
        <v>90</v>
      </c>
      <c r="AC14" s="18">
        <v>45</v>
      </c>
      <c r="AD14" s="22">
        <v>78.95</v>
      </c>
      <c r="AE14" s="22">
        <v>22.1</v>
      </c>
    </row>
    <row r="15" spans="1:32" x14ac:dyDescent="0.25">
      <c r="A15" s="2">
        <f t="shared" si="1"/>
        <v>12</v>
      </c>
      <c r="B15" s="23"/>
      <c r="C15" s="2" t="s">
        <v>55</v>
      </c>
      <c r="D15" s="18">
        <v>39.200000000000003</v>
      </c>
      <c r="E15" s="18">
        <v>200</v>
      </c>
      <c r="F15" s="18">
        <v>200</v>
      </c>
      <c r="G15" s="18">
        <v>160</v>
      </c>
      <c r="H15" s="18">
        <v>200</v>
      </c>
      <c r="I15" s="18">
        <v>0</v>
      </c>
      <c r="J15" s="18" t="s">
        <v>36</v>
      </c>
      <c r="K15" s="18">
        <v>650</v>
      </c>
      <c r="L15" s="19">
        <f t="shared" si="2"/>
        <v>4.0625</v>
      </c>
      <c r="M15" s="23" t="s">
        <v>52</v>
      </c>
      <c r="N15" s="18">
        <v>3</v>
      </c>
      <c r="O15" s="18">
        <v>100</v>
      </c>
      <c r="P15" s="18">
        <v>178360</v>
      </c>
      <c r="Q15" s="18">
        <v>132.30000000000001</v>
      </c>
      <c r="R15" s="18">
        <f t="shared" si="3"/>
        <v>7.0685999999999985E-2</v>
      </c>
      <c r="S15" s="18" t="s">
        <v>38</v>
      </c>
      <c r="T15" s="18" t="s">
        <v>39</v>
      </c>
      <c r="U15" s="18" t="s">
        <v>40</v>
      </c>
      <c r="V15" s="18">
        <v>284200</v>
      </c>
      <c r="W15" s="24">
        <f>0.097*1</f>
        <v>9.7000000000000003E-2</v>
      </c>
      <c r="X15" s="18">
        <v>3430</v>
      </c>
      <c r="Y15" s="18">
        <v>100</v>
      </c>
      <c r="Z15" s="18">
        <v>100</v>
      </c>
      <c r="AA15" s="20">
        <f t="shared" si="4"/>
        <v>144</v>
      </c>
      <c r="AB15" s="18">
        <v>90</v>
      </c>
      <c r="AC15" s="18">
        <v>45</v>
      </c>
      <c r="AD15" s="22">
        <v>78.2</v>
      </c>
      <c r="AE15" s="22">
        <v>24.7</v>
      </c>
    </row>
    <row r="16" spans="1:32" x14ac:dyDescent="0.25">
      <c r="A16" s="2">
        <f t="shared" si="1"/>
        <v>13</v>
      </c>
      <c r="B16" s="23"/>
      <c r="C16" s="2" t="s">
        <v>56</v>
      </c>
      <c r="D16" s="18">
        <v>39.200000000000003</v>
      </c>
      <c r="E16" s="18">
        <v>200</v>
      </c>
      <c r="F16" s="18">
        <v>200</v>
      </c>
      <c r="G16" s="18">
        <v>160</v>
      </c>
      <c r="H16" s="18">
        <v>200</v>
      </c>
      <c r="I16" s="18">
        <v>0</v>
      </c>
      <c r="J16" s="18" t="s">
        <v>36</v>
      </c>
      <c r="K16" s="18">
        <v>650</v>
      </c>
      <c r="L16" s="19">
        <f t="shared" si="2"/>
        <v>4.0625</v>
      </c>
      <c r="M16" s="23" t="s">
        <v>52</v>
      </c>
      <c r="N16" s="18">
        <v>3</v>
      </c>
      <c r="O16" s="18">
        <v>100</v>
      </c>
      <c r="P16" s="18">
        <v>178360</v>
      </c>
      <c r="Q16" s="18">
        <v>132.30000000000001</v>
      </c>
      <c r="R16" s="18">
        <f t="shared" si="3"/>
        <v>7.0685999999999985E-2</v>
      </c>
      <c r="S16" s="18" t="s">
        <v>38</v>
      </c>
      <c r="T16" s="18" t="s">
        <v>39</v>
      </c>
      <c r="U16" s="18" t="s">
        <v>40</v>
      </c>
      <c r="V16" s="18">
        <v>284200</v>
      </c>
      <c r="W16" s="24">
        <f>0.097*1</f>
        <v>9.7000000000000003E-2</v>
      </c>
      <c r="X16" s="18">
        <v>3430</v>
      </c>
      <c r="Y16" s="18">
        <v>100</v>
      </c>
      <c r="Z16" s="18">
        <v>100</v>
      </c>
      <c r="AA16" s="20">
        <f t="shared" si="4"/>
        <v>144</v>
      </c>
      <c r="AB16" s="18">
        <v>90</v>
      </c>
      <c r="AC16" s="18">
        <v>45</v>
      </c>
      <c r="AD16" s="22">
        <v>79.183999999999997</v>
      </c>
      <c r="AE16" s="22">
        <v>25.6</v>
      </c>
    </row>
    <row r="17" spans="1:31" x14ac:dyDescent="0.25">
      <c r="A17" s="2">
        <f t="shared" si="1"/>
        <v>14</v>
      </c>
      <c r="B17" s="17"/>
      <c r="C17" s="2" t="s">
        <v>57</v>
      </c>
      <c r="D17" s="18">
        <v>28.5</v>
      </c>
      <c r="E17" s="18">
        <v>150</v>
      </c>
      <c r="F17" s="18">
        <v>250</v>
      </c>
      <c r="G17" s="18">
        <v>220</v>
      </c>
      <c r="H17" s="18">
        <v>250</v>
      </c>
      <c r="I17" s="18">
        <v>0</v>
      </c>
      <c r="J17" s="18" t="s">
        <v>36</v>
      </c>
      <c r="K17" s="18">
        <v>250</v>
      </c>
      <c r="L17" s="19">
        <f t="shared" si="2"/>
        <v>1.1363636363636365</v>
      </c>
      <c r="M17" s="20" t="s">
        <v>37</v>
      </c>
      <c r="N17" s="18"/>
      <c r="O17" s="18"/>
      <c r="P17" s="18"/>
      <c r="Q17" s="18"/>
      <c r="R17" s="18"/>
      <c r="S17" s="18" t="s">
        <v>38</v>
      </c>
      <c r="T17" s="18" t="s">
        <v>39</v>
      </c>
      <c r="U17" s="18" t="s">
        <v>40</v>
      </c>
      <c r="V17" s="18">
        <v>230000</v>
      </c>
      <c r="W17" s="18">
        <v>0.16700000000000001</v>
      </c>
      <c r="X17" s="18">
        <v>3430</v>
      </c>
      <c r="Y17" s="18">
        <v>50</v>
      </c>
      <c r="Z17" s="18">
        <v>50</v>
      </c>
      <c r="AA17" s="20">
        <f t="shared" si="4"/>
        <v>198</v>
      </c>
      <c r="AB17" s="18">
        <v>90</v>
      </c>
      <c r="AC17" s="18">
        <v>45</v>
      </c>
      <c r="AD17" s="22">
        <v>134.35</v>
      </c>
      <c r="AE17" s="22">
        <f>40.2</f>
        <v>40.200000000000003</v>
      </c>
    </row>
    <row r="18" spans="1:31" x14ac:dyDescent="0.25">
      <c r="A18" s="2">
        <f t="shared" si="1"/>
        <v>15</v>
      </c>
      <c r="B18" s="17"/>
      <c r="C18" s="2" t="s">
        <v>58</v>
      </c>
      <c r="D18" s="18">
        <v>28.5</v>
      </c>
      <c r="E18" s="18">
        <v>150</v>
      </c>
      <c r="F18" s="18">
        <v>250</v>
      </c>
      <c r="G18" s="18">
        <v>220</v>
      </c>
      <c r="H18" s="18">
        <v>250</v>
      </c>
      <c r="I18" s="18">
        <v>0</v>
      </c>
      <c r="J18" s="18" t="s">
        <v>36</v>
      </c>
      <c r="K18" s="18">
        <v>250</v>
      </c>
      <c r="L18" s="19">
        <f t="shared" si="2"/>
        <v>1.1363636363636365</v>
      </c>
      <c r="M18" s="20" t="s">
        <v>37</v>
      </c>
      <c r="N18" s="18"/>
      <c r="O18" s="18"/>
      <c r="P18" s="18"/>
      <c r="Q18" s="18"/>
      <c r="R18" s="18"/>
      <c r="S18" s="18" t="s">
        <v>38</v>
      </c>
      <c r="T18" s="18" t="s">
        <v>39</v>
      </c>
      <c r="U18" s="18" t="s">
        <v>40</v>
      </c>
      <c r="V18" s="18">
        <v>230000</v>
      </c>
      <c r="W18" s="18">
        <v>0.16700000000000001</v>
      </c>
      <c r="X18" s="18">
        <v>3430</v>
      </c>
      <c r="Y18" s="18">
        <v>50</v>
      </c>
      <c r="Z18" s="18">
        <v>50</v>
      </c>
      <c r="AA18" s="20">
        <f t="shared" si="4"/>
        <v>198</v>
      </c>
      <c r="AB18" s="18">
        <v>90</v>
      </c>
      <c r="AC18" s="18">
        <v>45</v>
      </c>
      <c r="AD18" s="22">
        <v>137.30000000000001</v>
      </c>
      <c r="AE18" s="22">
        <f>43.15</f>
        <v>43.15</v>
      </c>
    </row>
    <row r="19" spans="1:31" x14ac:dyDescent="0.25">
      <c r="A19" s="2">
        <f t="shared" si="1"/>
        <v>16</v>
      </c>
      <c r="B19" s="17" t="s">
        <v>59</v>
      </c>
      <c r="C19" s="2" t="s">
        <v>60</v>
      </c>
      <c r="D19" s="18">
        <v>28.5</v>
      </c>
      <c r="E19" s="18">
        <v>150</v>
      </c>
      <c r="F19" s="18">
        <v>250</v>
      </c>
      <c r="G19" s="18">
        <v>220</v>
      </c>
      <c r="H19" s="18">
        <v>250</v>
      </c>
      <c r="I19" s="18">
        <v>0</v>
      </c>
      <c r="J19" s="18" t="s">
        <v>36</v>
      </c>
      <c r="K19" s="18">
        <v>250</v>
      </c>
      <c r="L19" s="19">
        <f t="shared" si="2"/>
        <v>1.1363636363636365</v>
      </c>
      <c r="M19" s="20" t="s">
        <v>37</v>
      </c>
      <c r="N19" s="18"/>
      <c r="O19" s="18"/>
      <c r="P19" s="18"/>
      <c r="Q19" s="18"/>
      <c r="R19" s="18"/>
      <c r="S19" s="18" t="s">
        <v>38</v>
      </c>
      <c r="T19" s="18" t="s">
        <v>39</v>
      </c>
      <c r="U19" s="18" t="s">
        <v>40</v>
      </c>
      <c r="V19" s="18">
        <v>230000</v>
      </c>
      <c r="W19" s="18">
        <v>0.16700000000000001</v>
      </c>
      <c r="X19" s="18">
        <v>3430</v>
      </c>
      <c r="Y19" s="18">
        <v>50</v>
      </c>
      <c r="Z19" s="18">
        <v>50</v>
      </c>
      <c r="AA19" s="20">
        <f t="shared" si="4"/>
        <v>198</v>
      </c>
      <c r="AB19" s="18">
        <v>90</v>
      </c>
      <c r="AC19" s="18">
        <v>45</v>
      </c>
      <c r="AD19" s="22">
        <v>128.44999999999999</v>
      </c>
      <c r="AE19" s="22">
        <f>34.3</f>
        <v>34.299999999999997</v>
      </c>
    </row>
    <row r="20" spans="1:31" x14ac:dyDescent="0.25">
      <c r="A20" s="2">
        <f t="shared" si="1"/>
        <v>17</v>
      </c>
      <c r="B20" s="17"/>
      <c r="C20" s="2" t="s">
        <v>61</v>
      </c>
      <c r="D20" s="18">
        <v>28.5</v>
      </c>
      <c r="E20" s="18">
        <v>150</v>
      </c>
      <c r="F20" s="18">
        <v>250</v>
      </c>
      <c r="G20" s="18">
        <v>220</v>
      </c>
      <c r="H20" s="18">
        <v>250</v>
      </c>
      <c r="I20" s="18">
        <v>0</v>
      </c>
      <c r="J20" s="18" t="s">
        <v>36</v>
      </c>
      <c r="K20" s="18">
        <v>350</v>
      </c>
      <c r="L20" s="19">
        <f t="shared" si="2"/>
        <v>1.5909090909090908</v>
      </c>
      <c r="M20" s="20" t="s">
        <v>37</v>
      </c>
      <c r="N20" s="18"/>
      <c r="O20" s="18"/>
      <c r="P20" s="18"/>
      <c r="Q20" s="18"/>
      <c r="R20" s="18"/>
      <c r="S20" s="18" t="s">
        <v>38</v>
      </c>
      <c r="T20" s="18" t="s">
        <v>39</v>
      </c>
      <c r="U20" s="18" t="s">
        <v>40</v>
      </c>
      <c r="V20" s="18">
        <v>230000</v>
      </c>
      <c r="W20" s="18">
        <v>0.16700000000000001</v>
      </c>
      <c r="X20" s="18">
        <v>3430</v>
      </c>
      <c r="Y20" s="18">
        <v>50</v>
      </c>
      <c r="Z20" s="18">
        <v>50</v>
      </c>
      <c r="AA20" s="20">
        <f t="shared" si="4"/>
        <v>198</v>
      </c>
      <c r="AB20" s="18">
        <v>90</v>
      </c>
      <c r="AC20" s="18">
        <v>45</v>
      </c>
      <c r="AD20" s="22">
        <v>126.5</v>
      </c>
      <c r="AE20" s="22">
        <f>55.4</f>
        <v>55.4</v>
      </c>
    </row>
    <row r="21" spans="1:31" x14ac:dyDescent="0.25">
      <c r="A21" s="2">
        <f t="shared" si="1"/>
        <v>18</v>
      </c>
      <c r="B21" s="17"/>
      <c r="C21" s="2" t="s">
        <v>62</v>
      </c>
      <c r="D21" s="18">
        <v>28.5</v>
      </c>
      <c r="E21" s="18">
        <v>150</v>
      </c>
      <c r="F21" s="18">
        <v>250</v>
      </c>
      <c r="G21" s="18">
        <v>220</v>
      </c>
      <c r="H21" s="18">
        <v>250</v>
      </c>
      <c r="I21" s="18">
        <v>0</v>
      </c>
      <c r="J21" s="18" t="s">
        <v>36</v>
      </c>
      <c r="K21" s="18">
        <v>350</v>
      </c>
      <c r="L21" s="19">
        <f t="shared" si="2"/>
        <v>1.5909090909090908</v>
      </c>
      <c r="M21" s="20" t="s">
        <v>37</v>
      </c>
      <c r="N21" s="18"/>
      <c r="O21" s="18"/>
      <c r="P21" s="18"/>
      <c r="Q21" s="18"/>
      <c r="R21" s="18"/>
      <c r="S21" s="18" t="s">
        <v>38</v>
      </c>
      <c r="T21" s="18" t="s">
        <v>39</v>
      </c>
      <c r="U21" s="18" t="s">
        <v>40</v>
      </c>
      <c r="V21" s="18">
        <v>230000</v>
      </c>
      <c r="W21" s="18">
        <v>0.16700000000000001</v>
      </c>
      <c r="X21" s="18">
        <v>3430</v>
      </c>
      <c r="Y21" s="18">
        <v>50</v>
      </c>
      <c r="Z21" s="18">
        <v>50</v>
      </c>
      <c r="AA21" s="20">
        <f t="shared" si="4"/>
        <v>198</v>
      </c>
      <c r="AB21" s="18">
        <v>90</v>
      </c>
      <c r="AC21" s="18">
        <v>45</v>
      </c>
      <c r="AD21" s="22">
        <v>108.85</v>
      </c>
      <c r="AE21" s="22">
        <f>37.75</f>
        <v>37.75</v>
      </c>
    </row>
    <row r="22" spans="1:31" x14ac:dyDescent="0.25">
      <c r="A22" s="2">
        <f t="shared" si="1"/>
        <v>19</v>
      </c>
      <c r="B22" s="17"/>
      <c r="C22" s="17" t="s">
        <v>63</v>
      </c>
      <c r="D22" s="17">
        <v>28.5</v>
      </c>
      <c r="E22" s="17">
        <v>150</v>
      </c>
      <c r="F22" s="17">
        <v>250</v>
      </c>
      <c r="G22" s="17">
        <v>220</v>
      </c>
      <c r="H22" s="17">
        <v>250</v>
      </c>
      <c r="I22" s="17">
        <v>0</v>
      </c>
      <c r="J22" s="17" t="s">
        <v>36</v>
      </c>
      <c r="K22" s="17">
        <v>350</v>
      </c>
      <c r="L22" s="25">
        <f t="shared" si="2"/>
        <v>1.5909090909090908</v>
      </c>
      <c r="M22" s="17" t="s">
        <v>37</v>
      </c>
      <c r="N22" s="17"/>
      <c r="O22" s="17"/>
      <c r="P22" s="17"/>
      <c r="Q22" s="17"/>
      <c r="R22" s="17"/>
      <c r="S22" s="17" t="s">
        <v>38</v>
      </c>
      <c r="T22" s="17" t="s">
        <v>39</v>
      </c>
      <c r="U22" s="18" t="s">
        <v>40</v>
      </c>
      <c r="V22" s="17">
        <v>230000</v>
      </c>
      <c r="W22" s="17">
        <v>0.16700000000000001</v>
      </c>
      <c r="X22" s="17">
        <v>3430</v>
      </c>
      <c r="Y22" s="17">
        <v>50</v>
      </c>
      <c r="Z22" s="17">
        <v>50</v>
      </c>
      <c r="AA22" s="17">
        <f t="shared" si="4"/>
        <v>198</v>
      </c>
      <c r="AB22" s="17">
        <v>90</v>
      </c>
      <c r="AC22" s="18">
        <v>45</v>
      </c>
      <c r="AD22" s="22">
        <v>88.75</v>
      </c>
      <c r="AE22" s="20">
        <f>17.65</f>
        <v>17.649999999999999</v>
      </c>
    </row>
    <row r="23" spans="1:31" x14ac:dyDescent="0.25">
      <c r="A23" s="26">
        <f t="shared" si="1"/>
        <v>20</v>
      </c>
      <c r="B23" s="23"/>
      <c r="C23" s="2" t="s">
        <v>64</v>
      </c>
      <c r="D23" s="18">
        <v>30</v>
      </c>
      <c r="E23" s="18">
        <v>70</v>
      </c>
      <c r="F23" s="18">
        <v>110</v>
      </c>
      <c r="G23" s="18">
        <v>100</v>
      </c>
      <c r="H23" s="18">
        <v>110</v>
      </c>
      <c r="I23" s="18">
        <v>0</v>
      </c>
      <c r="J23" s="18" t="s">
        <v>36</v>
      </c>
      <c r="K23" s="18">
        <v>320</v>
      </c>
      <c r="L23" s="19">
        <f t="shared" si="2"/>
        <v>3.2</v>
      </c>
      <c r="M23" s="18" t="s">
        <v>37</v>
      </c>
      <c r="N23" s="18">
        <v>0</v>
      </c>
      <c r="O23" s="18"/>
      <c r="P23" s="18"/>
      <c r="Q23" s="18"/>
      <c r="R23" s="18"/>
      <c r="S23" s="18" t="s">
        <v>38</v>
      </c>
      <c r="T23" s="18" t="s">
        <v>43</v>
      </c>
      <c r="U23" s="18" t="s">
        <v>40</v>
      </c>
      <c r="V23" s="24">
        <v>235000</v>
      </c>
      <c r="W23" s="27">
        <v>0.11</v>
      </c>
      <c r="X23" s="24">
        <v>3300</v>
      </c>
      <c r="Y23" s="28">
        <v>30</v>
      </c>
      <c r="Z23" s="18">
        <v>45</v>
      </c>
      <c r="AA23" s="20">
        <f t="shared" si="4"/>
        <v>90</v>
      </c>
      <c r="AB23" s="18">
        <v>90</v>
      </c>
      <c r="AC23" s="18">
        <v>45</v>
      </c>
      <c r="AD23" s="29">
        <f>43.5/2</f>
        <v>21.75</v>
      </c>
      <c r="AE23" s="22">
        <f>27.1/2</f>
        <v>13.55</v>
      </c>
    </row>
    <row r="24" spans="1:31" x14ac:dyDescent="0.25">
      <c r="A24" s="26">
        <f t="shared" si="1"/>
        <v>21</v>
      </c>
      <c r="B24" s="23"/>
      <c r="C24" s="2" t="s">
        <v>65</v>
      </c>
      <c r="D24" s="18">
        <v>30</v>
      </c>
      <c r="E24" s="18">
        <v>70</v>
      </c>
      <c r="F24" s="18">
        <v>110</v>
      </c>
      <c r="G24" s="18">
        <v>100</v>
      </c>
      <c r="H24" s="18">
        <v>110</v>
      </c>
      <c r="I24" s="18">
        <v>0</v>
      </c>
      <c r="J24" s="18" t="s">
        <v>36</v>
      </c>
      <c r="K24" s="18">
        <v>320</v>
      </c>
      <c r="L24" s="19">
        <f t="shared" si="2"/>
        <v>3.2</v>
      </c>
      <c r="M24" s="18" t="s">
        <v>37</v>
      </c>
      <c r="N24" s="18">
        <v>0</v>
      </c>
      <c r="O24" s="18"/>
      <c r="P24" s="18"/>
      <c r="Q24" s="18"/>
      <c r="R24" s="18"/>
      <c r="S24" s="18" t="s">
        <v>38</v>
      </c>
      <c r="T24" s="18" t="s">
        <v>43</v>
      </c>
      <c r="U24" s="18" t="s">
        <v>40</v>
      </c>
      <c r="V24" s="24">
        <v>235000</v>
      </c>
      <c r="W24" s="27">
        <f>W23</f>
        <v>0.11</v>
      </c>
      <c r="X24" s="24">
        <v>3300</v>
      </c>
      <c r="Y24" s="28">
        <f>Y23</f>
        <v>30</v>
      </c>
      <c r="Z24" s="18">
        <v>45</v>
      </c>
      <c r="AA24" s="20">
        <f t="shared" si="4"/>
        <v>90</v>
      </c>
      <c r="AB24" s="18">
        <v>90</v>
      </c>
      <c r="AC24" s="18">
        <v>45</v>
      </c>
      <c r="AD24" s="29">
        <f>38.9/2</f>
        <v>19.45</v>
      </c>
      <c r="AE24" s="22">
        <f>22.5/2</f>
        <v>11.25</v>
      </c>
    </row>
    <row r="25" spans="1:31" x14ac:dyDescent="0.25">
      <c r="A25" s="26">
        <f t="shared" si="1"/>
        <v>22</v>
      </c>
      <c r="B25" s="23"/>
      <c r="C25" s="2" t="s">
        <v>66</v>
      </c>
      <c r="D25" s="18">
        <v>30</v>
      </c>
      <c r="E25" s="18">
        <v>70</v>
      </c>
      <c r="F25" s="18">
        <v>110</v>
      </c>
      <c r="G25" s="18">
        <v>100</v>
      </c>
      <c r="H25" s="18">
        <v>110</v>
      </c>
      <c r="I25" s="18">
        <v>0</v>
      </c>
      <c r="J25" s="18" t="s">
        <v>36</v>
      </c>
      <c r="K25" s="18">
        <v>320</v>
      </c>
      <c r="L25" s="19">
        <f t="shared" si="2"/>
        <v>3.2</v>
      </c>
      <c r="M25" s="18" t="s">
        <v>37</v>
      </c>
      <c r="N25" s="18">
        <v>0</v>
      </c>
      <c r="O25" s="18"/>
      <c r="P25" s="18"/>
      <c r="Q25" s="18"/>
      <c r="R25" s="18"/>
      <c r="S25" s="18" t="s">
        <v>38</v>
      </c>
      <c r="T25" s="18" t="s">
        <v>43</v>
      </c>
      <c r="U25" s="18" t="s">
        <v>40</v>
      </c>
      <c r="V25" s="24">
        <v>235000</v>
      </c>
      <c r="W25" s="27">
        <f>W24</f>
        <v>0.11</v>
      </c>
      <c r="X25" s="24">
        <v>3300</v>
      </c>
      <c r="Y25" s="28">
        <f t="shared" ref="Y25:Y31" si="5">Y24</f>
        <v>30</v>
      </c>
      <c r="Z25" s="17">
        <f>Z24*1.41421</f>
        <v>63.639449999999997</v>
      </c>
      <c r="AA25" s="20">
        <f t="shared" si="4"/>
        <v>90</v>
      </c>
      <c r="AB25" s="18">
        <v>45</v>
      </c>
      <c r="AC25" s="18">
        <v>45</v>
      </c>
      <c r="AD25" s="29">
        <f>44.5/2</f>
        <v>22.25</v>
      </c>
      <c r="AE25" s="22">
        <f>28.1/2</f>
        <v>14.05</v>
      </c>
    </row>
    <row r="26" spans="1:31" x14ac:dyDescent="0.25">
      <c r="A26" s="26">
        <f t="shared" si="1"/>
        <v>23</v>
      </c>
      <c r="B26" s="23" t="s">
        <v>67</v>
      </c>
      <c r="C26" s="2" t="s">
        <v>68</v>
      </c>
      <c r="D26" s="18">
        <v>30</v>
      </c>
      <c r="E26" s="18">
        <v>70</v>
      </c>
      <c r="F26" s="18">
        <v>110</v>
      </c>
      <c r="G26" s="18">
        <v>100</v>
      </c>
      <c r="H26" s="18">
        <v>110</v>
      </c>
      <c r="I26" s="18">
        <v>0</v>
      </c>
      <c r="J26" s="18" t="s">
        <v>36</v>
      </c>
      <c r="K26" s="18">
        <v>320</v>
      </c>
      <c r="L26" s="19">
        <f t="shared" si="2"/>
        <v>3.2</v>
      </c>
      <c r="M26" s="18" t="s">
        <v>37</v>
      </c>
      <c r="N26" s="18">
        <v>0</v>
      </c>
      <c r="O26" s="18"/>
      <c r="P26" s="18"/>
      <c r="Q26" s="18"/>
      <c r="R26" s="18"/>
      <c r="S26" s="18" t="s">
        <v>38</v>
      </c>
      <c r="T26" s="18" t="s">
        <v>43</v>
      </c>
      <c r="U26" s="18" t="s">
        <v>40</v>
      </c>
      <c r="V26" s="24">
        <v>235000</v>
      </c>
      <c r="W26" s="27">
        <v>0.11</v>
      </c>
      <c r="X26" s="24">
        <v>3300</v>
      </c>
      <c r="Y26" s="28">
        <f t="shared" si="5"/>
        <v>30</v>
      </c>
      <c r="Z26" s="18">
        <v>30</v>
      </c>
      <c r="AA26" s="20">
        <f t="shared" si="4"/>
        <v>90</v>
      </c>
      <c r="AB26" s="18">
        <v>90</v>
      </c>
      <c r="AC26" s="18">
        <v>45</v>
      </c>
      <c r="AD26" s="29">
        <f>48.1/2</f>
        <v>24.05</v>
      </c>
      <c r="AE26" s="22">
        <f>31.7/2</f>
        <v>15.85</v>
      </c>
    </row>
    <row r="27" spans="1:31" x14ac:dyDescent="0.25">
      <c r="A27" s="26">
        <f t="shared" si="1"/>
        <v>24</v>
      </c>
      <c r="B27" s="23"/>
      <c r="C27" s="2" t="s">
        <v>69</v>
      </c>
      <c r="D27" s="18">
        <v>30</v>
      </c>
      <c r="E27" s="18">
        <v>70</v>
      </c>
      <c r="F27" s="18">
        <v>110</v>
      </c>
      <c r="G27" s="18">
        <v>100</v>
      </c>
      <c r="H27" s="18">
        <v>110</v>
      </c>
      <c r="I27" s="18">
        <v>0</v>
      </c>
      <c r="J27" s="18" t="s">
        <v>36</v>
      </c>
      <c r="K27" s="18">
        <v>320</v>
      </c>
      <c r="L27" s="19">
        <f t="shared" si="2"/>
        <v>3.2</v>
      </c>
      <c r="M27" s="18" t="s">
        <v>37</v>
      </c>
      <c r="N27" s="18">
        <v>0</v>
      </c>
      <c r="O27" s="18"/>
      <c r="P27" s="18"/>
      <c r="Q27" s="18"/>
      <c r="R27" s="18"/>
      <c r="S27" s="18" t="s">
        <v>38</v>
      </c>
      <c r="T27" s="18" t="s">
        <v>43</v>
      </c>
      <c r="U27" s="18" t="s">
        <v>40</v>
      </c>
      <c r="V27" s="24">
        <v>235000</v>
      </c>
      <c r="W27" s="27">
        <f>W26</f>
        <v>0.11</v>
      </c>
      <c r="X27" s="24">
        <v>3300</v>
      </c>
      <c r="Y27" s="28">
        <f t="shared" si="5"/>
        <v>30</v>
      </c>
      <c r="Z27" s="18">
        <v>30</v>
      </c>
      <c r="AA27" s="20">
        <f t="shared" si="4"/>
        <v>90</v>
      </c>
      <c r="AB27" s="18">
        <v>90</v>
      </c>
      <c r="AC27" s="18">
        <v>45</v>
      </c>
      <c r="AD27" s="29">
        <f>42.2/2</f>
        <v>21.1</v>
      </c>
      <c r="AE27" s="22">
        <f>25.8/2</f>
        <v>12.9</v>
      </c>
    </row>
    <row r="28" spans="1:31" x14ac:dyDescent="0.25">
      <c r="A28" s="26">
        <f t="shared" si="1"/>
        <v>25</v>
      </c>
      <c r="B28" s="23"/>
      <c r="C28" s="2" t="s">
        <v>70</v>
      </c>
      <c r="D28" s="18">
        <v>30</v>
      </c>
      <c r="E28" s="18">
        <v>70</v>
      </c>
      <c r="F28" s="18">
        <v>110</v>
      </c>
      <c r="G28" s="18">
        <v>100</v>
      </c>
      <c r="H28" s="18">
        <v>110</v>
      </c>
      <c r="I28" s="18">
        <v>0</v>
      </c>
      <c r="J28" s="18" t="s">
        <v>36</v>
      </c>
      <c r="K28" s="18">
        <v>320</v>
      </c>
      <c r="L28" s="19">
        <f t="shared" si="2"/>
        <v>3.2</v>
      </c>
      <c r="M28" s="18" t="s">
        <v>37</v>
      </c>
      <c r="N28" s="18">
        <v>0</v>
      </c>
      <c r="O28" s="18"/>
      <c r="P28" s="18"/>
      <c r="Q28" s="18"/>
      <c r="R28" s="18"/>
      <c r="S28" s="18" t="s">
        <v>38</v>
      </c>
      <c r="T28" s="18" t="s">
        <v>43</v>
      </c>
      <c r="U28" s="18" t="s">
        <v>40</v>
      </c>
      <c r="V28" s="24">
        <v>235000</v>
      </c>
      <c r="W28" s="27">
        <f>W27</f>
        <v>0.11</v>
      </c>
      <c r="X28" s="24">
        <v>3300</v>
      </c>
      <c r="Y28" s="28">
        <f t="shared" si="5"/>
        <v>30</v>
      </c>
      <c r="Z28" s="18">
        <v>42.426406870000001</v>
      </c>
      <c r="AA28" s="20">
        <f t="shared" si="4"/>
        <v>90</v>
      </c>
      <c r="AB28" s="18">
        <v>45</v>
      </c>
      <c r="AC28" s="18">
        <v>45</v>
      </c>
      <c r="AD28" s="29">
        <f>47.3/2</f>
        <v>23.65</v>
      </c>
      <c r="AE28" s="22">
        <f>30.9/2</f>
        <v>15.45</v>
      </c>
    </row>
    <row r="29" spans="1:31" x14ac:dyDescent="0.25">
      <c r="A29" s="26">
        <f t="shared" si="1"/>
        <v>26</v>
      </c>
      <c r="B29" s="23"/>
      <c r="C29" s="2" t="s">
        <v>71</v>
      </c>
      <c r="D29" s="18">
        <v>30</v>
      </c>
      <c r="E29" s="18">
        <v>70</v>
      </c>
      <c r="F29" s="18">
        <v>110</v>
      </c>
      <c r="G29" s="18">
        <v>100</v>
      </c>
      <c r="H29" s="18">
        <v>110</v>
      </c>
      <c r="I29" s="18">
        <v>0</v>
      </c>
      <c r="J29" s="18" t="s">
        <v>36</v>
      </c>
      <c r="K29" s="18">
        <v>320</v>
      </c>
      <c r="L29" s="19">
        <f t="shared" si="2"/>
        <v>3.2</v>
      </c>
      <c r="M29" s="18" t="s">
        <v>37</v>
      </c>
      <c r="N29" s="18">
        <v>0</v>
      </c>
      <c r="O29" s="18"/>
      <c r="P29" s="18"/>
      <c r="Q29" s="18"/>
      <c r="R29" s="18"/>
      <c r="S29" s="18" t="s">
        <v>38</v>
      </c>
      <c r="T29" s="18" t="s">
        <v>43</v>
      </c>
      <c r="U29" s="18" t="s">
        <v>40</v>
      </c>
      <c r="V29" s="24">
        <v>235000</v>
      </c>
      <c r="W29" s="27">
        <f>0.11*(1+3/9)</f>
        <v>0.14666666666666667</v>
      </c>
      <c r="X29" s="24">
        <v>3300</v>
      </c>
      <c r="Y29" s="28">
        <f t="shared" si="5"/>
        <v>30</v>
      </c>
      <c r="Z29" s="18">
        <v>30</v>
      </c>
      <c r="AA29" s="20">
        <f t="shared" si="4"/>
        <v>90</v>
      </c>
      <c r="AB29" s="18">
        <v>90</v>
      </c>
      <c r="AC29" s="18">
        <v>45</v>
      </c>
      <c r="AD29" s="22">
        <f>42.8/2</f>
        <v>21.4</v>
      </c>
      <c r="AE29" s="22">
        <f>26.4/2</f>
        <v>13.2</v>
      </c>
    </row>
    <row r="30" spans="1:31" x14ac:dyDescent="0.25">
      <c r="A30" s="26">
        <f t="shared" si="1"/>
        <v>27</v>
      </c>
      <c r="B30" s="23"/>
      <c r="C30" s="2" t="s">
        <v>72</v>
      </c>
      <c r="D30" s="18">
        <v>30</v>
      </c>
      <c r="E30" s="18">
        <v>70</v>
      </c>
      <c r="F30" s="18">
        <v>110</v>
      </c>
      <c r="G30" s="18">
        <v>100</v>
      </c>
      <c r="H30" s="18">
        <v>110</v>
      </c>
      <c r="I30" s="18">
        <v>0</v>
      </c>
      <c r="J30" s="18" t="s">
        <v>36</v>
      </c>
      <c r="K30" s="18">
        <v>320</v>
      </c>
      <c r="L30" s="19">
        <f t="shared" si="2"/>
        <v>3.2</v>
      </c>
      <c r="M30" s="18" t="s">
        <v>37</v>
      </c>
      <c r="N30" s="18">
        <v>0</v>
      </c>
      <c r="O30" s="18"/>
      <c r="P30" s="18"/>
      <c r="Q30" s="18"/>
      <c r="R30" s="18"/>
      <c r="S30" s="18" t="s">
        <v>38</v>
      </c>
      <c r="T30" s="18" t="s">
        <v>43</v>
      </c>
      <c r="U30" s="18" t="s">
        <v>40</v>
      </c>
      <c r="V30" s="24">
        <v>235000</v>
      </c>
      <c r="W30" s="27">
        <f>W29</f>
        <v>0.14666666666666667</v>
      </c>
      <c r="X30" s="24">
        <v>3300</v>
      </c>
      <c r="Y30" s="28">
        <f t="shared" si="5"/>
        <v>30</v>
      </c>
      <c r="Z30" s="18">
        <v>30</v>
      </c>
      <c r="AA30" s="20">
        <f t="shared" si="4"/>
        <v>90</v>
      </c>
      <c r="AB30" s="18">
        <v>90</v>
      </c>
      <c r="AC30" s="18">
        <v>45</v>
      </c>
      <c r="AD30" s="22">
        <f>37.5/2</f>
        <v>18.75</v>
      </c>
      <c r="AE30" s="22">
        <f>21.1/2</f>
        <v>10.55</v>
      </c>
    </row>
    <row r="31" spans="1:31" x14ac:dyDescent="0.25">
      <c r="A31" s="26">
        <f t="shared" si="1"/>
        <v>28</v>
      </c>
      <c r="B31" s="23"/>
      <c r="C31" s="2" t="s">
        <v>73</v>
      </c>
      <c r="D31" s="18">
        <v>30</v>
      </c>
      <c r="E31" s="18">
        <v>70</v>
      </c>
      <c r="F31" s="18">
        <v>110</v>
      </c>
      <c r="G31" s="18">
        <v>100</v>
      </c>
      <c r="H31" s="18">
        <v>110</v>
      </c>
      <c r="I31" s="18">
        <v>0</v>
      </c>
      <c r="J31" s="18" t="s">
        <v>36</v>
      </c>
      <c r="K31" s="18">
        <v>320</v>
      </c>
      <c r="L31" s="19">
        <f t="shared" si="2"/>
        <v>3.2</v>
      </c>
      <c r="M31" s="18" t="s">
        <v>37</v>
      </c>
      <c r="N31" s="18">
        <v>0</v>
      </c>
      <c r="O31" s="18"/>
      <c r="P31" s="18"/>
      <c r="Q31" s="18"/>
      <c r="R31" s="18"/>
      <c r="S31" s="18" t="s">
        <v>38</v>
      </c>
      <c r="T31" s="18" t="s">
        <v>43</v>
      </c>
      <c r="U31" s="18" t="s">
        <v>40</v>
      </c>
      <c r="V31" s="24">
        <v>235000</v>
      </c>
      <c r="W31" s="27">
        <f>W30</f>
        <v>0.14666666666666667</v>
      </c>
      <c r="X31" s="24">
        <v>3300</v>
      </c>
      <c r="Y31" s="28">
        <f t="shared" si="5"/>
        <v>30</v>
      </c>
      <c r="Z31" s="18">
        <v>42.426406870000001</v>
      </c>
      <c r="AA31" s="20">
        <f t="shared" si="4"/>
        <v>90</v>
      </c>
      <c r="AB31" s="18">
        <v>45</v>
      </c>
      <c r="AC31" s="18">
        <v>45</v>
      </c>
      <c r="AD31" s="22">
        <f>40.7/2</f>
        <v>20.350000000000001</v>
      </c>
      <c r="AE31" s="22">
        <f>24.3/2</f>
        <v>12.15</v>
      </c>
    </row>
    <row r="32" spans="1:31" x14ac:dyDescent="0.25">
      <c r="A32" s="2">
        <f t="shared" si="1"/>
        <v>29</v>
      </c>
      <c r="B32" s="17"/>
      <c r="C32" s="2" t="s">
        <v>74</v>
      </c>
      <c r="D32" s="18">
        <v>35</v>
      </c>
      <c r="E32" s="18">
        <v>150</v>
      </c>
      <c r="F32" s="2">
        <v>250</v>
      </c>
      <c r="G32" s="18">
        <v>210</v>
      </c>
      <c r="H32" s="18">
        <v>250</v>
      </c>
      <c r="I32" s="18">
        <v>0</v>
      </c>
      <c r="J32" s="18" t="s">
        <v>36</v>
      </c>
      <c r="K32" s="18">
        <v>500</v>
      </c>
      <c r="L32" s="19">
        <f t="shared" si="2"/>
        <v>2.3809523809523809</v>
      </c>
      <c r="M32" s="18" t="s">
        <v>18</v>
      </c>
      <c r="N32" s="18">
        <v>6</v>
      </c>
      <c r="O32" s="18">
        <v>200</v>
      </c>
      <c r="P32" s="18">
        <v>200000</v>
      </c>
      <c r="Q32" s="18">
        <v>400</v>
      </c>
      <c r="R32" s="18">
        <f t="shared" si="3"/>
        <v>0.18849599999999997</v>
      </c>
      <c r="S32" s="18" t="s">
        <v>38</v>
      </c>
      <c r="T32" s="18" t="s">
        <v>43</v>
      </c>
      <c r="U32" s="18" t="s">
        <v>40</v>
      </c>
      <c r="V32" s="18">
        <v>150000</v>
      </c>
      <c r="W32" s="18">
        <v>1</v>
      </c>
      <c r="X32" s="18">
        <v>2400</v>
      </c>
      <c r="Y32" s="18">
        <v>50</v>
      </c>
      <c r="Z32" s="18">
        <v>100</v>
      </c>
      <c r="AA32" s="20">
        <f t="shared" si="4"/>
        <v>189</v>
      </c>
      <c r="AB32" s="18">
        <v>90</v>
      </c>
      <c r="AC32" s="18">
        <v>45</v>
      </c>
      <c r="AD32" s="22">
        <v>91.25</v>
      </c>
      <c r="AE32" s="22">
        <v>34.25</v>
      </c>
    </row>
    <row r="33" spans="1:31" x14ac:dyDescent="0.25">
      <c r="A33" s="2">
        <f t="shared" si="1"/>
        <v>30</v>
      </c>
      <c r="B33" s="17" t="s">
        <v>75</v>
      </c>
      <c r="C33" s="2" t="s">
        <v>76</v>
      </c>
      <c r="D33" s="18">
        <v>35</v>
      </c>
      <c r="E33" s="18">
        <v>150</v>
      </c>
      <c r="F33" s="18">
        <v>250</v>
      </c>
      <c r="G33" s="18">
        <v>210</v>
      </c>
      <c r="H33" s="18">
        <v>250</v>
      </c>
      <c r="I33" s="18">
        <v>0</v>
      </c>
      <c r="J33" s="18" t="s">
        <v>36</v>
      </c>
      <c r="K33" s="18">
        <v>500</v>
      </c>
      <c r="L33" s="19">
        <f t="shared" si="2"/>
        <v>2.3809523809523809</v>
      </c>
      <c r="M33" s="18" t="s">
        <v>18</v>
      </c>
      <c r="N33" s="18">
        <v>6</v>
      </c>
      <c r="O33" s="18">
        <v>200</v>
      </c>
      <c r="P33" s="18">
        <v>200000</v>
      </c>
      <c r="Q33" s="18">
        <v>400</v>
      </c>
      <c r="R33" s="18">
        <f t="shared" si="3"/>
        <v>0.18849599999999997</v>
      </c>
      <c r="S33" s="18" t="s">
        <v>38</v>
      </c>
      <c r="T33" s="18" t="s">
        <v>43</v>
      </c>
      <c r="U33" s="18" t="s">
        <v>40</v>
      </c>
      <c r="V33" s="18">
        <v>150000</v>
      </c>
      <c r="W33" s="18">
        <v>1</v>
      </c>
      <c r="X33" s="18">
        <v>2400</v>
      </c>
      <c r="Y33" s="18">
        <v>50</v>
      </c>
      <c r="Z33" s="18">
        <v>150</v>
      </c>
      <c r="AA33" s="20">
        <f t="shared" si="4"/>
        <v>189</v>
      </c>
      <c r="AB33" s="18">
        <v>45</v>
      </c>
      <c r="AC33" s="18">
        <v>45</v>
      </c>
      <c r="AD33" s="22">
        <v>96.75</v>
      </c>
      <c r="AE33" s="22">
        <v>43.5</v>
      </c>
    </row>
    <row r="34" spans="1:31" x14ac:dyDescent="0.25">
      <c r="A34" s="16">
        <f t="shared" si="1"/>
        <v>31</v>
      </c>
      <c r="B34" s="30"/>
      <c r="C34" s="2" t="s">
        <v>77</v>
      </c>
      <c r="D34" s="18">
        <v>27.5</v>
      </c>
      <c r="E34" s="18">
        <v>152</v>
      </c>
      <c r="F34" s="18">
        <v>152</v>
      </c>
      <c r="G34" s="18">
        <v>101</v>
      </c>
      <c r="H34" s="18">
        <v>152</v>
      </c>
      <c r="I34" s="18">
        <v>0</v>
      </c>
      <c r="J34" s="18" t="s">
        <v>36</v>
      </c>
      <c r="K34" s="18">
        <v>152.4</v>
      </c>
      <c r="L34" s="19">
        <f t="shared" si="2"/>
        <v>1.5089108910891089</v>
      </c>
      <c r="M34" s="17" t="s">
        <v>37</v>
      </c>
      <c r="N34" s="18"/>
      <c r="O34" s="18">
        <v>100</v>
      </c>
      <c r="P34" s="18"/>
      <c r="Q34" s="18"/>
      <c r="R34" s="18"/>
      <c r="S34" s="18" t="s">
        <v>38</v>
      </c>
      <c r="T34" s="18" t="s">
        <v>39</v>
      </c>
      <c r="U34" s="18" t="s">
        <v>40</v>
      </c>
      <c r="V34" s="18">
        <v>230000</v>
      </c>
      <c r="W34" s="18">
        <v>0.111</v>
      </c>
      <c r="X34" s="18">
        <v>3400</v>
      </c>
      <c r="Y34" s="18">
        <v>1</v>
      </c>
      <c r="Z34" s="18">
        <f>Y34/SIN(AB34/180*PI())</f>
        <v>1.4142135623730951</v>
      </c>
      <c r="AA34" s="20">
        <f t="shared" si="4"/>
        <v>90.9</v>
      </c>
      <c r="AB34" s="18">
        <v>45</v>
      </c>
      <c r="AC34" s="18">
        <v>45</v>
      </c>
      <c r="AD34" s="22">
        <f>129.2/2</f>
        <v>64.599999999999994</v>
      </c>
      <c r="AE34" s="22" t="s">
        <v>37</v>
      </c>
    </row>
    <row r="35" spans="1:31" x14ac:dyDescent="0.25">
      <c r="A35" s="16">
        <f t="shared" si="1"/>
        <v>32</v>
      </c>
      <c r="B35" s="30" t="s">
        <v>78</v>
      </c>
      <c r="C35" s="2" t="s">
        <v>79</v>
      </c>
      <c r="D35" s="18">
        <v>27.5</v>
      </c>
      <c r="E35" s="18">
        <v>152</v>
      </c>
      <c r="F35" s="18">
        <v>152</v>
      </c>
      <c r="G35" s="18">
        <v>101</v>
      </c>
      <c r="H35" s="18">
        <v>152</v>
      </c>
      <c r="I35" s="18">
        <v>0</v>
      </c>
      <c r="J35" s="18" t="s">
        <v>36</v>
      </c>
      <c r="K35" s="18">
        <v>152.4</v>
      </c>
      <c r="L35" s="19">
        <f t="shared" si="2"/>
        <v>1.5089108910891089</v>
      </c>
      <c r="M35" s="17" t="s">
        <v>37</v>
      </c>
      <c r="N35" s="31"/>
      <c r="O35" s="18">
        <v>100</v>
      </c>
      <c r="P35" s="31"/>
      <c r="Q35" s="31"/>
      <c r="R35" s="18"/>
      <c r="S35" s="18" t="s">
        <v>38</v>
      </c>
      <c r="T35" s="18" t="s">
        <v>39</v>
      </c>
      <c r="U35" s="18" t="s">
        <v>40</v>
      </c>
      <c r="V35" s="18">
        <v>230000</v>
      </c>
      <c r="W35" s="18">
        <v>0.222</v>
      </c>
      <c r="X35" s="18">
        <v>3400</v>
      </c>
      <c r="Y35" s="18">
        <v>1</v>
      </c>
      <c r="Z35" s="18">
        <f t="shared" ref="Z35:Z36" si="6">Y35/SIN(AB35/180*PI())</f>
        <v>1.4142135623730951</v>
      </c>
      <c r="AA35" s="20">
        <f t="shared" si="4"/>
        <v>90.9</v>
      </c>
      <c r="AB35" s="18">
        <v>45</v>
      </c>
      <c r="AC35" s="18">
        <v>45</v>
      </c>
      <c r="AD35" s="22">
        <f>160.6/2</f>
        <v>80.3</v>
      </c>
      <c r="AE35" s="22" t="s">
        <v>37</v>
      </c>
    </row>
    <row r="36" spans="1:31" x14ac:dyDescent="0.25">
      <c r="A36" s="16">
        <f t="shared" si="1"/>
        <v>33</v>
      </c>
      <c r="B36" s="30"/>
      <c r="C36" s="2" t="s">
        <v>80</v>
      </c>
      <c r="D36" s="18">
        <v>27.5</v>
      </c>
      <c r="E36" s="18">
        <v>152</v>
      </c>
      <c r="F36" s="18">
        <v>152</v>
      </c>
      <c r="G36" s="18">
        <v>101</v>
      </c>
      <c r="H36" s="18">
        <v>152</v>
      </c>
      <c r="I36" s="18">
        <v>0</v>
      </c>
      <c r="J36" s="18" t="s">
        <v>36</v>
      </c>
      <c r="K36" s="18">
        <v>152.4</v>
      </c>
      <c r="L36" s="19">
        <f t="shared" si="2"/>
        <v>1.5089108910891089</v>
      </c>
      <c r="M36" s="17" t="s">
        <v>37</v>
      </c>
      <c r="N36" s="31"/>
      <c r="O36" s="18">
        <v>100</v>
      </c>
      <c r="P36" s="31"/>
      <c r="Q36" s="31"/>
      <c r="R36" s="18"/>
      <c r="S36" s="18" t="s">
        <v>38</v>
      </c>
      <c r="T36" s="18" t="s">
        <v>39</v>
      </c>
      <c r="U36" s="18" t="s">
        <v>40</v>
      </c>
      <c r="V36" s="18">
        <v>230000</v>
      </c>
      <c r="W36" s="18">
        <v>0.33300000000000002</v>
      </c>
      <c r="X36" s="18">
        <v>3400</v>
      </c>
      <c r="Y36" s="18">
        <v>1</v>
      </c>
      <c r="Z36" s="18">
        <f t="shared" si="6"/>
        <v>1.4142135623730951</v>
      </c>
      <c r="AA36" s="20">
        <f t="shared" si="4"/>
        <v>90.9</v>
      </c>
      <c r="AB36" s="18">
        <v>45</v>
      </c>
      <c r="AC36" s="18">
        <v>45</v>
      </c>
      <c r="AD36" s="22">
        <f>170.1/2</f>
        <v>85.05</v>
      </c>
      <c r="AE36" s="22" t="s">
        <v>37</v>
      </c>
    </row>
    <row r="37" spans="1:31" x14ac:dyDescent="0.25">
      <c r="A37" s="26">
        <f t="shared" si="1"/>
        <v>34</v>
      </c>
      <c r="B37" s="32"/>
      <c r="C37" s="18" t="s">
        <v>81</v>
      </c>
      <c r="D37" s="18">
        <v>53.8</v>
      </c>
      <c r="E37" s="18">
        <v>180</v>
      </c>
      <c r="F37" s="17">
        <v>500</v>
      </c>
      <c r="G37" s="18">
        <v>460</v>
      </c>
      <c r="H37" s="18">
        <v>500</v>
      </c>
      <c r="I37" s="18">
        <v>0</v>
      </c>
      <c r="J37" s="18" t="s">
        <v>36</v>
      </c>
      <c r="K37" s="17">
        <f>L37*G37</f>
        <v>1610</v>
      </c>
      <c r="L37" s="19">
        <v>3.5</v>
      </c>
      <c r="M37" s="18" t="s">
        <v>37</v>
      </c>
      <c r="N37" s="18">
        <v>0</v>
      </c>
      <c r="O37" s="31"/>
      <c r="P37" s="31"/>
      <c r="Q37" s="31"/>
      <c r="R37" s="18"/>
      <c r="S37" s="18" t="s">
        <v>38</v>
      </c>
      <c r="T37" s="18" t="s">
        <v>39</v>
      </c>
      <c r="U37" s="18" t="s">
        <v>40</v>
      </c>
      <c r="V37" s="18">
        <v>70800</v>
      </c>
      <c r="W37" s="18">
        <v>0.8</v>
      </c>
      <c r="X37" s="18">
        <v>860</v>
      </c>
      <c r="Y37" s="17">
        <v>300</v>
      </c>
      <c r="Z37" s="16">
        <f>4*Y37/SQRT(2)</f>
        <v>848.52813742385695</v>
      </c>
      <c r="AA37" s="20">
        <f t="shared" si="4"/>
        <v>414</v>
      </c>
      <c r="AB37" s="18">
        <v>45</v>
      </c>
      <c r="AC37" s="18">
        <v>45</v>
      </c>
      <c r="AD37" s="22">
        <v>195</v>
      </c>
      <c r="AE37" s="22">
        <v>89</v>
      </c>
    </row>
    <row r="38" spans="1:31" x14ac:dyDescent="0.25">
      <c r="A38" s="26">
        <f t="shared" si="1"/>
        <v>35</v>
      </c>
      <c r="B38" s="32" t="s">
        <v>82</v>
      </c>
      <c r="C38" s="18" t="s">
        <v>83</v>
      </c>
      <c r="D38" s="18">
        <v>52.7</v>
      </c>
      <c r="E38" s="18">
        <v>180</v>
      </c>
      <c r="F38" s="17">
        <v>500</v>
      </c>
      <c r="G38" s="18">
        <v>460</v>
      </c>
      <c r="H38" s="18">
        <v>500</v>
      </c>
      <c r="I38" s="18">
        <v>0</v>
      </c>
      <c r="J38" s="18" t="s">
        <v>36</v>
      </c>
      <c r="K38" s="17">
        <f>L38*G38</f>
        <v>1196</v>
      </c>
      <c r="L38" s="19">
        <v>2.6</v>
      </c>
      <c r="M38" s="18" t="s">
        <v>37</v>
      </c>
      <c r="N38" s="18">
        <v>0</v>
      </c>
      <c r="O38" s="18"/>
      <c r="P38" s="18"/>
      <c r="Q38" s="18"/>
      <c r="R38" s="18"/>
      <c r="S38" s="18" t="s">
        <v>38</v>
      </c>
      <c r="T38" s="18" t="s">
        <v>39</v>
      </c>
      <c r="U38" s="18" t="s">
        <v>40</v>
      </c>
      <c r="V38" s="18">
        <v>70800</v>
      </c>
      <c r="W38" s="18">
        <v>0.8</v>
      </c>
      <c r="X38" s="18">
        <v>860</v>
      </c>
      <c r="Y38" s="17">
        <v>1</v>
      </c>
      <c r="Z38" s="17">
        <f>2*Y38/SQRT(2)</f>
        <v>1.4142135623730949</v>
      </c>
      <c r="AA38" s="20">
        <f t="shared" si="4"/>
        <v>414</v>
      </c>
      <c r="AB38" s="18">
        <v>45</v>
      </c>
      <c r="AC38" s="18">
        <v>45</v>
      </c>
      <c r="AD38" s="22">
        <v>243</v>
      </c>
      <c r="AE38" s="22">
        <v>122.5</v>
      </c>
    </row>
    <row r="39" spans="1:31" x14ac:dyDescent="0.25">
      <c r="A39" s="26">
        <f t="shared" si="1"/>
        <v>36</v>
      </c>
      <c r="B39" s="17" t="s">
        <v>84</v>
      </c>
      <c r="C39" s="2" t="s">
        <v>85</v>
      </c>
      <c r="D39" s="18">
        <v>35</v>
      </c>
      <c r="E39" s="18">
        <v>150</v>
      </c>
      <c r="F39" s="18">
        <v>405</v>
      </c>
      <c r="G39" s="18">
        <v>360</v>
      </c>
      <c r="H39" s="18">
        <v>405</v>
      </c>
      <c r="I39" s="18">
        <v>100</v>
      </c>
      <c r="J39" s="18" t="s">
        <v>86</v>
      </c>
      <c r="K39" s="18">
        <v>1070</v>
      </c>
      <c r="L39" s="19">
        <v>2.6</v>
      </c>
      <c r="M39" s="18" t="s">
        <v>37</v>
      </c>
      <c r="N39" s="18">
        <v>0</v>
      </c>
      <c r="O39" s="18"/>
      <c r="P39" s="18"/>
      <c r="Q39" s="18"/>
      <c r="R39" s="18"/>
      <c r="S39" s="18" t="s">
        <v>38</v>
      </c>
      <c r="T39" s="18" t="s">
        <v>43</v>
      </c>
      <c r="U39" s="18" t="s">
        <v>40</v>
      </c>
      <c r="V39" s="18">
        <v>228000</v>
      </c>
      <c r="W39" s="18">
        <v>0.16500000000000001</v>
      </c>
      <c r="X39" s="18">
        <v>3790</v>
      </c>
      <c r="Y39" s="18">
        <v>50</v>
      </c>
      <c r="Z39" s="18">
        <v>125</v>
      </c>
      <c r="AA39" s="33">
        <f t="shared" ref="AA39:AA97" si="7">0.9*G39-I39</f>
        <v>224</v>
      </c>
      <c r="AB39" s="18">
        <v>90</v>
      </c>
      <c r="AC39" s="18">
        <v>45</v>
      </c>
      <c r="AD39" s="22">
        <v>121.5</v>
      </c>
      <c r="AE39" s="22">
        <v>31.5</v>
      </c>
    </row>
    <row r="40" spans="1:31" x14ac:dyDescent="0.25">
      <c r="A40" s="2">
        <f t="shared" si="1"/>
        <v>37</v>
      </c>
      <c r="B40" s="32"/>
      <c r="C40" s="2" t="s">
        <v>87</v>
      </c>
      <c r="D40" s="18">
        <v>27.5</v>
      </c>
      <c r="E40" s="18">
        <v>150</v>
      </c>
      <c r="F40" s="18">
        <v>300</v>
      </c>
      <c r="G40" s="18">
        <v>250</v>
      </c>
      <c r="H40" s="18">
        <v>300</v>
      </c>
      <c r="I40" s="18">
        <v>0</v>
      </c>
      <c r="J40" s="18" t="s">
        <v>36</v>
      </c>
      <c r="K40" s="18">
        <v>750</v>
      </c>
      <c r="L40" s="19">
        <f t="shared" ref="L40:L56" si="8">K40/G40</f>
        <v>3</v>
      </c>
      <c r="M40" s="17" t="s">
        <v>18</v>
      </c>
      <c r="N40" s="18">
        <v>8</v>
      </c>
      <c r="O40" s="18">
        <v>200</v>
      </c>
      <c r="P40" s="18">
        <v>210000</v>
      </c>
      <c r="Q40" s="18">
        <v>548</v>
      </c>
      <c r="R40" s="18">
        <f t="shared" si="3"/>
        <v>0.33510399999999996</v>
      </c>
      <c r="S40" s="18" t="s">
        <v>38</v>
      </c>
      <c r="T40" s="18" t="s">
        <v>39</v>
      </c>
      <c r="U40" s="18" t="s">
        <v>40</v>
      </c>
      <c r="V40" s="18">
        <v>233600</v>
      </c>
      <c r="W40" s="18">
        <v>0.16500000000000001</v>
      </c>
      <c r="X40" s="18">
        <v>3550</v>
      </c>
      <c r="Y40" s="18">
        <v>1</v>
      </c>
      <c r="Z40" s="18">
        <v>1</v>
      </c>
      <c r="AA40" s="20">
        <f t="shared" si="7"/>
        <v>225</v>
      </c>
      <c r="AB40" s="18">
        <v>90</v>
      </c>
      <c r="AC40" s="18">
        <v>45</v>
      </c>
      <c r="AD40" s="22">
        <v>120</v>
      </c>
      <c r="AE40" s="22">
        <v>45.3</v>
      </c>
    </row>
    <row r="41" spans="1:31" x14ac:dyDescent="0.25">
      <c r="A41" s="2">
        <f t="shared" si="1"/>
        <v>38</v>
      </c>
      <c r="B41" s="32"/>
      <c r="C41" s="2" t="s">
        <v>88</v>
      </c>
      <c r="D41" s="18">
        <v>27.5</v>
      </c>
      <c r="E41" s="18">
        <v>150</v>
      </c>
      <c r="F41" s="18">
        <v>300</v>
      </c>
      <c r="G41" s="18">
        <v>250</v>
      </c>
      <c r="H41" s="18">
        <v>300</v>
      </c>
      <c r="I41" s="18">
        <v>0</v>
      </c>
      <c r="J41" s="18" t="s">
        <v>36</v>
      </c>
      <c r="K41" s="18">
        <v>750</v>
      </c>
      <c r="L41" s="19">
        <f t="shared" si="8"/>
        <v>3</v>
      </c>
      <c r="M41" s="17" t="s">
        <v>18</v>
      </c>
      <c r="N41" s="18">
        <v>8</v>
      </c>
      <c r="O41" s="18">
        <v>200</v>
      </c>
      <c r="P41" s="18">
        <v>210000</v>
      </c>
      <c r="Q41" s="18">
        <v>548</v>
      </c>
      <c r="R41" s="18">
        <f t="shared" si="3"/>
        <v>0.33510399999999996</v>
      </c>
      <c r="S41" s="18" t="s">
        <v>38</v>
      </c>
      <c r="T41" s="18" t="s">
        <v>39</v>
      </c>
      <c r="U41" s="18" t="s">
        <v>40</v>
      </c>
      <c r="V41" s="18">
        <v>233600</v>
      </c>
      <c r="W41" s="18">
        <v>0.495</v>
      </c>
      <c r="X41" s="18">
        <v>3550</v>
      </c>
      <c r="Y41" s="18">
        <v>1</v>
      </c>
      <c r="Z41" s="18">
        <v>1</v>
      </c>
      <c r="AA41" s="20">
        <f t="shared" si="7"/>
        <v>225</v>
      </c>
      <c r="AB41" s="18">
        <v>90</v>
      </c>
      <c r="AC41" s="18">
        <v>45</v>
      </c>
      <c r="AD41" s="22">
        <v>112.8</v>
      </c>
      <c r="AE41" s="22">
        <v>38.1</v>
      </c>
    </row>
    <row r="42" spans="1:31" x14ac:dyDescent="0.25">
      <c r="A42" s="2">
        <f t="shared" si="1"/>
        <v>39</v>
      </c>
      <c r="B42" s="32"/>
      <c r="C42" s="2" t="s">
        <v>89</v>
      </c>
      <c r="D42" s="18">
        <v>27.5</v>
      </c>
      <c r="E42" s="18">
        <v>150</v>
      </c>
      <c r="F42" s="18">
        <v>300</v>
      </c>
      <c r="G42" s="18">
        <v>250</v>
      </c>
      <c r="H42" s="18">
        <v>300</v>
      </c>
      <c r="I42" s="18">
        <v>0</v>
      </c>
      <c r="J42" s="18" t="s">
        <v>36</v>
      </c>
      <c r="K42" s="18">
        <v>750</v>
      </c>
      <c r="L42" s="19">
        <f t="shared" si="8"/>
        <v>3</v>
      </c>
      <c r="M42" s="17" t="s">
        <v>18</v>
      </c>
      <c r="N42" s="18">
        <v>8</v>
      </c>
      <c r="O42" s="18">
        <v>200</v>
      </c>
      <c r="P42" s="18">
        <v>210000</v>
      </c>
      <c r="Q42" s="18">
        <v>548</v>
      </c>
      <c r="R42" s="18">
        <f t="shared" si="3"/>
        <v>0.33510399999999996</v>
      </c>
      <c r="S42" s="18" t="s">
        <v>38</v>
      </c>
      <c r="T42" s="18" t="s">
        <v>39</v>
      </c>
      <c r="U42" s="18" t="s">
        <v>40</v>
      </c>
      <c r="V42" s="18">
        <v>233600</v>
      </c>
      <c r="W42" s="18">
        <v>0.495</v>
      </c>
      <c r="X42" s="18">
        <v>3550</v>
      </c>
      <c r="Y42" s="18">
        <v>1</v>
      </c>
      <c r="Z42" s="18">
        <v>1</v>
      </c>
      <c r="AA42" s="20">
        <f t="shared" si="7"/>
        <v>225</v>
      </c>
      <c r="AB42" s="18">
        <v>90</v>
      </c>
      <c r="AC42" s="18">
        <v>45</v>
      </c>
      <c r="AD42" s="22">
        <v>140.19999999999999</v>
      </c>
      <c r="AE42" s="22">
        <v>65.5</v>
      </c>
    </row>
    <row r="43" spans="1:31" x14ac:dyDescent="0.25">
      <c r="A43" s="2">
        <f t="shared" si="1"/>
        <v>40</v>
      </c>
      <c r="B43" s="32"/>
      <c r="C43" s="2" t="s">
        <v>90</v>
      </c>
      <c r="D43" s="18">
        <v>31.4</v>
      </c>
      <c r="E43" s="18">
        <v>150</v>
      </c>
      <c r="F43" s="18">
        <v>300</v>
      </c>
      <c r="G43" s="18">
        <v>250</v>
      </c>
      <c r="H43" s="18">
        <v>300</v>
      </c>
      <c r="I43" s="18">
        <v>0</v>
      </c>
      <c r="J43" s="18" t="s">
        <v>36</v>
      </c>
      <c r="K43" s="18">
        <v>750</v>
      </c>
      <c r="L43" s="19">
        <f t="shared" si="8"/>
        <v>3</v>
      </c>
      <c r="M43" s="17" t="s">
        <v>18</v>
      </c>
      <c r="N43" s="18">
        <v>8</v>
      </c>
      <c r="O43" s="18">
        <v>200</v>
      </c>
      <c r="P43" s="18">
        <v>210000</v>
      </c>
      <c r="Q43" s="18">
        <v>548</v>
      </c>
      <c r="R43" s="18">
        <f t="shared" si="3"/>
        <v>0.33510399999999996</v>
      </c>
      <c r="S43" s="18" t="s">
        <v>38</v>
      </c>
      <c r="T43" s="18" t="s">
        <v>39</v>
      </c>
      <c r="U43" s="18" t="s">
        <v>40</v>
      </c>
      <c r="V43" s="18">
        <v>233600</v>
      </c>
      <c r="W43" s="18">
        <v>0.33</v>
      </c>
      <c r="X43" s="18">
        <v>3550</v>
      </c>
      <c r="Y43" s="18">
        <v>1</v>
      </c>
      <c r="Z43" s="18">
        <v>1</v>
      </c>
      <c r="AA43" s="20">
        <f t="shared" si="7"/>
        <v>225</v>
      </c>
      <c r="AB43" s="18">
        <v>90</v>
      </c>
      <c r="AC43" s="18">
        <v>45</v>
      </c>
      <c r="AD43" s="22">
        <v>193</v>
      </c>
      <c r="AE43" s="22">
        <v>31.5</v>
      </c>
    </row>
    <row r="44" spans="1:31" x14ac:dyDescent="0.25">
      <c r="A44" s="2">
        <f t="shared" si="1"/>
        <v>41</v>
      </c>
      <c r="B44" s="32" t="s">
        <v>91</v>
      </c>
      <c r="C44" s="2" t="s">
        <v>92</v>
      </c>
      <c r="D44" s="18">
        <v>31.4</v>
      </c>
      <c r="E44" s="18">
        <v>150</v>
      </c>
      <c r="F44" s="18">
        <v>300</v>
      </c>
      <c r="G44" s="18">
        <v>250</v>
      </c>
      <c r="H44" s="18">
        <v>300</v>
      </c>
      <c r="I44" s="18">
        <v>0</v>
      </c>
      <c r="J44" s="18" t="s">
        <v>36</v>
      </c>
      <c r="K44" s="18">
        <v>750</v>
      </c>
      <c r="L44" s="19">
        <f t="shared" si="8"/>
        <v>3</v>
      </c>
      <c r="M44" s="17" t="s">
        <v>18</v>
      </c>
      <c r="N44" s="18">
        <v>8</v>
      </c>
      <c r="O44" s="18">
        <v>200</v>
      </c>
      <c r="P44" s="18">
        <v>210000</v>
      </c>
      <c r="Q44" s="18">
        <v>548</v>
      </c>
      <c r="R44" s="18">
        <f t="shared" si="3"/>
        <v>0.33510399999999996</v>
      </c>
      <c r="S44" s="18" t="s">
        <v>38</v>
      </c>
      <c r="T44" s="18" t="s">
        <v>39</v>
      </c>
      <c r="U44" s="18" t="s">
        <v>40</v>
      </c>
      <c r="V44" s="18">
        <v>233600</v>
      </c>
      <c r="W44" s="18">
        <v>0.495</v>
      </c>
      <c r="X44" s="18">
        <v>3550</v>
      </c>
      <c r="Y44" s="18">
        <v>1</v>
      </c>
      <c r="Z44" s="18">
        <v>1</v>
      </c>
      <c r="AA44" s="20">
        <f t="shared" si="7"/>
        <v>225</v>
      </c>
      <c r="AB44" s="18">
        <v>90</v>
      </c>
      <c r="AC44" s="18">
        <v>45</v>
      </c>
      <c r="AD44" s="22">
        <v>213.3</v>
      </c>
      <c r="AE44" s="22">
        <v>51.8</v>
      </c>
    </row>
    <row r="45" spans="1:31" x14ac:dyDescent="0.25">
      <c r="A45" s="2">
        <f t="shared" si="1"/>
        <v>42</v>
      </c>
      <c r="B45" s="32"/>
      <c r="C45" s="2" t="s">
        <v>93</v>
      </c>
      <c r="D45" s="18">
        <v>31.4</v>
      </c>
      <c r="E45" s="18">
        <v>150</v>
      </c>
      <c r="F45" s="18">
        <v>300</v>
      </c>
      <c r="G45" s="18">
        <v>250</v>
      </c>
      <c r="H45" s="18">
        <v>300</v>
      </c>
      <c r="I45" s="18">
        <v>0</v>
      </c>
      <c r="J45" s="18" t="s">
        <v>36</v>
      </c>
      <c r="K45" s="18">
        <v>750</v>
      </c>
      <c r="L45" s="19">
        <f t="shared" si="8"/>
        <v>3</v>
      </c>
      <c r="M45" s="17" t="s">
        <v>18</v>
      </c>
      <c r="N45" s="18">
        <v>8</v>
      </c>
      <c r="O45" s="18">
        <v>200</v>
      </c>
      <c r="P45" s="18">
        <v>210000</v>
      </c>
      <c r="Q45" s="18">
        <v>548</v>
      </c>
      <c r="R45" s="18">
        <f t="shared" si="3"/>
        <v>0.33510399999999996</v>
      </c>
      <c r="S45" s="18" t="s">
        <v>38</v>
      </c>
      <c r="T45" s="18" t="s">
        <v>39</v>
      </c>
      <c r="U45" s="18" t="s">
        <v>40</v>
      </c>
      <c r="V45" s="18">
        <v>233600</v>
      </c>
      <c r="W45" s="18">
        <v>0.495</v>
      </c>
      <c r="X45" s="18">
        <v>3550</v>
      </c>
      <c r="Y45" s="18">
        <v>1</v>
      </c>
      <c r="Z45" s="18">
        <v>1</v>
      </c>
      <c r="AA45" s="20">
        <f t="shared" si="7"/>
        <v>225</v>
      </c>
      <c r="AB45" s="18">
        <v>90</v>
      </c>
      <c r="AC45" s="18">
        <v>45</v>
      </c>
      <c r="AD45" s="22">
        <v>247.5</v>
      </c>
      <c r="AE45" s="22">
        <v>86</v>
      </c>
    </row>
    <row r="46" spans="1:31" x14ac:dyDescent="0.25">
      <c r="A46" s="2">
        <f t="shared" si="1"/>
        <v>43</v>
      </c>
      <c r="B46" s="32"/>
      <c r="C46" s="2" t="s">
        <v>94</v>
      </c>
      <c r="D46" s="18">
        <v>31.4</v>
      </c>
      <c r="E46" s="18">
        <v>150</v>
      </c>
      <c r="F46" s="18">
        <v>300</v>
      </c>
      <c r="G46" s="18">
        <v>250</v>
      </c>
      <c r="H46" s="18">
        <v>300</v>
      </c>
      <c r="I46" s="18">
        <v>0</v>
      </c>
      <c r="J46" s="18" t="s">
        <v>36</v>
      </c>
      <c r="K46" s="18">
        <v>750</v>
      </c>
      <c r="L46" s="19">
        <f t="shared" si="8"/>
        <v>3</v>
      </c>
      <c r="M46" s="17" t="s">
        <v>18</v>
      </c>
      <c r="N46" s="18">
        <v>8</v>
      </c>
      <c r="O46" s="18">
        <v>200</v>
      </c>
      <c r="P46" s="18">
        <v>210000</v>
      </c>
      <c r="Q46" s="18">
        <v>548</v>
      </c>
      <c r="R46" s="18">
        <f t="shared" si="3"/>
        <v>0.33510399999999996</v>
      </c>
      <c r="S46" s="18" t="s">
        <v>38</v>
      </c>
      <c r="T46" s="18" t="s">
        <v>39</v>
      </c>
      <c r="U46" s="18" t="s">
        <v>40</v>
      </c>
      <c r="V46" s="18">
        <v>233600</v>
      </c>
      <c r="W46" s="18">
        <v>0.33</v>
      </c>
      <c r="X46" s="18">
        <v>3550</v>
      </c>
      <c r="Y46" s="18">
        <v>1</v>
      </c>
      <c r="Z46" s="18">
        <v>1</v>
      </c>
      <c r="AA46" s="20">
        <f t="shared" si="7"/>
        <v>225</v>
      </c>
      <c r="AB46" s="18">
        <v>90</v>
      </c>
      <c r="AC46" s="18">
        <v>45</v>
      </c>
      <c r="AD46" s="22">
        <v>208.8</v>
      </c>
      <c r="AE46" s="22">
        <v>47.3</v>
      </c>
    </row>
    <row r="47" spans="1:31" x14ac:dyDescent="0.25">
      <c r="A47" s="2">
        <f t="shared" si="1"/>
        <v>44</v>
      </c>
      <c r="B47" s="32"/>
      <c r="C47" s="2" t="s">
        <v>95</v>
      </c>
      <c r="D47" s="18">
        <v>31.4</v>
      </c>
      <c r="E47" s="18">
        <v>150</v>
      </c>
      <c r="F47" s="18">
        <v>300</v>
      </c>
      <c r="G47" s="18">
        <v>250</v>
      </c>
      <c r="H47" s="18">
        <v>300</v>
      </c>
      <c r="I47" s="18">
        <v>0</v>
      </c>
      <c r="J47" s="18" t="s">
        <v>36</v>
      </c>
      <c r="K47" s="18">
        <v>750</v>
      </c>
      <c r="L47" s="19">
        <f t="shared" si="8"/>
        <v>3</v>
      </c>
      <c r="M47" s="17" t="s">
        <v>18</v>
      </c>
      <c r="N47" s="18">
        <v>8</v>
      </c>
      <c r="O47" s="18">
        <v>200</v>
      </c>
      <c r="P47" s="18">
        <v>210000</v>
      </c>
      <c r="Q47" s="18">
        <v>548</v>
      </c>
      <c r="R47" s="18">
        <f t="shared" si="3"/>
        <v>0.33510399999999996</v>
      </c>
      <c r="S47" s="18" t="s">
        <v>38</v>
      </c>
      <c r="T47" s="18" t="s">
        <v>39</v>
      </c>
      <c r="U47" s="18" t="s">
        <v>40</v>
      </c>
      <c r="V47" s="18">
        <v>233600</v>
      </c>
      <c r="W47" s="18">
        <v>0.33</v>
      </c>
      <c r="X47" s="18">
        <v>3550</v>
      </c>
      <c r="Y47" s="18">
        <v>1</v>
      </c>
      <c r="Z47" s="18">
        <v>1</v>
      </c>
      <c r="AA47" s="20">
        <f t="shared" si="7"/>
        <v>225</v>
      </c>
      <c r="AB47" s="18">
        <v>90</v>
      </c>
      <c r="AC47" s="18">
        <v>45</v>
      </c>
      <c r="AD47" s="22">
        <v>212</v>
      </c>
      <c r="AE47" s="22">
        <v>50.5</v>
      </c>
    </row>
    <row r="48" spans="1:31" x14ac:dyDescent="0.25">
      <c r="A48" s="2">
        <f t="shared" si="1"/>
        <v>45</v>
      </c>
      <c r="B48" s="33"/>
      <c r="C48" s="18" t="s">
        <v>96</v>
      </c>
      <c r="D48" s="18">
        <v>43.83</v>
      </c>
      <c r="E48" s="18">
        <v>152.4</v>
      </c>
      <c r="F48" s="18">
        <v>228.6</v>
      </c>
      <c r="G48" s="18">
        <f>F48-40</f>
        <v>188.6</v>
      </c>
      <c r="H48" s="18">
        <f>F48</f>
        <v>228.6</v>
      </c>
      <c r="I48" s="18">
        <v>0</v>
      </c>
      <c r="J48" s="18" t="s">
        <v>36</v>
      </c>
      <c r="K48" s="18">
        <v>533.4</v>
      </c>
      <c r="L48" s="19">
        <f t="shared" si="8"/>
        <v>2.8282078472958641</v>
      </c>
      <c r="M48" s="18" t="s">
        <v>37</v>
      </c>
      <c r="N48" s="18">
        <v>0</v>
      </c>
      <c r="O48" s="18"/>
      <c r="P48" s="18"/>
      <c r="Q48" s="18"/>
      <c r="R48" s="18"/>
      <c r="S48" s="18" t="s">
        <v>38</v>
      </c>
      <c r="T48" s="18" t="s">
        <v>43</v>
      </c>
      <c r="U48" s="18" t="s">
        <v>40</v>
      </c>
      <c r="V48" s="18">
        <v>165000</v>
      </c>
      <c r="W48" s="18">
        <v>1.2</v>
      </c>
      <c r="X48" s="18">
        <v>2800</v>
      </c>
      <c r="Y48" s="18">
        <v>40</v>
      </c>
      <c r="Z48" s="18">
        <v>127</v>
      </c>
      <c r="AA48" s="20">
        <f t="shared" si="7"/>
        <v>169.74</v>
      </c>
      <c r="AB48" s="18">
        <v>90</v>
      </c>
      <c r="AC48" s="18">
        <v>45</v>
      </c>
      <c r="AD48" s="22">
        <v>73.7</v>
      </c>
      <c r="AE48" s="22">
        <v>27.6</v>
      </c>
    </row>
    <row r="49" spans="1:31" x14ac:dyDescent="0.25">
      <c r="A49" s="2">
        <f t="shared" si="1"/>
        <v>46</v>
      </c>
      <c r="B49" s="33" t="s">
        <v>97</v>
      </c>
      <c r="C49" s="18" t="s">
        <v>98</v>
      </c>
      <c r="D49" s="18">
        <v>43.83</v>
      </c>
      <c r="E49" s="18">
        <v>152.4</v>
      </c>
      <c r="F49" s="18">
        <v>228.6</v>
      </c>
      <c r="G49" s="18">
        <f>F49-40</f>
        <v>188.6</v>
      </c>
      <c r="H49" s="18">
        <f>F49</f>
        <v>228.6</v>
      </c>
      <c r="I49" s="18">
        <v>0</v>
      </c>
      <c r="J49" s="18" t="s">
        <v>36</v>
      </c>
      <c r="K49" s="18">
        <v>533.4</v>
      </c>
      <c r="L49" s="19">
        <f t="shared" si="8"/>
        <v>2.8282078472958641</v>
      </c>
      <c r="M49" s="18" t="s">
        <v>37</v>
      </c>
      <c r="N49" s="18">
        <v>0</v>
      </c>
      <c r="O49" s="18"/>
      <c r="P49" s="18"/>
      <c r="Q49" s="18"/>
      <c r="R49" s="18"/>
      <c r="S49" s="18" t="s">
        <v>38</v>
      </c>
      <c r="T49" s="18" t="s">
        <v>43</v>
      </c>
      <c r="U49" s="18" t="s">
        <v>40</v>
      </c>
      <c r="V49" s="18">
        <v>165000</v>
      </c>
      <c r="W49" s="18">
        <v>1.2</v>
      </c>
      <c r="X49" s="18">
        <v>2800</v>
      </c>
      <c r="Y49" s="18">
        <v>40</v>
      </c>
      <c r="Z49" s="18">
        <v>127</v>
      </c>
      <c r="AA49" s="20">
        <f t="shared" si="7"/>
        <v>169.74</v>
      </c>
      <c r="AB49" s="18">
        <v>45</v>
      </c>
      <c r="AC49" s="18">
        <v>45</v>
      </c>
      <c r="AD49" s="22">
        <v>82.2</v>
      </c>
      <c r="AE49" s="22">
        <v>36.700000000000003</v>
      </c>
    </row>
    <row r="50" spans="1:31" x14ac:dyDescent="0.25">
      <c r="A50" s="2">
        <f t="shared" si="1"/>
        <v>47</v>
      </c>
      <c r="B50" s="33"/>
      <c r="C50" s="18" t="s">
        <v>99</v>
      </c>
      <c r="D50" s="18">
        <v>43.83</v>
      </c>
      <c r="E50" s="18">
        <v>152.4</v>
      </c>
      <c r="F50" s="18">
        <v>228.6</v>
      </c>
      <c r="G50" s="18">
        <f>F50-40</f>
        <v>188.6</v>
      </c>
      <c r="H50" s="18">
        <f>F50</f>
        <v>228.6</v>
      </c>
      <c r="I50" s="18">
        <v>0</v>
      </c>
      <c r="J50" s="18" t="s">
        <v>36</v>
      </c>
      <c r="K50" s="18">
        <v>533.4</v>
      </c>
      <c r="L50" s="19">
        <f t="shared" si="8"/>
        <v>2.8282078472958641</v>
      </c>
      <c r="M50" s="18" t="s">
        <v>37</v>
      </c>
      <c r="N50" s="18">
        <v>0</v>
      </c>
      <c r="O50" s="18"/>
      <c r="P50" s="18"/>
      <c r="Q50" s="18"/>
      <c r="R50" s="18"/>
      <c r="S50" s="18" t="s">
        <v>38</v>
      </c>
      <c r="T50" s="18" t="s">
        <v>43</v>
      </c>
      <c r="U50" s="18" t="s">
        <v>40</v>
      </c>
      <c r="V50" s="18">
        <v>165000</v>
      </c>
      <c r="W50" s="18">
        <v>1.2</v>
      </c>
      <c r="X50" s="18">
        <v>2800</v>
      </c>
      <c r="Y50" s="18">
        <v>40</v>
      </c>
      <c r="Z50" s="18">
        <v>127</v>
      </c>
      <c r="AA50" s="20">
        <f t="shared" si="7"/>
        <v>169.74</v>
      </c>
      <c r="AB50" s="18">
        <v>90</v>
      </c>
      <c r="AC50" s="18">
        <v>45</v>
      </c>
      <c r="AD50" s="22">
        <v>63.9</v>
      </c>
      <c r="AE50" s="22">
        <v>21</v>
      </c>
    </row>
    <row r="51" spans="1:31" x14ac:dyDescent="0.25">
      <c r="A51" s="2">
        <f t="shared" si="1"/>
        <v>48</v>
      </c>
      <c r="B51" s="32"/>
      <c r="C51" s="17" t="s">
        <v>100</v>
      </c>
      <c r="D51" s="17">
        <v>21</v>
      </c>
      <c r="E51" s="17">
        <v>250</v>
      </c>
      <c r="F51" s="17">
        <v>450</v>
      </c>
      <c r="G51" s="17">
        <v>410</v>
      </c>
      <c r="H51" s="17">
        <v>450</v>
      </c>
      <c r="I51" s="17">
        <v>0</v>
      </c>
      <c r="J51" s="17" t="s">
        <v>36</v>
      </c>
      <c r="K51" s="17">
        <v>1400</v>
      </c>
      <c r="L51" s="25">
        <f t="shared" si="8"/>
        <v>3.4146341463414633</v>
      </c>
      <c r="M51" s="17" t="s">
        <v>18</v>
      </c>
      <c r="N51" s="17">
        <v>8</v>
      </c>
      <c r="O51" s="17">
        <v>200</v>
      </c>
      <c r="P51" s="17">
        <v>210000</v>
      </c>
      <c r="Q51" s="17">
        <v>476</v>
      </c>
      <c r="R51" s="17">
        <f t="shared" ref="R51:R64" si="9">100*2*3.1416*N51^2/4/O51/E51</f>
        <v>0.20106239999999997</v>
      </c>
      <c r="S51" s="17" t="s">
        <v>38</v>
      </c>
      <c r="T51" s="17" t="s">
        <v>39</v>
      </c>
      <c r="U51" s="18" t="s">
        <v>40</v>
      </c>
      <c r="V51" s="17">
        <v>392000</v>
      </c>
      <c r="W51" s="17">
        <v>0.191</v>
      </c>
      <c r="X51" s="17">
        <v>2600</v>
      </c>
      <c r="Y51" s="17">
        <v>1</v>
      </c>
      <c r="Z51" s="17">
        <v>1</v>
      </c>
      <c r="AA51" s="17">
        <f t="shared" si="7"/>
        <v>369</v>
      </c>
      <c r="AB51" s="17">
        <v>90</v>
      </c>
      <c r="AC51" s="18">
        <v>45</v>
      </c>
      <c r="AD51" s="17">
        <v>240</v>
      </c>
      <c r="AE51" s="17">
        <v>25</v>
      </c>
    </row>
    <row r="52" spans="1:31" x14ac:dyDescent="0.25">
      <c r="A52" s="2">
        <f t="shared" si="1"/>
        <v>49</v>
      </c>
      <c r="B52" s="32" t="s">
        <v>101</v>
      </c>
      <c r="C52" s="2" t="s">
        <v>102</v>
      </c>
      <c r="D52" s="18">
        <v>21</v>
      </c>
      <c r="E52" s="18">
        <v>250</v>
      </c>
      <c r="F52" s="18">
        <v>450</v>
      </c>
      <c r="G52" s="18">
        <v>410</v>
      </c>
      <c r="H52" s="18">
        <v>450</v>
      </c>
      <c r="I52" s="18">
        <v>0</v>
      </c>
      <c r="J52" s="18" t="s">
        <v>36</v>
      </c>
      <c r="K52" s="18">
        <v>1400</v>
      </c>
      <c r="L52" s="19">
        <f t="shared" si="8"/>
        <v>3.4146341463414633</v>
      </c>
      <c r="M52" s="18" t="s">
        <v>18</v>
      </c>
      <c r="N52" s="18">
        <v>8</v>
      </c>
      <c r="O52" s="18">
        <v>300</v>
      </c>
      <c r="P52" s="18">
        <v>210000</v>
      </c>
      <c r="Q52" s="18">
        <v>476</v>
      </c>
      <c r="R52" s="18">
        <f t="shared" si="9"/>
        <v>0.13404159999999998</v>
      </c>
      <c r="S52" s="18" t="s">
        <v>38</v>
      </c>
      <c r="T52" s="18" t="s">
        <v>39</v>
      </c>
      <c r="U52" s="18" t="s">
        <v>40</v>
      </c>
      <c r="V52" s="18">
        <v>392000</v>
      </c>
      <c r="W52" s="18">
        <v>0.191</v>
      </c>
      <c r="X52" s="18">
        <v>2600</v>
      </c>
      <c r="Y52" s="18">
        <v>1</v>
      </c>
      <c r="Z52" s="18">
        <v>1</v>
      </c>
      <c r="AA52" s="20">
        <f t="shared" si="7"/>
        <v>369</v>
      </c>
      <c r="AB52" s="18">
        <v>90</v>
      </c>
      <c r="AC52" s="18">
        <v>45</v>
      </c>
      <c r="AD52" s="22">
        <v>205</v>
      </c>
      <c r="AE52" s="22">
        <v>45</v>
      </c>
    </row>
    <row r="53" spans="1:31" x14ac:dyDescent="0.25">
      <c r="A53" s="2">
        <f t="shared" si="1"/>
        <v>50</v>
      </c>
      <c r="B53" s="32"/>
      <c r="C53" s="2" t="s">
        <v>103</v>
      </c>
      <c r="D53" s="18">
        <v>21</v>
      </c>
      <c r="E53" s="18">
        <v>250</v>
      </c>
      <c r="F53" s="18">
        <v>450</v>
      </c>
      <c r="G53" s="18">
        <v>410</v>
      </c>
      <c r="H53" s="18">
        <v>450</v>
      </c>
      <c r="I53" s="18">
        <v>0</v>
      </c>
      <c r="J53" s="18" t="s">
        <v>36</v>
      </c>
      <c r="K53" s="18">
        <v>1400</v>
      </c>
      <c r="L53" s="19">
        <f t="shared" si="8"/>
        <v>3.4146341463414633</v>
      </c>
      <c r="M53" s="18" t="s">
        <v>18</v>
      </c>
      <c r="N53" s="18">
        <v>8</v>
      </c>
      <c r="O53" s="18">
        <v>300</v>
      </c>
      <c r="P53" s="18">
        <v>210000</v>
      </c>
      <c r="Q53" s="18">
        <v>476</v>
      </c>
      <c r="R53" s="18">
        <f t="shared" si="9"/>
        <v>0.13404159999999998</v>
      </c>
      <c r="S53" s="18" t="s">
        <v>38</v>
      </c>
      <c r="T53" s="18" t="s">
        <v>39</v>
      </c>
      <c r="U53" s="18" t="s">
        <v>40</v>
      </c>
      <c r="V53" s="18">
        <v>392000</v>
      </c>
      <c r="W53" s="18">
        <v>0.191</v>
      </c>
      <c r="X53" s="18">
        <v>2600</v>
      </c>
      <c r="Y53" s="18">
        <v>1</v>
      </c>
      <c r="Z53" s="18">
        <v>1</v>
      </c>
      <c r="AA53" s="20">
        <f t="shared" si="7"/>
        <v>369</v>
      </c>
      <c r="AB53" s="18">
        <v>90</v>
      </c>
      <c r="AC53" s="18">
        <v>45</v>
      </c>
      <c r="AD53" s="22">
        <v>220</v>
      </c>
      <c r="AE53" s="22">
        <v>60</v>
      </c>
    </row>
    <row r="54" spans="1:31" x14ac:dyDescent="0.25">
      <c r="A54" s="2">
        <f t="shared" si="1"/>
        <v>51</v>
      </c>
      <c r="B54" s="32"/>
      <c r="C54" s="2" t="s">
        <v>104</v>
      </c>
      <c r="D54" s="18">
        <v>21</v>
      </c>
      <c r="E54" s="18">
        <v>250</v>
      </c>
      <c r="F54" s="18">
        <v>450</v>
      </c>
      <c r="G54" s="18">
        <v>410</v>
      </c>
      <c r="H54" s="18">
        <v>450</v>
      </c>
      <c r="I54" s="18">
        <v>0</v>
      </c>
      <c r="J54" s="18" t="s">
        <v>36</v>
      </c>
      <c r="K54" s="18">
        <v>1400</v>
      </c>
      <c r="L54" s="19">
        <f t="shared" si="8"/>
        <v>3.4146341463414633</v>
      </c>
      <c r="M54" s="18" t="s">
        <v>18</v>
      </c>
      <c r="N54" s="18">
        <v>8</v>
      </c>
      <c r="O54" s="18">
        <v>400</v>
      </c>
      <c r="P54" s="18">
        <v>210000</v>
      </c>
      <c r="Q54" s="18">
        <v>476</v>
      </c>
      <c r="R54" s="18">
        <f t="shared" si="9"/>
        <v>0.10053119999999999</v>
      </c>
      <c r="S54" s="18" t="s">
        <v>38</v>
      </c>
      <c r="T54" s="18" t="s">
        <v>39</v>
      </c>
      <c r="U54" s="18" t="s">
        <v>40</v>
      </c>
      <c r="V54" s="18">
        <v>392000</v>
      </c>
      <c r="W54" s="18">
        <v>0.191</v>
      </c>
      <c r="X54" s="18">
        <v>2600</v>
      </c>
      <c r="Y54" s="18">
        <v>1</v>
      </c>
      <c r="Z54" s="18">
        <v>1</v>
      </c>
      <c r="AA54" s="20">
        <f t="shared" si="7"/>
        <v>369</v>
      </c>
      <c r="AB54" s="18">
        <v>90</v>
      </c>
      <c r="AC54" s="18">
        <v>45</v>
      </c>
      <c r="AD54" s="22">
        <v>180</v>
      </c>
      <c r="AE54" s="22">
        <v>55</v>
      </c>
    </row>
    <row r="55" spans="1:31" x14ac:dyDescent="0.25">
      <c r="A55" s="16">
        <f t="shared" si="1"/>
        <v>52</v>
      </c>
      <c r="B55" s="33"/>
      <c r="C55" s="17" t="s">
        <v>105</v>
      </c>
      <c r="D55" s="17">
        <v>29.11</v>
      </c>
      <c r="E55" s="17">
        <v>100</v>
      </c>
      <c r="F55" s="17">
        <v>150</v>
      </c>
      <c r="G55" s="17">
        <v>120</v>
      </c>
      <c r="H55" s="17">
        <v>150</v>
      </c>
      <c r="I55" s="17">
        <v>0</v>
      </c>
      <c r="J55" s="17" t="s">
        <v>36</v>
      </c>
      <c r="K55" s="17">
        <v>330</v>
      </c>
      <c r="L55" s="17">
        <f t="shared" si="8"/>
        <v>2.75</v>
      </c>
      <c r="M55" s="17" t="s">
        <v>52</v>
      </c>
      <c r="N55" s="17">
        <v>6</v>
      </c>
      <c r="O55" s="17">
        <v>150</v>
      </c>
      <c r="P55" s="17">
        <v>200000</v>
      </c>
      <c r="Q55" s="17">
        <v>240</v>
      </c>
      <c r="R55" s="17">
        <f t="shared" si="9"/>
        <v>0.37699199999999999</v>
      </c>
      <c r="S55" s="17" t="s">
        <v>106</v>
      </c>
      <c r="T55" s="17" t="s">
        <v>43</v>
      </c>
      <c r="U55" s="18" t="s">
        <v>40</v>
      </c>
      <c r="V55" s="17">
        <v>73000</v>
      </c>
      <c r="W55" s="17">
        <v>1</v>
      </c>
      <c r="X55" s="17">
        <v>3400</v>
      </c>
      <c r="Y55" s="17">
        <v>20</v>
      </c>
      <c r="Z55" s="17">
        <v>45</v>
      </c>
      <c r="AA55" s="17">
        <f t="shared" si="7"/>
        <v>108</v>
      </c>
      <c r="AB55" s="17">
        <v>90</v>
      </c>
      <c r="AC55" s="18">
        <v>45</v>
      </c>
      <c r="AD55" s="17">
        <v>24.5</v>
      </c>
      <c r="AE55" s="17">
        <v>3.5</v>
      </c>
    </row>
    <row r="56" spans="1:31" x14ac:dyDescent="0.25">
      <c r="A56" s="16">
        <f t="shared" si="1"/>
        <v>53</v>
      </c>
      <c r="B56" s="33" t="s">
        <v>107</v>
      </c>
      <c r="C56" s="17" t="s">
        <v>108</v>
      </c>
      <c r="D56" s="18">
        <v>29.11</v>
      </c>
      <c r="E56" s="18">
        <v>100</v>
      </c>
      <c r="F56" s="18">
        <v>150</v>
      </c>
      <c r="G56" s="18">
        <v>120</v>
      </c>
      <c r="H56" s="18">
        <v>150</v>
      </c>
      <c r="I56" s="18">
        <v>0</v>
      </c>
      <c r="J56" s="18" t="s">
        <v>36</v>
      </c>
      <c r="K56" s="18">
        <v>330</v>
      </c>
      <c r="L56" s="18">
        <f t="shared" si="8"/>
        <v>2.75</v>
      </c>
      <c r="M56" s="18" t="s">
        <v>37</v>
      </c>
      <c r="N56" s="18">
        <v>0</v>
      </c>
      <c r="O56" s="18"/>
      <c r="P56" s="18"/>
      <c r="Q56" s="18"/>
      <c r="R56" s="18"/>
      <c r="S56" s="18" t="s">
        <v>106</v>
      </c>
      <c r="T56" s="18" t="s">
        <v>43</v>
      </c>
      <c r="U56" s="18" t="s">
        <v>40</v>
      </c>
      <c r="V56" s="18">
        <v>73000</v>
      </c>
      <c r="W56" s="18">
        <v>1</v>
      </c>
      <c r="X56" s="18">
        <v>3400</v>
      </c>
      <c r="Y56" s="18">
        <v>40</v>
      </c>
      <c r="Z56" s="18">
        <v>45</v>
      </c>
      <c r="AA56" s="20">
        <f t="shared" si="7"/>
        <v>108</v>
      </c>
      <c r="AB56" s="18">
        <v>90</v>
      </c>
      <c r="AC56" s="18">
        <v>45</v>
      </c>
      <c r="AD56" s="22">
        <v>29.5</v>
      </c>
      <c r="AE56" s="22">
        <v>13.5</v>
      </c>
    </row>
    <row r="57" spans="1:31" x14ac:dyDescent="0.25">
      <c r="A57" s="26">
        <f t="shared" si="1"/>
        <v>54</v>
      </c>
      <c r="B57" s="32"/>
      <c r="C57" s="2" t="s">
        <v>109</v>
      </c>
      <c r="D57" s="18">
        <v>34.700000000000003</v>
      </c>
      <c r="E57" s="18">
        <v>250</v>
      </c>
      <c r="F57" s="18">
        <v>250</v>
      </c>
      <c r="G57" s="18">
        <v>220</v>
      </c>
      <c r="H57" s="18">
        <v>250</v>
      </c>
      <c r="I57" s="18">
        <v>0</v>
      </c>
      <c r="J57" s="18" t="s">
        <v>36</v>
      </c>
      <c r="K57" s="18">
        <f>L57*G57</f>
        <v>374</v>
      </c>
      <c r="L57" s="18">
        <v>1.7</v>
      </c>
      <c r="M57" s="18" t="s">
        <v>37</v>
      </c>
      <c r="N57" s="18">
        <v>0</v>
      </c>
      <c r="O57" s="31"/>
      <c r="P57" s="31"/>
      <c r="Q57" s="31"/>
      <c r="R57" s="18"/>
      <c r="S57" s="18" t="s">
        <v>38</v>
      </c>
      <c r="T57" s="18" t="s">
        <v>43</v>
      </c>
      <c r="U57" s="18" t="s">
        <v>40</v>
      </c>
      <c r="V57" s="18">
        <v>158000</v>
      </c>
      <c r="W57" s="18">
        <v>1.2</v>
      </c>
      <c r="X57" s="18">
        <v>3160</v>
      </c>
      <c r="Y57" s="18">
        <v>50</v>
      </c>
      <c r="Z57" s="18">
        <v>100</v>
      </c>
      <c r="AA57" s="20">
        <f t="shared" si="7"/>
        <v>198</v>
      </c>
      <c r="AB57" s="18">
        <v>45</v>
      </c>
      <c r="AC57" s="18">
        <v>45</v>
      </c>
      <c r="AD57" s="22">
        <v>178</v>
      </c>
      <c r="AE57" s="22">
        <f>AD57-105</f>
        <v>73</v>
      </c>
    </row>
    <row r="58" spans="1:31" x14ac:dyDescent="0.25">
      <c r="A58" s="26">
        <f t="shared" si="1"/>
        <v>55</v>
      </c>
      <c r="B58" s="32" t="s">
        <v>110</v>
      </c>
      <c r="C58" s="2" t="s">
        <v>111</v>
      </c>
      <c r="D58" s="18">
        <v>34.700000000000003</v>
      </c>
      <c r="E58" s="18">
        <v>250</v>
      </c>
      <c r="F58" s="18">
        <v>250</v>
      </c>
      <c r="G58" s="18">
        <v>220</v>
      </c>
      <c r="H58" s="18">
        <v>250</v>
      </c>
      <c r="I58" s="18">
        <v>0</v>
      </c>
      <c r="J58" s="18" t="s">
        <v>36</v>
      </c>
      <c r="K58" s="18">
        <f>L58*G58</f>
        <v>484.00000000000006</v>
      </c>
      <c r="L58" s="18">
        <v>2.2000000000000002</v>
      </c>
      <c r="M58" s="18" t="s">
        <v>37</v>
      </c>
      <c r="N58" s="18">
        <v>0</v>
      </c>
      <c r="O58" s="31"/>
      <c r="P58" s="31"/>
      <c r="Q58" s="31"/>
      <c r="R58" s="18"/>
      <c r="S58" s="18" t="s">
        <v>38</v>
      </c>
      <c r="T58" s="18" t="s">
        <v>43</v>
      </c>
      <c r="U58" s="18" t="s">
        <v>40</v>
      </c>
      <c r="V58" s="18">
        <v>158000</v>
      </c>
      <c r="W58" s="18">
        <v>1.2</v>
      </c>
      <c r="X58" s="18">
        <v>3160</v>
      </c>
      <c r="Y58" s="18">
        <v>50</v>
      </c>
      <c r="Z58" s="18">
        <v>100</v>
      </c>
      <c r="AA58" s="20">
        <f t="shared" si="7"/>
        <v>198</v>
      </c>
      <c r="AB58" s="18">
        <v>90</v>
      </c>
      <c r="AC58" s="18">
        <v>45</v>
      </c>
      <c r="AD58" s="22">
        <v>95.5</v>
      </c>
      <c r="AE58" s="22">
        <f>AD58-62.5</f>
        <v>33</v>
      </c>
    </row>
    <row r="59" spans="1:31" x14ac:dyDescent="0.25">
      <c r="A59" s="26">
        <f t="shared" si="1"/>
        <v>56</v>
      </c>
      <c r="B59" s="33" t="s">
        <v>112</v>
      </c>
      <c r="C59" s="17" t="s">
        <v>113</v>
      </c>
      <c r="D59" s="17">
        <v>13.3</v>
      </c>
      <c r="E59" s="17">
        <v>250</v>
      </c>
      <c r="F59" s="17">
        <v>450</v>
      </c>
      <c r="G59" s="17">
        <v>400</v>
      </c>
      <c r="H59" s="17">
        <v>450</v>
      </c>
      <c r="I59" s="17">
        <v>150</v>
      </c>
      <c r="J59" s="17" t="s">
        <v>36</v>
      </c>
      <c r="K59" s="17">
        <v>1400</v>
      </c>
      <c r="L59" s="17">
        <v>2.2000000000000002</v>
      </c>
      <c r="M59" s="17" t="s">
        <v>18</v>
      </c>
      <c r="N59" s="17">
        <v>8</v>
      </c>
      <c r="O59" s="17">
        <v>400</v>
      </c>
      <c r="P59" s="17">
        <v>200000</v>
      </c>
      <c r="Q59" s="17">
        <v>500</v>
      </c>
      <c r="R59" s="17">
        <f t="shared" si="9"/>
        <v>0.10053119999999999</v>
      </c>
      <c r="S59" s="17" t="s">
        <v>38</v>
      </c>
      <c r="T59" s="17" t="s">
        <v>39</v>
      </c>
      <c r="U59" s="18" t="s">
        <v>40</v>
      </c>
      <c r="V59" s="17">
        <v>390000</v>
      </c>
      <c r="W59" s="17">
        <v>0.22</v>
      </c>
      <c r="X59" s="17">
        <v>3000</v>
      </c>
      <c r="Y59" s="17">
        <v>1</v>
      </c>
      <c r="Z59" s="17">
        <v>1</v>
      </c>
      <c r="AA59" s="17">
        <f t="shared" si="7"/>
        <v>210</v>
      </c>
      <c r="AB59" s="17">
        <v>90</v>
      </c>
      <c r="AC59" s="18">
        <v>45</v>
      </c>
      <c r="AD59" s="17">
        <v>112.5</v>
      </c>
      <c r="AE59" s="17">
        <v>14.5</v>
      </c>
    </row>
    <row r="60" spans="1:31" x14ac:dyDescent="0.25">
      <c r="A60" s="26">
        <f t="shared" si="1"/>
        <v>57</v>
      </c>
      <c r="B60" s="32"/>
      <c r="C60" s="18" t="s">
        <v>114</v>
      </c>
      <c r="D60" s="2">
        <f>59*0.79</f>
        <v>46.61</v>
      </c>
      <c r="E60" s="18">
        <v>180</v>
      </c>
      <c r="F60" s="18">
        <v>500</v>
      </c>
      <c r="G60" s="18">
        <f>F60-65</f>
        <v>435</v>
      </c>
      <c r="H60" s="18">
        <v>500</v>
      </c>
      <c r="I60" s="18">
        <v>0</v>
      </c>
      <c r="J60" s="18" t="s">
        <v>36</v>
      </c>
      <c r="K60" s="18">
        <v>1250</v>
      </c>
      <c r="L60" s="18">
        <v>2.2000000000000002</v>
      </c>
      <c r="M60" s="18" t="s">
        <v>37</v>
      </c>
      <c r="N60" s="18">
        <v>0</v>
      </c>
      <c r="O60" s="18"/>
      <c r="P60" s="18"/>
      <c r="Q60" s="18"/>
      <c r="R60" s="18"/>
      <c r="S60" s="18" t="s">
        <v>38</v>
      </c>
      <c r="T60" s="18" t="s">
        <v>39</v>
      </c>
      <c r="U60" s="18" t="s">
        <v>40</v>
      </c>
      <c r="V60" s="18">
        <v>234000</v>
      </c>
      <c r="W60" s="17">
        <v>0.11</v>
      </c>
      <c r="X60" s="18">
        <v>4500</v>
      </c>
      <c r="Y60" s="18">
        <v>1</v>
      </c>
      <c r="Z60" s="18">
        <v>1</v>
      </c>
      <c r="AA60" s="20">
        <f t="shared" si="7"/>
        <v>391.5</v>
      </c>
      <c r="AB60" s="18">
        <v>90</v>
      </c>
      <c r="AC60" s="18">
        <v>45</v>
      </c>
      <c r="AD60" s="22">
        <v>256</v>
      </c>
      <c r="AE60" s="22">
        <f>AD60-122</f>
        <v>134</v>
      </c>
    </row>
    <row r="61" spans="1:31" x14ac:dyDescent="0.25">
      <c r="A61" s="26">
        <f t="shared" si="1"/>
        <v>58</v>
      </c>
      <c r="B61" s="32"/>
      <c r="C61" s="18" t="s">
        <v>115</v>
      </c>
      <c r="D61" s="2">
        <f>52*0.79</f>
        <v>41.08</v>
      </c>
      <c r="E61" s="18">
        <v>180</v>
      </c>
      <c r="F61" s="18">
        <v>500</v>
      </c>
      <c r="G61" s="18">
        <f>F61-65</f>
        <v>435</v>
      </c>
      <c r="H61" s="18">
        <v>500</v>
      </c>
      <c r="I61" s="18">
        <v>0</v>
      </c>
      <c r="J61" s="18" t="s">
        <v>36</v>
      </c>
      <c r="K61" s="18">
        <v>1250</v>
      </c>
      <c r="L61" s="18">
        <v>2.2000000000000002</v>
      </c>
      <c r="M61" s="18" t="s">
        <v>37</v>
      </c>
      <c r="N61" s="18">
        <v>0</v>
      </c>
      <c r="O61" s="18"/>
      <c r="P61" s="18"/>
      <c r="Q61" s="18"/>
      <c r="R61" s="18"/>
      <c r="S61" s="18" t="s">
        <v>38</v>
      </c>
      <c r="T61" s="18" t="s">
        <v>39</v>
      </c>
      <c r="U61" s="18" t="s">
        <v>40</v>
      </c>
      <c r="V61" s="18">
        <v>234000</v>
      </c>
      <c r="W61" s="17">
        <v>0.11</v>
      </c>
      <c r="X61" s="18">
        <v>4500</v>
      </c>
      <c r="Y61" s="18">
        <v>1</v>
      </c>
      <c r="Z61" s="18">
        <v>1</v>
      </c>
      <c r="AA61" s="20">
        <f t="shared" si="7"/>
        <v>391.5</v>
      </c>
      <c r="AB61" s="18">
        <v>90</v>
      </c>
      <c r="AC61" s="18">
        <v>45</v>
      </c>
      <c r="AD61" s="22">
        <v>298</v>
      </c>
      <c r="AE61" s="22">
        <f>AD61-117</f>
        <v>181</v>
      </c>
    </row>
    <row r="62" spans="1:31" x14ac:dyDescent="0.25">
      <c r="A62" s="26">
        <f t="shared" si="1"/>
        <v>59</v>
      </c>
      <c r="B62" s="32" t="s">
        <v>116</v>
      </c>
      <c r="C62" s="18">
        <v>345</v>
      </c>
      <c r="D62" s="2">
        <f>71*0.79</f>
        <v>56.09</v>
      </c>
      <c r="E62" s="18">
        <v>180</v>
      </c>
      <c r="F62" s="18">
        <v>500</v>
      </c>
      <c r="G62" s="18">
        <f>F62-65</f>
        <v>435</v>
      </c>
      <c r="H62" s="18">
        <v>500</v>
      </c>
      <c r="I62" s="18">
        <v>0</v>
      </c>
      <c r="J62" s="18" t="s">
        <v>36</v>
      </c>
      <c r="K62" s="18">
        <v>1250</v>
      </c>
      <c r="L62" s="18">
        <v>2.2000000000000002</v>
      </c>
      <c r="M62" s="18" t="s">
        <v>37</v>
      </c>
      <c r="N62" s="2">
        <v>0</v>
      </c>
      <c r="O62" s="2"/>
      <c r="P62" s="2"/>
      <c r="Q62" s="2"/>
      <c r="R62" s="18"/>
      <c r="S62" s="18" t="s">
        <v>38</v>
      </c>
      <c r="T62" s="18" t="s">
        <v>39</v>
      </c>
      <c r="U62" s="18" t="s">
        <v>40</v>
      </c>
      <c r="V62" s="18">
        <v>234000</v>
      </c>
      <c r="W62" s="17">
        <v>0.17</v>
      </c>
      <c r="X62" s="18">
        <v>4500</v>
      </c>
      <c r="Y62" s="2">
        <v>1</v>
      </c>
      <c r="Z62" s="2">
        <f>SQRT(2)</f>
        <v>1.4142135623730951</v>
      </c>
      <c r="AA62" s="20">
        <f t="shared" si="7"/>
        <v>391.5</v>
      </c>
      <c r="AB62" s="2">
        <v>45</v>
      </c>
      <c r="AC62" s="18">
        <v>45</v>
      </c>
      <c r="AD62" s="22">
        <v>334</v>
      </c>
      <c r="AE62" s="22">
        <f>AD62-130</f>
        <v>204</v>
      </c>
    </row>
    <row r="63" spans="1:31" x14ac:dyDescent="0.25">
      <c r="A63" s="26">
        <f t="shared" si="1"/>
        <v>60</v>
      </c>
      <c r="B63" s="32"/>
      <c r="C63" s="18">
        <v>290</v>
      </c>
      <c r="D63" s="2">
        <f>46*0.79</f>
        <v>36.340000000000003</v>
      </c>
      <c r="E63" s="18">
        <v>180</v>
      </c>
      <c r="F63" s="2">
        <v>400</v>
      </c>
      <c r="G63" s="18">
        <f>F63-65</f>
        <v>335</v>
      </c>
      <c r="H63" s="2">
        <v>400</v>
      </c>
      <c r="I63" s="18">
        <v>0</v>
      </c>
      <c r="J63" s="18" t="s">
        <v>36</v>
      </c>
      <c r="K63" s="2">
        <v>1000</v>
      </c>
      <c r="L63" s="18">
        <v>2.2000000000000002</v>
      </c>
      <c r="M63" s="2" t="s">
        <v>18</v>
      </c>
      <c r="N63" s="2">
        <v>6</v>
      </c>
      <c r="O63" s="2">
        <v>200</v>
      </c>
      <c r="P63" s="2">
        <v>210000</v>
      </c>
      <c r="Q63" s="2">
        <v>515</v>
      </c>
      <c r="R63" s="18">
        <f t="shared" si="9"/>
        <v>0.15707999999999997</v>
      </c>
      <c r="S63" s="18" t="s">
        <v>38</v>
      </c>
      <c r="T63" s="18" t="s">
        <v>39</v>
      </c>
      <c r="U63" s="18" t="s">
        <v>40</v>
      </c>
      <c r="V63" s="18">
        <v>234000</v>
      </c>
      <c r="W63" s="17">
        <v>0.11</v>
      </c>
      <c r="X63" s="18">
        <v>4500</v>
      </c>
      <c r="Y63" s="2">
        <v>1</v>
      </c>
      <c r="Z63" s="2">
        <v>1</v>
      </c>
      <c r="AA63" s="20">
        <f t="shared" si="7"/>
        <v>301.5</v>
      </c>
      <c r="AB63" s="2">
        <v>90</v>
      </c>
      <c r="AC63" s="18">
        <v>45</v>
      </c>
      <c r="AD63" s="22">
        <v>298</v>
      </c>
      <c r="AE63" s="22">
        <f>AD63-237</f>
        <v>61</v>
      </c>
    </row>
    <row r="64" spans="1:31" x14ac:dyDescent="0.25">
      <c r="A64" s="26">
        <f t="shared" si="1"/>
        <v>61</v>
      </c>
      <c r="B64" s="32"/>
      <c r="C64" s="18">
        <v>390</v>
      </c>
      <c r="D64" s="2">
        <f>46*0.79</f>
        <v>36.340000000000003</v>
      </c>
      <c r="E64" s="18">
        <v>180</v>
      </c>
      <c r="F64" s="2">
        <v>400</v>
      </c>
      <c r="G64" s="18">
        <f>F64-65</f>
        <v>335</v>
      </c>
      <c r="H64" s="2">
        <v>400</v>
      </c>
      <c r="I64" s="18">
        <v>0</v>
      </c>
      <c r="J64" s="18" t="s">
        <v>36</v>
      </c>
      <c r="K64" s="2">
        <v>1000</v>
      </c>
      <c r="L64" s="18">
        <v>2.2000000000000002</v>
      </c>
      <c r="M64" s="2" t="s">
        <v>18</v>
      </c>
      <c r="N64" s="2">
        <v>6</v>
      </c>
      <c r="O64" s="2">
        <v>200</v>
      </c>
      <c r="P64" s="2">
        <v>210000</v>
      </c>
      <c r="Q64" s="2">
        <v>515</v>
      </c>
      <c r="R64" s="18">
        <f t="shared" si="9"/>
        <v>0.15707999999999997</v>
      </c>
      <c r="S64" s="18" t="s">
        <v>38</v>
      </c>
      <c r="T64" s="18" t="s">
        <v>39</v>
      </c>
      <c r="U64" s="18" t="s">
        <v>40</v>
      </c>
      <c r="V64" s="18">
        <v>234000</v>
      </c>
      <c r="W64" s="17">
        <v>0.17</v>
      </c>
      <c r="X64" s="18">
        <v>4500</v>
      </c>
      <c r="Y64" s="2">
        <v>1</v>
      </c>
      <c r="Z64" s="2">
        <v>1</v>
      </c>
      <c r="AA64" s="20">
        <f t="shared" si="7"/>
        <v>301.5</v>
      </c>
      <c r="AB64" s="2">
        <v>90</v>
      </c>
      <c r="AC64" s="18">
        <v>45</v>
      </c>
      <c r="AD64" s="22">
        <v>298</v>
      </c>
      <c r="AE64" s="22">
        <f>AD64-237</f>
        <v>61</v>
      </c>
    </row>
    <row r="65" spans="1:31" x14ac:dyDescent="0.25">
      <c r="A65" s="26">
        <f t="shared" si="1"/>
        <v>62</v>
      </c>
      <c r="B65" s="20"/>
      <c r="C65" s="20" t="s">
        <v>117</v>
      </c>
      <c r="D65" s="20">
        <v>32.799999999999997</v>
      </c>
      <c r="E65" s="20">
        <v>150</v>
      </c>
      <c r="F65" s="20">
        <v>300</v>
      </c>
      <c r="G65" s="20">
        <v>261</v>
      </c>
      <c r="H65" s="20">
        <v>300</v>
      </c>
      <c r="I65" s="20">
        <v>0</v>
      </c>
      <c r="J65" s="20" t="s">
        <v>36</v>
      </c>
      <c r="K65" s="20">
        <v>740</v>
      </c>
      <c r="L65" s="34">
        <f t="shared" ref="L65:L97" si="10">K65/G65</f>
        <v>2.8352490421455938</v>
      </c>
      <c r="M65" s="20" t="s">
        <v>37</v>
      </c>
      <c r="N65" s="20">
        <v>0</v>
      </c>
      <c r="O65" s="20"/>
      <c r="P65" s="20"/>
      <c r="Q65" s="20"/>
      <c r="R65" s="5"/>
      <c r="S65" s="20" t="s">
        <v>38</v>
      </c>
      <c r="T65" s="20" t="s">
        <v>43</v>
      </c>
      <c r="U65" s="18" t="s">
        <v>40</v>
      </c>
      <c r="V65" s="20">
        <v>230000</v>
      </c>
      <c r="W65" s="20">
        <v>0.111</v>
      </c>
      <c r="X65" s="20">
        <v>3400</v>
      </c>
      <c r="Y65" s="20">
        <v>50</v>
      </c>
      <c r="Z65" s="20">
        <v>100</v>
      </c>
      <c r="AA65" s="20">
        <f t="shared" si="7"/>
        <v>234.9</v>
      </c>
      <c r="AB65" s="20">
        <v>90</v>
      </c>
      <c r="AC65" s="18">
        <v>45</v>
      </c>
      <c r="AD65" s="20">
        <f>196.24/2</f>
        <v>98.12</v>
      </c>
      <c r="AE65" s="35">
        <v>82.4</v>
      </c>
    </row>
    <row r="66" spans="1:31" x14ac:dyDescent="0.25">
      <c r="A66" s="26">
        <f t="shared" si="1"/>
        <v>63</v>
      </c>
      <c r="B66" s="20"/>
      <c r="C66" s="18" t="s">
        <v>118</v>
      </c>
      <c r="D66" s="18">
        <v>32.799999999999997</v>
      </c>
      <c r="E66" s="18">
        <v>150</v>
      </c>
      <c r="F66" s="18">
        <v>300</v>
      </c>
      <c r="G66" s="18">
        <v>261</v>
      </c>
      <c r="H66" s="18">
        <v>300</v>
      </c>
      <c r="I66" s="18">
        <v>0</v>
      </c>
      <c r="J66" s="18" t="s">
        <v>36</v>
      </c>
      <c r="K66" s="18">
        <v>740</v>
      </c>
      <c r="L66" s="19">
        <f t="shared" si="10"/>
        <v>2.8352490421455938</v>
      </c>
      <c r="M66" s="18" t="s">
        <v>37</v>
      </c>
      <c r="N66" s="18">
        <v>0</v>
      </c>
      <c r="O66" s="18"/>
      <c r="P66" s="18"/>
      <c r="Q66" s="18"/>
      <c r="S66" s="18" t="s">
        <v>38</v>
      </c>
      <c r="T66" s="18" t="s">
        <v>43</v>
      </c>
      <c r="U66" s="18" t="s">
        <v>40</v>
      </c>
      <c r="V66" s="18">
        <v>230000</v>
      </c>
      <c r="W66" s="18">
        <v>0.111</v>
      </c>
      <c r="X66" s="18">
        <v>3400</v>
      </c>
      <c r="Y66" s="18">
        <v>50</v>
      </c>
      <c r="Z66" s="18">
        <v>100</v>
      </c>
      <c r="AA66" s="20">
        <f t="shared" si="7"/>
        <v>234.9</v>
      </c>
      <c r="AB66" s="18">
        <v>90</v>
      </c>
      <c r="AC66" s="18">
        <v>45</v>
      </c>
      <c r="AD66" s="22">
        <f>208.58/2</f>
        <v>104.29</v>
      </c>
      <c r="AE66" s="36">
        <f>94.74/2</f>
        <v>47.37</v>
      </c>
    </row>
    <row r="67" spans="1:31" x14ac:dyDescent="0.25">
      <c r="A67" s="26">
        <f t="shared" si="1"/>
        <v>64</v>
      </c>
      <c r="B67" s="20"/>
      <c r="C67" s="18" t="s">
        <v>119</v>
      </c>
      <c r="D67" s="18">
        <v>32.799999999999997</v>
      </c>
      <c r="E67" s="18">
        <v>150</v>
      </c>
      <c r="F67" s="18">
        <v>300</v>
      </c>
      <c r="G67" s="18">
        <v>261</v>
      </c>
      <c r="H67" s="18">
        <v>300</v>
      </c>
      <c r="I67" s="18">
        <v>0</v>
      </c>
      <c r="J67" s="18" t="s">
        <v>36</v>
      </c>
      <c r="K67" s="18">
        <v>741</v>
      </c>
      <c r="L67" s="19">
        <f t="shared" si="10"/>
        <v>2.8390804597701149</v>
      </c>
      <c r="M67" s="18" t="s">
        <v>37</v>
      </c>
      <c r="N67" s="18">
        <v>0</v>
      </c>
      <c r="O67" s="18"/>
      <c r="P67" s="18"/>
      <c r="Q67" s="18"/>
      <c r="S67" s="18" t="s">
        <v>38</v>
      </c>
      <c r="T67" s="18" t="s">
        <v>43</v>
      </c>
      <c r="U67" s="18" t="s">
        <v>40</v>
      </c>
      <c r="V67" s="18">
        <v>230000</v>
      </c>
      <c r="W67" s="18">
        <v>0.111</v>
      </c>
      <c r="X67" s="18">
        <v>3400</v>
      </c>
      <c r="Y67" s="18">
        <v>50</v>
      </c>
      <c r="Z67" s="18">
        <v>100</v>
      </c>
      <c r="AA67" s="20">
        <f t="shared" si="7"/>
        <v>234.9</v>
      </c>
      <c r="AB67" s="18">
        <v>90</v>
      </c>
      <c r="AC67" s="18">
        <v>45</v>
      </c>
      <c r="AD67" s="22">
        <f>230.38/2</f>
        <v>115.19</v>
      </c>
      <c r="AE67" s="36">
        <f>116.54/2</f>
        <v>58.27</v>
      </c>
    </row>
    <row r="68" spans="1:31" x14ac:dyDescent="0.25">
      <c r="A68" s="26">
        <f t="shared" si="1"/>
        <v>65</v>
      </c>
      <c r="B68" s="20"/>
      <c r="C68" s="18" t="s">
        <v>120</v>
      </c>
      <c r="D68" s="18">
        <v>32.799999999999997</v>
      </c>
      <c r="E68" s="18">
        <v>150</v>
      </c>
      <c r="F68" s="18">
        <v>300</v>
      </c>
      <c r="G68" s="18">
        <v>261</v>
      </c>
      <c r="H68" s="18">
        <v>300</v>
      </c>
      <c r="I68" s="18">
        <v>0</v>
      </c>
      <c r="J68" s="18" t="s">
        <v>36</v>
      </c>
      <c r="K68" s="18">
        <v>742</v>
      </c>
      <c r="L68" s="19">
        <f t="shared" si="10"/>
        <v>2.842911877394636</v>
      </c>
      <c r="M68" s="18" t="s">
        <v>37</v>
      </c>
      <c r="N68" s="18">
        <v>0</v>
      </c>
      <c r="O68" s="31"/>
      <c r="P68" s="31"/>
      <c r="Q68" s="31"/>
      <c r="R68" s="31"/>
      <c r="S68" s="18" t="s">
        <v>38</v>
      </c>
      <c r="T68" s="18" t="s">
        <v>43</v>
      </c>
      <c r="U68" s="18" t="s">
        <v>40</v>
      </c>
      <c r="V68" s="18">
        <v>230000</v>
      </c>
      <c r="W68" s="18">
        <v>0.111</v>
      </c>
      <c r="X68" s="18">
        <v>3400</v>
      </c>
      <c r="Y68" s="18">
        <v>50</v>
      </c>
      <c r="Z68" s="18">
        <v>141.4</v>
      </c>
      <c r="AA68" s="20">
        <f t="shared" si="7"/>
        <v>234.9</v>
      </c>
      <c r="AB68" s="18">
        <v>45</v>
      </c>
      <c r="AC68" s="18">
        <v>45</v>
      </c>
      <c r="AD68" s="36">
        <f>203.3/2</f>
        <v>101.65</v>
      </c>
      <c r="AE68" s="36">
        <f>89.46/2</f>
        <v>44.73</v>
      </c>
    </row>
    <row r="69" spans="1:31" x14ac:dyDescent="0.25">
      <c r="A69" s="26">
        <f t="shared" ref="A69:A84" si="11">A68+1</f>
        <v>66</v>
      </c>
      <c r="B69" s="20" t="s">
        <v>121</v>
      </c>
      <c r="C69" s="18" t="s">
        <v>122</v>
      </c>
      <c r="D69" s="18">
        <v>32.799999999999997</v>
      </c>
      <c r="E69" s="18">
        <v>150</v>
      </c>
      <c r="F69" s="18">
        <v>300</v>
      </c>
      <c r="G69" s="18">
        <v>261</v>
      </c>
      <c r="H69" s="18">
        <v>300</v>
      </c>
      <c r="I69" s="18">
        <v>0</v>
      </c>
      <c r="J69" s="18" t="s">
        <v>36</v>
      </c>
      <c r="K69" s="18">
        <v>743</v>
      </c>
      <c r="L69" s="19">
        <f t="shared" si="10"/>
        <v>2.8467432950191571</v>
      </c>
      <c r="M69" s="18" t="s">
        <v>37</v>
      </c>
      <c r="N69" s="18">
        <v>0</v>
      </c>
      <c r="O69" s="18"/>
      <c r="P69" s="18"/>
      <c r="Q69" s="18"/>
      <c r="R69" s="18"/>
      <c r="S69" s="18" t="s">
        <v>38</v>
      </c>
      <c r="T69" s="18" t="s">
        <v>43</v>
      </c>
      <c r="U69" s="18" t="s">
        <v>40</v>
      </c>
      <c r="V69" s="18">
        <v>230000</v>
      </c>
      <c r="W69" s="18">
        <v>0.111</v>
      </c>
      <c r="X69" s="18">
        <v>3400</v>
      </c>
      <c r="Y69" s="18">
        <v>50</v>
      </c>
      <c r="Z69" s="18">
        <v>141.4</v>
      </c>
      <c r="AA69" s="20">
        <f t="shared" si="7"/>
        <v>234.9</v>
      </c>
      <c r="AB69" s="18">
        <v>45</v>
      </c>
      <c r="AC69" s="18">
        <v>45</v>
      </c>
      <c r="AD69" s="22">
        <f>183.3/2</f>
        <v>91.65</v>
      </c>
      <c r="AE69" s="37">
        <f>69.46/2</f>
        <v>34.729999999999997</v>
      </c>
    </row>
    <row r="70" spans="1:31" x14ac:dyDescent="0.25">
      <c r="A70" s="26">
        <f t="shared" si="11"/>
        <v>67</v>
      </c>
      <c r="B70" s="20"/>
      <c r="C70" s="18" t="s">
        <v>123</v>
      </c>
      <c r="D70" s="18">
        <v>32.799999999999997</v>
      </c>
      <c r="E70" s="18">
        <v>150</v>
      </c>
      <c r="F70" s="18">
        <v>300</v>
      </c>
      <c r="G70" s="18">
        <v>261</v>
      </c>
      <c r="H70" s="18">
        <v>300</v>
      </c>
      <c r="I70" s="18">
        <v>0</v>
      </c>
      <c r="J70" s="18" t="s">
        <v>36</v>
      </c>
      <c r="K70" s="18">
        <v>744</v>
      </c>
      <c r="L70" s="19">
        <f t="shared" si="10"/>
        <v>2.8505747126436782</v>
      </c>
      <c r="M70" s="18" t="s">
        <v>37</v>
      </c>
      <c r="N70" s="18">
        <v>0</v>
      </c>
      <c r="O70" s="31"/>
      <c r="P70" s="31"/>
      <c r="Q70" s="31"/>
      <c r="R70" s="31"/>
      <c r="S70" s="18" t="s">
        <v>38</v>
      </c>
      <c r="T70" s="18" t="s">
        <v>39</v>
      </c>
      <c r="U70" s="18" t="s">
        <v>40</v>
      </c>
      <c r="V70" s="18">
        <v>230000</v>
      </c>
      <c r="W70" s="18">
        <v>0.111</v>
      </c>
      <c r="X70" s="18">
        <v>3400</v>
      </c>
      <c r="Y70" s="18">
        <v>1</v>
      </c>
      <c r="Z70" s="18">
        <v>1</v>
      </c>
      <c r="AA70" s="20">
        <f t="shared" si="7"/>
        <v>234.9</v>
      </c>
      <c r="AB70" s="18">
        <v>90</v>
      </c>
      <c r="AC70" s="18">
        <v>45</v>
      </c>
      <c r="AD70" s="36">
        <f>244.01/2</f>
        <v>122.005</v>
      </c>
      <c r="AE70" s="37">
        <f>130.17/2</f>
        <v>65.084999999999994</v>
      </c>
    </row>
    <row r="71" spans="1:31" ht="15.75" x14ac:dyDescent="0.25">
      <c r="A71" s="26">
        <f t="shared" si="11"/>
        <v>68</v>
      </c>
      <c r="B71" s="20"/>
      <c r="C71" s="18" t="s">
        <v>124</v>
      </c>
      <c r="D71" s="18">
        <v>32.799999999999997</v>
      </c>
      <c r="E71" s="18">
        <v>150</v>
      </c>
      <c r="F71" s="18">
        <v>300</v>
      </c>
      <c r="G71" s="18">
        <v>261</v>
      </c>
      <c r="H71" s="18">
        <v>300</v>
      </c>
      <c r="I71" s="18">
        <v>0</v>
      </c>
      <c r="J71" s="18" t="s">
        <v>36</v>
      </c>
      <c r="K71" s="18">
        <v>745</v>
      </c>
      <c r="L71" s="19">
        <f t="shared" si="10"/>
        <v>2.8544061302681993</v>
      </c>
      <c r="M71" s="18" t="s">
        <v>37</v>
      </c>
      <c r="N71" s="18">
        <v>0</v>
      </c>
      <c r="O71" s="38"/>
      <c r="P71" s="38"/>
      <c r="Q71" s="38"/>
      <c r="R71" s="39"/>
      <c r="S71" s="18" t="s">
        <v>38</v>
      </c>
      <c r="T71" s="18" t="s">
        <v>39</v>
      </c>
      <c r="U71" s="18" t="s">
        <v>40</v>
      </c>
      <c r="V71" s="18">
        <v>230000</v>
      </c>
      <c r="W71" s="18">
        <v>0.111</v>
      </c>
      <c r="X71" s="18">
        <v>3400</v>
      </c>
      <c r="Y71" s="18">
        <v>1</v>
      </c>
      <c r="Z71" s="18">
        <v>1</v>
      </c>
      <c r="AA71" s="20">
        <f t="shared" si="7"/>
        <v>234.9</v>
      </c>
      <c r="AB71" s="18">
        <v>90</v>
      </c>
      <c r="AC71" s="18">
        <v>45</v>
      </c>
      <c r="AD71" s="36">
        <f>251.5/2</f>
        <v>125.75</v>
      </c>
      <c r="AE71" s="37">
        <f>137.66/2</f>
        <v>68.83</v>
      </c>
    </row>
    <row r="72" spans="1:31" x14ac:dyDescent="0.25">
      <c r="A72" s="26">
        <f t="shared" si="11"/>
        <v>69</v>
      </c>
      <c r="B72" s="20"/>
      <c r="C72" s="18" t="s">
        <v>125</v>
      </c>
      <c r="D72" s="18">
        <v>32.799999999999997</v>
      </c>
      <c r="E72" s="18">
        <v>150</v>
      </c>
      <c r="F72" s="18">
        <v>300</v>
      </c>
      <c r="G72" s="18">
        <v>261</v>
      </c>
      <c r="H72" s="18">
        <v>300</v>
      </c>
      <c r="I72" s="18">
        <v>0</v>
      </c>
      <c r="J72" s="18" t="s">
        <v>36</v>
      </c>
      <c r="K72" s="18">
        <v>746</v>
      </c>
      <c r="L72" s="19">
        <f t="shared" si="10"/>
        <v>2.8582375478927204</v>
      </c>
      <c r="M72" s="18" t="s">
        <v>37</v>
      </c>
      <c r="N72" s="18">
        <v>0</v>
      </c>
      <c r="O72" s="18"/>
      <c r="P72" s="18"/>
      <c r="Q72" s="18"/>
      <c r="R72" s="18"/>
      <c r="S72" s="18" t="s">
        <v>38</v>
      </c>
      <c r="T72" s="18" t="s">
        <v>39</v>
      </c>
      <c r="U72" s="18" t="s">
        <v>40</v>
      </c>
      <c r="V72" s="18">
        <v>230000</v>
      </c>
      <c r="W72" s="18">
        <v>0.111</v>
      </c>
      <c r="X72" s="18">
        <v>3400</v>
      </c>
      <c r="Y72" s="18">
        <v>1</v>
      </c>
      <c r="Z72" s="18">
        <v>1.4139999999999999</v>
      </c>
      <c r="AA72" s="20">
        <f t="shared" si="7"/>
        <v>234.9</v>
      </c>
      <c r="AB72" s="18">
        <v>45</v>
      </c>
      <c r="AC72" s="18">
        <v>45</v>
      </c>
      <c r="AD72" s="22">
        <f>256.78/2</f>
        <v>128.38999999999999</v>
      </c>
      <c r="AE72" s="22">
        <f>142.94/2</f>
        <v>71.47</v>
      </c>
    </row>
    <row r="73" spans="1:31" x14ac:dyDescent="0.25">
      <c r="A73" s="26">
        <f t="shared" si="11"/>
        <v>70</v>
      </c>
      <c r="B73" s="20"/>
      <c r="C73" s="18" t="s">
        <v>126</v>
      </c>
      <c r="D73" s="18">
        <v>32.799999999999997</v>
      </c>
      <c r="E73" s="18">
        <v>150</v>
      </c>
      <c r="F73" s="18">
        <v>300</v>
      </c>
      <c r="G73" s="18">
        <v>261</v>
      </c>
      <c r="H73" s="18">
        <v>300</v>
      </c>
      <c r="I73" s="18">
        <v>0</v>
      </c>
      <c r="J73" s="18" t="s">
        <v>36</v>
      </c>
      <c r="K73" s="18">
        <v>747</v>
      </c>
      <c r="L73" s="19">
        <f t="shared" si="10"/>
        <v>2.8620689655172415</v>
      </c>
      <c r="M73" s="18" t="s">
        <v>37</v>
      </c>
      <c r="N73" s="18">
        <v>0</v>
      </c>
      <c r="O73" s="18"/>
      <c r="P73" s="18"/>
      <c r="Q73" s="18"/>
      <c r="R73" s="18"/>
      <c r="S73" s="18" t="s">
        <v>38</v>
      </c>
      <c r="T73" s="18" t="s">
        <v>39</v>
      </c>
      <c r="U73" s="18" t="s">
        <v>40</v>
      </c>
      <c r="V73" s="18">
        <v>230000</v>
      </c>
      <c r="W73" s="18">
        <v>0.111</v>
      </c>
      <c r="X73" s="18">
        <v>3400</v>
      </c>
      <c r="Y73" s="18">
        <v>1</v>
      </c>
      <c r="Z73" s="18">
        <v>1.4139999999999999</v>
      </c>
      <c r="AA73" s="20">
        <f t="shared" si="7"/>
        <v>234.9</v>
      </c>
      <c r="AB73" s="18">
        <v>45</v>
      </c>
      <c r="AC73" s="18">
        <v>45</v>
      </c>
      <c r="AD73" s="22">
        <f>241.12/2</f>
        <v>120.56</v>
      </c>
      <c r="AE73" s="22">
        <f>127.28/2</f>
        <v>63.64</v>
      </c>
    </row>
    <row r="74" spans="1:31" x14ac:dyDescent="0.25">
      <c r="A74" s="26">
        <f t="shared" si="11"/>
        <v>71</v>
      </c>
      <c r="B74" s="20"/>
      <c r="C74" s="18" t="s">
        <v>127</v>
      </c>
      <c r="D74" s="18">
        <v>32.799999999999997</v>
      </c>
      <c r="E74" s="18">
        <v>150</v>
      </c>
      <c r="F74" s="18">
        <v>300</v>
      </c>
      <c r="G74" s="18">
        <v>261</v>
      </c>
      <c r="H74" s="18">
        <v>300</v>
      </c>
      <c r="I74" s="18">
        <v>0</v>
      </c>
      <c r="J74" s="18" t="s">
        <v>36</v>
      </c>
      <c r="K74" s="18">
        <v>748</v>
      </c>
      <c r="L74" s="19">
        <f t="shared" si="10"/>
        <v>2.8659003831417627</v>
      </c>
      <c r="M74" s="18" t="s">
        <v>37</v>
      </c>
      <c r="N74" s="18">
        <v>0</v>
      </c>
      <c r="O74" s="18"/>
      <c r="P74" s="18"/>
      <c r="Q74" s="18"/>
      <c r="R74" s="18"/>
      <c r="S74" s="18" t="s">
        <v>38</v>
      </c>
      <c r="T74" s="18" t="s">
        <v>43</v>
      </c>
      <c r="U74" s="18" t="s">
        <v>40</v>
      </c>
      <c r="V74" s="18">
        <v>205000</v>
      </c>
      <c r="W74" s="18">
        <v>1.4</v>
      </c>
      <c r="X74" s="18">
        <v>2500</v>
      </c>
      <c r="Y74" s="18">
        <v>50</v>
      </c>
      <c r="Z74" s="18">
        <v>100</v>
      </c>
      <c r="AA74" s="20">
        <f t="shared" si="7"/>
        <v>234.9</v>
      </c>
      <c r="AB74" s="18">
        <v>90</v>
      </c>
      <c r="AC74" s="18">
        <v>45</v>
      </c>
      <c r="AD74" s="22">
        <f>285.82/2</f>
        <v>142.91</v>
      </c>
      <c r="AE74" s="22">
        <f>171.98/2</f>
        <v>85.99</v>
      </c>
    </row>
    <row r="75" spans="1:31" x14ac:dyDescent="0.25">
      <c r="A75" s="26">
        <f t="shared" si="11"/>
        <v>72</v>
      </c>
      <c r="B75" s="20"/>
      <c r="C75" s="18" t="s">
        <v>128</v>
      </c>
      <c r="D75" s="18">
        <v>32.799999999999997</v>
      </c>
      <c r="E75" s="18">
        <v>150</v>
      </c>
      <c r="F75" s="18">
        <v>300</v>
      </c>
      <c r="G75" s="18">
        <v>261</v>
      </c>
      <c r="H75" s="18">
        <v>300</v>
      </c>
      <c r="I75" s="18">
        <v>0</v>
      </c>
      <c r="J75" s="18" t="s">
        <v>36</v>
      </c>
      <c r="K75" s="18">
        <v>749</v>
      </c>
      <c r="L75" s="19">
        <f t="shared" si="10"/>
        <v>2.8697318007662833</v>
      </c>
      <c r="M75" s="18" t="s">
        <v>37</v>
      </c>
      <c r="N75" s="18">
        <v>0</v>
      </c>
      <c r="O75" s="18"/>
      <c r="P75" s="18"/>
      <c r="Q75" s="18"/>
      <c r="R75" s="18"/>
      <c r="S75" s="18" t="s">
        <v>38</v>
      </c>
      <c r="T75" s="18" t="s">
        <v>43</v>
      </c>
      <c r="U75" s="18" t="s">
        <v>40</v>
      </c>
      <c r="V75" s="18">
        <v>205000</v>
      </c>
      <c r="W75" s="18">
        <v>1.4</v>
      </c>
      <c r="X75" s="18">
        <v>2500</v>
      </c>
      <c r="Y75" s="18">
        <v>50</v>
      </c>
      <c r="Z75" s="18">
        <v>100</v>
      </c>
      <c r="AA75" s="20">
        <f t="shared" si="7"/>
        <v>234.9</v>
      </c>
      <c r="AB75" s="18">
        <v>90</v>
      </c>
      <c r="AC75" s="18">
        <v>45</v>
      </c>
      <c r="AD75" s="22">
        <f>225.02/2</f>
        <v>112.51</v>
      </c>
      <c r="AE75" s="22">
        <f>111.18/2</f>
        <v>55.59</v>
      </c>
    </row>
    <row r="76" spans="1:31" x14ac:dyDescent="0.25">
      <c r="A76" s="26">
        <f t="shared" si="11"/>
        <v>73</v>
      </c>
      <c r="B76" s="20"/>
      <c r="C76" s="18" t="s">
        <v>129</v>
      </c>
      <c r="D76" s="18">
        <v>32.799999999999997</v>
      </c>
      <c r="E76" s="18">
        <v>150</v>
      </c>
      <c r="F76" s="18">
        <v>300</v>
      </c>
      <c r="G76" s="18">
        <v>261</v>
      </c>
      <c r="H76" s="18">
        <v>300</v>
      </c>
      <c r="I76" s="18">
        <v>0</v>
      </c>
      <c r="J76" s="18" t="s">
        <v>36</v>
      </c>
      <c r="K76" s="18">
        <v>750</v>
      </c>
      <c r="L76" s="19">
        <f t="shared" si="10"/>
        <v>2.8735632183908044</v>
      </c>
      <c r="M76" s="18" t="s">
        <v>37</v>
      </c>
      <c r="N76" s="18">
        <v>0</v>
      </c>
      <c r="O76" s="18"/>
      <c r="P76" s="18"/>
      <c r="Q76" s="18"/>
      <c r="R76" s="18"/>
      <c r="S76" s="18" t="s">
        <v>38</v>
      </c>
      <c r="T76" s="18" t="s">
        <v>43</v>
      </c>
      <c r="U76" s="18" t="s">
        <v>40</v>
      </c>
      <c r="V76" s="18">
        <v>205000</v>
      </c>
      <c r="W76" s="18">
        <v>1.4</v>
      </c>
      <c r="X76" s="18">
        <v>2500</v>
      </c>
      <c r="Y76" s="18">
        <v>50</v>
      </c>
      <c r="Z76" s="18">
        <v>141.4</v>
      </c>
      <c r="AA76" s="20">
        <f t="shared" si="7"/>
        <v>234.9</v>
      </c>
      <c r="AB76" s="18">
        <v>45</v>
      </c>
      <c r="AC76" s="18">
        <v>45</v>
      </c>
      <c r="AD76" s="22">
        <f>271.4/2</f>
        <v>135.69999999999999</v>
      </c>
      <c r="AE76" s="22">
        <f>157.56/2</f>
        <v>78.78</v>
      </c>
    </row>
    <row r="77" spans="1:31" x14ac:dyDescent="0.25">
      <c r="A77" s="26">
        <f t="shared" si="11"/>
        <v>74</v>
      </c>
      <c r="B77" s="20"/>
      <c r="C77" s="18" t="s">
        <v>130</v>
      </c>
      <c r="D77" s="18">
        <v>32.799999999999997</v>
      </c>
      <c r="E77" s="18">
        <v>150</v>
      </c>
      <c r="F77" s="18">
        <v>300</v>
      </c>
      <c r="G77" s="18">
        <v>261</v>
      </c>
      <c r="H77" s="18">
        <v>300</v>
      </c>
      <c r="I77" s="18">
        <v>0</v>
      </c>
      <c r="J77" s="18" t="s">
        <v>36</v>
      </c>
      <c r="K77" s="18">
        <v>751</v>
      </c>
      <c r="L77" s="19">
        <f t="shared" si="10"/>
        <v>2.8773946360153255</v>
      </c>
      <c r="M77" s="18" t="s">
        <v>37</v>
      </c>
      <c r="N77" s="18">
        <v>0</v>
      </c>
      <c r="O77" s="18"/>
      <c r="P77" s="18"/>
      <c r="Q77" s="18"/>
      <c r="R77" s="18"/>
      <c r="S77" s="18" t="s">
        <v>38</v>
      </c>
      <c r="T77" s="18" t="s">
        <v>43</v>
      </c>
      <c r="U77" s="18" t="s">
        <v>40</v>
      </c>
      <c r="V77" s="18">
        <v>205000</v>
      </c>
      <c r="W77" s="18">
        <v>1.4</v>
      </c>
      <c r="X77" s="18">
        <v>2500</v>
      </c>
      <c r="Y77" s="18">
        <v>50</v>
      </c>
      <c r="Z77" s="18">
        <v>141.4</v>
      </c>
      <c r="AA77" s="20">
        <f t="shared" si="7"/>
        <v>234.9</v>
      </c>
      <c r="AB77" s="18">
        <v>45</v>
      </c>
      <c r="AC77" s="18">
        <v>45</v>
      </c>
      <c r="AD77" s="22">
        <f>251.19/2</f>
        <v>125.595</v>
      </c>
      <c r="AE77" s="22">
        <f>137.35/2</f>
        <v>68.674999999999997</v>
      </c>
    </row>
    <row r="78" spans="1:31" x14ac:dyDescent="0.25">
      <c r="A78" s="26">
        <f t="shared" si="11"/>
        <v>75</v>
      </c>
      <c r="B78" s="40"/>
      <c r="C78" s="18" t="s">
        <v>131</v>
      </c>
      <c r="D78" s="18">
        <v>67.400000000000006</v>
      </c>
      <c r="E78" s="18">
        <v>180</v>
      </c>
      <c r="F78" s="18">
        <v>500</v>
      </c>
      <c r="G78" s="18">
        <v>465</v>
      </c>
      <c r="H78" s="18">
        <v>500</v>
      </c>
      <c r="I78" s="18">
        <v>0</v>
      </c>
      <c r="J78" s="18" t="s">
        <v>36</v>
      </c>
      <c r="K78" s="18">
        <v>1250</v>
      </c>
      <c r="L78" s="19">
        <f t="shared" si="10"/>
        <v>2.6881720430107525</v>
      </c>
      <c r="M78" s="18" t="s">
        <v>37</v>
      </c>
      <c r="N78" s="18">
        <v>0</v>
      </c>
      <c r="O78" s="18"/>
      <c r="P78" s="18"/>
      <c r="Q78" s="18"/>
      <c r="R78" s="18"/>
      <c r="S78" s="18" t="s">
        <v>38</v>
      </c>
      <c r="T78" s="18" t="s">
        <v>39</v>
      </c>
      <c r="U78" s="18" t="s">
        <v>40</v>
      </c>
      <c r="V78" s="18">
        <v>234000</v>
      </c>
      <c r="W78" s="18">
        <v>0.11</v>
      </c>
      <c r="X78" s="18">
        <v>4500</v>
      </c>
      <c r="Y78" s="18">
        <v>1</v>
      </c>
      <c r="Z78" s="18">
        <v>1.4139999999999999</v>
      </c>
      <c r="AA78" s="20">
        <f t="shared" si="7"/>
        <v>418.5</v>
      </c>
      <c r="AB78" s="18">
        <v>45</v>
      </c>
      <c r="AC78" s="18">
        <v>45</v>
      </c>
      <c r="AD78" s="22">
        <v>306.05</v>
      </c>
      <c r="AE78" s="22">
        <v>182</v>
      </c>
    </row>
    <row r="79" spans="1:31" x14ac:dyDescent="0.25">
      <c r="A79" s="26">
        <f t="shared" si="11"/>
        <v>76</v>
      </c>
      <c r="B79" s="40"/>
      <c r="C79" s="18" t="s">
        <v>60</v>
      </c>
      <c r="D79" s="18">
        <v>67.400000000000006</v>
      </c>
      <c r="E79" s="18">
        <v>180</v>
      </c>
      <c r="F79" s="18">
        <v>500</v>
      </c>
      <c r="G79" s="18">
        <v>465</v>
      </c>
      <c r="H79" s="18">
        <v>500</v>
      </c>
      <c r="I79" s="18">
        <v>0</v>
      </c>
      <c r="J79" s="18" t="s">
        <v>36</v>
      </c>
      <c r="K79" s="18">
        <v>1250</v>
      </c>
      <c r="L79" s="19">
        <f t="shared" si="10"/>
        <v>2.6881720430107525</v>
      </c>
      <c r="M79" s="18" t="s">
        <v>37</v>
      </c>
      <c r="N79" s="18">
        <v>0</v>
      </c>
      <c r="P79" s="18"/>
      <c r="Q79" s="18"/>
      <c r="R79" s="18"/>
      <c r="S79" s="18" t="s">
        <v>38</v>
      </c>
      <c r="T79" s="18" t="s">
        <v>39</v>
      </c>
      <c r="U79" s="18" t="s">
        <v>40</v>
      </c>
      <c r="V79" s="18">
        <v>234000</v>
      </c>
      <c r="W79" s="18">
        <v>7.0000000000000007E-2</v>
      </c>
      <c r="X79" s="18">
        <v>4500</v>
      </c>
      <c r="Y79" s="18">
        <v>1</v>
      </c>
      <c r="Z79" s="18">
        <v>1.4139999999999999</v>
      </c>
      <c r="AA79" s="20">
        <f t="shared" si="7"/>
        <v>418.5</v>
      </c>
      <c r="AB79" s="18">
        <v>45</v>
      </c>
      <c r="AC79" s="18">
        <v>45</v>
      </c>
      <c r="AD79" s="22">
        <v>246.65</v>
      </c>
      <c r="AE79" s="22">
        <v>122.6</v>
      </c>
    </row>
    <row r="80" spans="1:31" x14ac:dyDescent="0.25">
      <c r="A80" s="26">
        <f t="shared" si="11"/>
        <v>77</v>
      </c>
      <c r="B80" s="32" t="s">
        <v>132</v>
      </c>
      <c r="C80" s="18" t="s">
        <v>133</v>
      </c>
      <c r="D80" s="18">
        <v>71.400000000000006</v>
      </c>
      <c r="E80" s="18">
        <v>180</v>
      </c>
      <c r="F80" s="18">
        <v>500</v>
      </c>
      <c r="G80" s="18">
        <v>465</v>
      </c>
      <c r="H80" s="18">
        <v>500</v>
      </c>
      <c r="I80" s="18">
        <v>0</v>
      </c>
      <c r="J80" s="18" t="s">
        <v>36</v>
      </c>
      <c r="K80" s="18">
        <v>1250</v>
      </c>
      <c r="L80" s="19">
        <f t="shared" si="10"/>
        <v>2.6881720430107525</v>
      </c>
      <c r="M80" s="18" t="s">
        <v>37</v>
      </c>
      <c r="N80" s="18">
        <v>0</v>
      </c>
      <c r="O80" s="18"/>
      <c r="P80" s="18"/>
      <c r="Q80" s="18"/>
      <c r="R80" s="18"/>
      <c r="S80" s="18" t="s">
        <v>38</v>
      </c>
      <c r="T80" s="18" t="s">
        <v>39</v>
      </c>
      <c r="U80" s="18" t="s">
        <v>40</v>
      </c>
      <c r="V80" s="18">
        <v>234000</v>
      </c>
      <c r="W80" s="18">
        <v>0.11</v>
      </c>
      <c r="X80" s="18">
        <v>4500</v>
      </c>
      <c r="Y80" s="18">
        <v>1</v>
      </c>
      <c r="Z80" s="18">
        <v>1.4139999999999999</v>
      </c>
      <c r="AA80" s="20">
        <f t="shared" si="7"/>
        <v>418.5</v>
      </c>
      <c r="AB80" s="18">
        <v>45</v>
      </c>
      <c r="AC80" s="18">
        <v>45</v>
      </c>
      <c r="AD80" s="22">
        <v>257.2</v>
      </c>
      <c r="AE80" s="22">
        <v>133.15</v>
      </c>
    </row>
    <row r="81" spans="1:31" x14ac:dyDescent="0.25">
      <c r="A81" s="26">
        <f t="shared" si="11"/>
        <v>78</v>
      </c>
      <c r="B81" s="40"/>
      <c r="C81" s="18" t="s">
        <v>134</v>
      </c>
      <c r="D81" s="18">
        <v>58.7</v>
      </c>
      <c r="E81" s="18">
        <v>180</v>
      </c>
      <c r="F81" s="18">
        <v>500</v>
      </c>
      <c r="G81" s="18">
        <v>465</v>
      </c>
      <c r="H81" s="18">
        <v>500</v>
      </c>
      <c r="I81" s="18">
        <v>0</v>
      </c>
      <c r="J81" s="18" t="s">
        <v>36</v>
      </c>
      <c r="K81" s="18">
        <v>1250</v>
      </c>
      <c r="L81" s="19">
        <f t="shared" si="10"/>
        <v>2.6881720430107525</v>
      </c>
      <c r="M81" s="18" t="s">
        <v>37</v>
      </c>
      <c r="N81" s="18">
        <v>0</v>
      </c>
      <c r="O81" s="18"/>
      <c r="P81" s="18"/>
      <c r="Q81" s="18"/>
      <c r="R81" s="18"/>
      <c r="S81" s="18" t="s">
        <v>38</v>
      </c>
      <c r="T81" s="18" t="s">
        <v>39</v>
      </c>
      <c r="U81" s="18" t="s">
        <v>40</v>
      </c>
      <c r="V81" s="18">
        <v>234000</v>
      </c>
      <c r="W81" s="18">
        <v>0.11</v>
      </c>
      <c r="X81" s="18">
        <v>4500</v>
      </c>
      <c r="Y81" s="18">
        <v>1</v>
      </c>
      <c r="Z81" s="18">
        <v>1</v>
      </c>
      <c r="AA81" s="20">
        <f t="shared" si="7"/>
        <v>418.5</v>
      </c>
      <c r="AB81" s="18">
        <v>90</v>
      </c>
      <c r="AC81" s="18">
        <v>45</v>
      </c>
      <c r="AD81" s="22">
        <v>260.60000000000002</v>
      </c>
      <c r="AE81" s="22">
        <v>136.55000000000001</v>
      </c>
    </row>
    <row r="82" spans="1:31" x14ac:dyDescent="0.25">
      <c r="A82" s="26">
        <f t="shared" si="11"/>
        <v>79</v>
      </c>
      <c r="B82" s="40"/>
      <c r="C82" s="18" t="s">
        <v>135</v>
      </c>
      <c r="D82" s="18">
        <v>71.400000000000006</v>
      </c>
      <c r="E82" s="18">
        <v>180</v>
      </c>
      <c r="F82" s="18">
        <v>500</v>
      </c>
      <c r="G82" s="18">
        <v>465</v>
      </c>
      <c r="H82" s="18">
        <v>500</v>
      </c>
      <c r="I82" s="18">
        <v>0</v>
      </c>
      <c r="J82" s="18" t="s">
        <v>36</v>
      </c>
      <c r="K82" s="18">
        <v>1250</v>
      </c>
      <c r="L82" s="19">
        <f t="shared" si="10"/>
        <v>2.6881720430107525</v>
      </c>
      <c r="M82" s="18" t="s">
        <v>37</v>
      </c>
      <c r="N82" s="18">
        <v>0</v>
      </c>
      <c r="O82" s="18"/>
      <c r="P82" s="18"/>
      <c r="Q82" s="18"/>
      <c r="R82" s="18"/>
      <c r="S82" s="18" t="s">
        <v>38</v>
      </c>
      <c r="T82" s="18" t="s">
        <v>39</v>
      </c>
      <c r="U82" s="18" t="s">
        <v>40</v>
      </c>
      <c r="V82" s="18">
        <v>234000</v>
      </c>
      <c r="W82" s="18">
        <v>0.16500000000000001</v>
      </c>
      <c r="X82" s="18">
        <v>4500</v>
      </c>
      <c r="Y82" s="18">
        <v>1</v>
      </c>
      <c r="Z82" s="18">
        <v>1.4139999999999999</v>
      </c>
      <c r="AA82" s="20">
        <f t="shared" si="7"/>
        <v>418.5</v>
      </c>
      <c r="AB82" s="18">
        <v>45</v>
      </c>
      <c r="AC82" s="18">
        <v>45</v>
      </c>
      <c r="AD82" s="22">
        <v>334.3</v>
      </c>
      <c r="AE82" s="22">
        <v>210.55</v>
      </c>
    </row>
    <row r="83" spans="1:31" x14ac:dyDescent="0.25">
      <c r="A83" s="16">
        <f t="shared" si="11"/>
        <v>80</v>
      </c>
      <c r="B83" s="5"/>
      <c r="C83" s="18">
        <v>3</v>
      </c>
      <c r="D83" s="18">
        <v>25.4</v>
      </c>
      <c r="E83" s="18">
        <v>100</v>
      </c>
      <c r="F83" s="18">
        <v>250</v>
      </c>
      <c r="G83" s="18">
        <f>F83-50</f>
        <v>200</v>
      </c>
      <c r="H83" s="18">
        <v>250</v>
      </c>
      <c r="I83" s="18">
        <v>0</v>
      </c>
      <c r="J83" s="18" t="s">
        <v>36</v>
      </c>
      <c r="K83" s="18">
        <v>510</v>
      </c>
      <c r="L83" s="18">
        <f t="shared" si="10"/>
        <v>2.5499999999999998</v>
      </c>
      <c r="M83" s="18" t="s">
        <v>37</v>
      </c>
      <c r="N83" s="18">
        <v>0</v>
      </c>
      <c r="O83" s="18"/>
      <c r="P83" s="18"/>
      <c r="Q83" s="18"/>
      <c r="R83" s="18"/>
      <c r="S83" s="18" t="s">
        <v>38</v>
      </c>
      <c r="T83" s="18" t="s">
        <v>43</v>
      </c>
      <c r="U83" s="18" t="s">
        <v>40</v>
      </c>
      <c r="V83" s="18">
        <v>178600</v>
      </c>
      <c r="W83" s="18">
        <v>1.2</v>
      </c>
      <c r="X83" s="18">
        <v>2868</v>
      </c>
      <c r="Y83" s="18">
        <v>25</v>
      </c>
      <c r="Z83" s="18">
        <v>75</v>
      </c>
      <c r="AA83" s="20">
        <f t="shared" si="7"/>
        <v>180</v>
      </c>
      <c r="AB83" s="18">
        <v>90</v>
      </c>
      <c r="AC83" s="18">
        <v>45</v>
      </c>
      <c r="AD83" s="22">
        <v>44.05</v>
      </c>
      <c r="AE83" s="22">
        <f>AD83-51.8/2</f>
        <v>18.149999999999999</v>
      </c>
    </row>
    <row r="84" spans="1:31" x14ac:dyDescent="0.25">
      <c r="A84" s="2">
        <f t="shared" si="11"/>
        <v>81</v>
      </c>
      <c r="B84" s="20" t="s">
        <v>136</v>
      </c>
      <c r="C84" s="18">
        <v>5</v>
      </c>
      <c r="D84" s="18">
        <v>25.4</v>
      </c>
      <c r="E84" s="18">
        <v>100</v>
      </c>
      <c r="F84" s="18">
        <v>300</v>
      </c>
      <c r="G84" s="18">
        <f>F84-50</f>
        <v>250</v>
      </c>
      <c r="H84" s="18">
        <v>300</v>
      </c>
      <c r="I84" s="18">
        <v>50</v>
      </c>
      <c r="J84" s="18" t="s">
        <v>86</v>
      </c>
      <c r="K84" s="18">
        <v>810</v>
      </c>
      <c r="L84" s="19">
        <f t="shared" si="10"/>
        <v>3.24</v>
      </c>
      <c r="M84" s="18" t="s">
        <v>18</v>
      </c>
      <c r="N84" s="18">
        <v>6</v>
      </c>
      <c r="O84" s="18">
        <v>75</v>
      </c>
      <c r="P84" s="18">
        <v>200000</v>
      </c>
      <c r="Q84" s="18">
        <v>325</v>
      </c>
      <c r="R84" s="18">
        <f>100*2*3.1416*N84^2/4/O84/E84</f>
        <v>0.75398399999999999</v>
      </c>
      <c r="S84" s="18" t="s">
        <v>38</v>
      </c>
      <c r="T84" s="18" t="s">
        <v>43</v>
      </c>
      <c r="U84" s="18" t="s">
        <v>40</v>
      </c>
      <c r="V84" s="18">
        <v>178600</v>
      </c>
      <c r="W84" s="18">
        <v>1.2</v>
      </c>
      <c r="X84" s="18">
        <v>2868</v>
      </c>
      <c r="Y84" s="18">
        <v>25</v>
      </c>
      <c r="Z84" s="18">
        <v>75</v>
      </c>
      <c r="AA84" s="20">
        <f t="shared" si="7"/>
        <v>175</v>
      </c>
      <c r="AB84" s="18">
        <v>90</v>
      </c>
      <c r="AC84" s="18">
        <v>45</v>
      </c>
      <c r="AD84" s="22">
        <v>107.25</v>
      </c>
      <c r="AE84" s="22">
        <f>AD84-164.2/2</f>
        <v>25.150000000000006</v>
      </c>
    </row>
    <row r="85" spans="1:31" x14ac:dyDescent="0.25">
      <c r="A85" s="41">
        <v>82</v>
      </c>
      <c r="B85" s="41" t="s">
        <v>137</v>
      </c>
      <c r="C85" s="41" t="s">
        <v>48</v>
      </c>
      <c r="D85" s="41">
        <v>17.8</v>
      </c>
      <c r="E85" s="41">
        <v>200</v>
      </c>
      <c r="F85" s="41">
        <v>250</v>
      </c>
      <c r="G85" s="41">
        <v>224</v>
      </c>
      <c r="H85" s="41">
        <f>F85</f>
        <v>250</v>
      </c>
      <c r="I85" s="41">
        <v>0</v>
      </c>
      <c r="J85" s="41" t="s">
        <v>36</v>
      </c>
      <c r="K85" s="41">
        <v>667</v>
      </c>
      <c r="L85" s="42">
        <f t="shared" si="10"/>
        <v>2.9776785714285716</v>
      </c>
      <c r="M85" s="41" t="s">
        <v>37</v>
      </c>
      <c r="N85" s="41">
        <v>0</v>
      </c>
      <c r="O85" s="41"/>
      <c r="P85" s="41"/>
      <c r="Q85" s="41"/>
      <c r="R85" s="41"/>
      <c r="S85" s="41" t="s">
        <v>106</v>
      </c>
      <c r="T85" s="41" t="s">
        <v>39</v>
      </c>
      <c r="U85" s="41" t="s">
        <v>40</v>
      </c>
      <c r="V85" s="41">
        <v>11310</v>
      </c>
      <c r="W85" s="41">
        <v>0.6</v>
      </c>
      <c r="X85" s="41">
        <v>334.5</v>
      </c>
      <c r="Y85" s="41">
        <v>1</v>
      </c>
      <c r="Z85" s="41">
        <v>1</v>
      </c>
      <c r="AA85" s="41">
        <f t="shared" si="7"/>
        <v>201.6</v>
      </c>
      <c r="AB85" s="41">
        <v>90</v>
      </c>
      <c r="AC85" s="18">
        <v>45</v>
      </c>
      <c r="AD85" s="41">
        <v>54</v>
      </c>
      <c r="AE85" s="41">
        <v>13</v>
      </c>
    </row>
    <row r="86" spans="1:31" x14ac:dyDescent="0.25">
      <c r="A86" s="2">
        <v>83</v>
      </c>
      <c r="B86" s="2" t="s">
        <v>138</v>
      </c>
      <c r="C86" s="2">
        <v>3</v>
      </c>
      <c r="D86" s="2">
        <v>42.9</v>
      </c>
      <c r="E86" s="2">
        <v>114</v>
      </c>
      <c r="F86" s="2">
        <v>102</v>
      </c>
      <c r="G86" s="2">
        <v>78.650000000000006</v>
      </c>
      <c r="H86" s="2">
        <f>102-6</f>
        <v>96</v>
      </c>
      <c r="I86" s="2">
        <v>6</v>
      </c>
      <c r="J86" s="2" t="s">
        <v>36</v>
      </c>
      <c r="K86" s="2">
        <v>300</v>
      </c>
      <c r="L86" s="19">
        <f t="shared" si="10"/>
        <v>3.814367450731087</v>
      </c>
      <c r="M86" s="2" t="s">
        <v>37</v>
      </c>
      <c r="N86" s="16">
        <v>0</v>
      </c>
      <c r="O86" s="2"/>
      <c r="P86" s="2"/>
      <c r="Q86" s="2"/>
      <c r="R86" s="2"/>
      <c r="S86" s="2" t="s">
        <v>106</v>
      </c>
      <c r="T86" s="2" t="s">
        <v>39</v>
      </c>
      <c r="U86" s="2" t="s">
        <v>40</v>
      </c>
      <c r="V86" s="2">
        <v>16800</v>
      </c>
      <c r="W86" s="2">
        <v>0.64</v>
      </c>
      <c r="X86" s="2">
        <v>344.7</v>
      </c>
      <c r="Y86" s="2">
        <v>1</v>
      </c>
      <c r="Z86" s="2">
        <f>Y86/SIN(AB86/180*PI())</f>
        <v>1.4142135623730951</v>
      </c>
      <c r="AA86" s="2">
        <f t="shared" si="7"/>
        <v>64.785000000000011</v>
      </c>
      <c r="AB86" s="2">
        <v>45</v>
      </c>
      <c r="AC86" s="18">
        <v>45</v>
      </c>
      <c r="AD86" s="2">
        <v>31.25</v>
      </c>
      <c r="AE86" s="2">
        <v>7.55</v>
      </c>
    </row>
    <row r="87" spans="1:31" x14ac:dyDescent="0.25">
      <c r="A87" s="2">
        <v>84</v>
      </c>
      <c r="B87" s="2"/>
      <c r="C87" s="2">
        <v>4</v>
      </c>
      <c r="D87" s="2">
        <v>42.9</v>
      </c>
      <c r="E87" s="2">
        <v>114</v>
      </c>
      <c r="F87" s="2">
        <v>102</v>
      </c>
      <c r="G87" s="2">
        <v>78.650000000000006</v>
      </c>
      <c r="H87" s="2">
        <f>102-6</f>
        <v>96</v>
      </c>
      <c r="I87" s="2">
        <v>6</v>
      </c>
      <c r="J87" s="2" t="s">
        <v>36</v>
      </c>
      <c r="K87" s="2">
        <v>300</v>
      </c>
      <c r="L87" s="19">
        <f t="shared" si="10"/>
        <v>3.814367450731087</v>
      </c>
      <c r="M87" s="2" t="s">
        <v>37</v>
      </c>
      <c r="N87" s="16">
        <v>0</v>
      </c>
      <c r="O87" s="2"/>
      <c r="P87" s="2"/>
      <c r="Q87" s="2"/>
      <c r="R87" s="2"/>
      <c r="S87" s="2" t="s">
        <v>106</v>
      </c>
      <c r="T87" s="2" t="s">
        <v>39</v>
      </c>
      <c r="U87" s="2" t="s">
        <v>40</v>
      </c>
      <c r="V87" s="2">
        <v>16800</v>
      </c>
      <c r="W87" s="2">
        <v>1.6</v>
      </c>
      <c r="X87" s="2">
        <v>345.7</v>
      </c>
      <c r="Y87" s="2">
        <v>1</v>
      </c>
      <c r="Z87" s="2">
        <f>Y87/SIN(AB87/180*PI())</f>
        <v>1.4142135623730951</v>
      </c>
      <c r="AA87" s="2">
        <f t="shared" si="7"/>
        <v>64.785000000000011</v>
      </c>
      <c r="AB87" s="2">
        <v>45</v>
      </c>
      <c r="AC87" s="18">
        <v>45</v>
      </c>
      <c r="AD87" s="2">
        <v>39.450000000000003</v>
      </c>
      <c r="AE87" s="2">
        <v>15.75</v>
      </c>
    </row>
    <row r="88" spans="1:31" x14ac:dyDescent="0.25">
      <c r="A88" s="26">
        <v>85</v>
      </c>
      <c r="B88" s="26" t="s">
        <v>139</v>
      </c>
      <c r="C88" s="26">
        <v>4</v>
      </c>
      <c r="D88" s="2">
        <v>32.6</v>
      </c>
      <c r="E88" s="2">
        <v>250</v>
      </c>
      <c r="F88" s="2">
        <v>500</v>
      </c>
      <c r="G88" s="2">
        <v>400</v>
      </c>
      <c r="H88" s="2">
        <v>500</v>
      </c>
      <c r="I88" s="2">
        <v>0</v>
      </c>
      <c r="J88" s="2" t="s">
        <v>36</v>
      </c>
      <c r="K88" s="2">
        <v>1000</v>
      </c>
      <c r="L88" s="43">
        <f t="shared" si="10"/>
        <v>2.5</v>
      </c>
      <c r="M88" s="2" t="s">
        <v>37</v>
      </c>
      <c r="N88" s="2">
        <v>0</v>
      </c>
      <c r="O88" s="2"/>
      <c r="P88" s="2"/>
      <c r="Q88" s="2"/>
      <c r="R88" s="2"/>
      <c r="S88" s="2" t="s">
        <v>38</v>
      </c>
      <c r="T88" s="2" t="s">
        <v>43</v>
      </c>
      <c r="U88" s="2" t="s">
        <v>40</v>
      </c>
      <c r="V88" s="2">
        <v>244000</v>
      </c>
      <c r="W88" s="2">
        <v>0.111</v>
      </c>
      <c r="X88" s="2">
        <v>3990</v>
      </c>
      <c r="Y88" s="2">
        <v>40</v>
      </c>
      <c r="Z88" s="2">
        <v>100</v>
      </c>
      <c r="AA88" s="2">
        <f t="shared" si="7"/>
        <v>360</v>
      </c>
      <c r="AB88" s="2">
        <v>90</v>
      </c>
      <c r="AC88" s="18">
        <v>45</v>
      </c>
      <c r="AD88" s="2">
        <v>183.9</v>
      </c>
      <c r="AE88" s="2">
        <v>2.9</v>
      </c>
    </row>
    <row r="89" spans="1:31" x14ac:dyDescent="0.25">
      <c r="A89" s="26">
        <v>86</v>
      </c>
      <c r="B89" s="26"/>
      <c r="C89" s="26">
        <v>5</v>
      </c>
      <c r="D89" s="2">
        <v>32.6</v>
      </c>
      <c r="E89" s="2">
        <v>250</v>
      </c>
      <c r="F89" s="2">
        <v>500</v>
      </c>
      <c r="G89" s="2">
        <v>400</v>
      </c>
      <c r="H89" s="2">
        <v>500</v>
      </c>
      <c r="I89" s="2">
        <v>0</v>
      </c>
      <c r="J89" s="2" t="s">
        <v>36</v>
      </c>
      <c r="K89" s="2">
        <v>1000</v>
      </c>
      <c r="L89" s="43">
        <f t="shared" si="10"/>
        <v>2.5</v>
      </c>
      <c r="M89" s="2" t="s">
        <v>37</v>
      </c>
      <c r="N89" s="2">
        <v>0</v>
      </c>
      <c r="O89" s="2"/>
      <c r="P89" s="2"/>
      <c r="Q89" s="2"/>
      <c r="R89" s="2"/>
      <c r="S89" s="2" t="s">
        <v>140</v>
      </c>
      <c r="T89" s="2" t="s">
        <v>43</v>
      </c>
      <c r="U89" s="2" t="s">
        <v>40</v>
      </c>
      <c r="V89" s="2">
        <v>90000</v>
      </c>
      <c r="W89" s="2">
        <v>0.16900000000000001</v>
      </c>
      <c r="X89" s="2">
        <v>2920</v>
      </c>
      <c r="Y89" s="2">
        <v>40</v>
      </c>
      <c r="Z89" s="2">
        <v>100</v>
      </c>
      <c r="AA89" s="2">
        <f t="shared" si="7"/>
        <v>360</v>
      </c>
      <c r="AB89" s="2">
        <v>90</v>
      </c>
      <c r="AC89" s="18">
        <v>45</v>
      </c>
      <c r="AD89" s="2">
        <v>180.9</v>
      </c>
      <c r="AE89" s="2">
        <v>0</v>
      </c>
    </row>
    <row r="90" spans="1:31" x14ac:dyDescent="0.25">
      <c r="A90" s="2">
        <v>87</v>
      </c>
      <c r="B90" s="2"/>
      <c r="C90" s="2" t="s">
        <v>48</v>
      </c>
      <c r="D90" s="2">
        <v>54.73</v>
      </c>
      <c r="E90" s="2">
        <v>180</v>
      </c>
      <c r="F90" s="2">
        <v>500</v>
      </c>
      <c r="G90" s="2">
        <v>460</v>
      </c>
      <c r="H90" s="2">
        <v>500</v>
      </c>
      <c r="I90" s="2">
        <v>0</v>
      </c>
      <c r="J90" s="2" t="s">
        <v>36</v>
      </c>
      <c r="K90" s="2">
        <v>1200</v>
      </c>
      <c r="L90" s="43">
        <f t="shared" si="10"/>
        <v>2.6086956521739131</v>
      </c>
      <c r="M90" s="2" t="s">
        <v>37</v>
      </c>
      <c r="N90" s="2">
        <v>0</v>
      </c>
      <c r="O90" s="2"/>
      <c r="P90" s="2"/>
      <c r="Q90" s="2"/>
      <c r="R90" s="2"/>
      <c r="S90" s="2" t="s">
        <v>38</v>
      </c>
      <c r="T90" s="2" t="s">
        <v>39</v>
      </c>
      <c r="U90" s="2" t="s">
        <v>40</v>
      </c>
      <c r="V90" s="2">
        <v>100600</v>
      </c>
      <c r="W90" s="2">
        <v>0.6</v>
      </c>
      <c r="X90" s="2">
        <v>1450</v>
      </c>
      <c r="Y90" s="2">
        <v>1</v>
      </c>
      <c r="Z90" s="2">
        <f>Y90/SIN(AB90/180*PI())</f>
        <v>1.4142135623730951</v>
      </c>
      <c r="AA90" s="2">
        <f t="shared" si="7"/>
        <v>414</v>
      </c>
      <c r="AB90" s="2">
        <v>45</v>
      </c>
      <c r="AC90" s="18">
        <v>45</v>
      </c>
      <c r="AD90" s="2">
        <v>274</v>
      </c>
      <c r="AE90" s="2">
        <v>153.5</v>
      </c>
    </row>
    <row r="91" spans="1:31" x14ac:dyDescent="0.25">
      <c r="A91" s="2">
        <v>88</v>
      </c>
      <c r="B91" s="2" t="s">
        <v>141</v>
      </c>
      <c r="C91" s="2" t="s">
        <v>142</v>
      </c>
      <c r="D91" s="2">
        <v>41.09</v>
      </c>
      <c r="E91" s="2">
        <v>180</v>
      </c>
      <c r="F91" s="2">
        <v>500</v>
      </c>
      <c r="G91" s="2">
        <v>460</v>
      </c>
      <c r="H91" s="2">
        <v>500</v>
      </c>
      <c r="I91" s="2">
        <v>0</v>
      </c>
      <c r="J91" s="2" t="s">
        <v>36</v>
      </c>
      <c r="K91" s="2">
        <v>1200</v>
      </c>
      <c r="L91" s="43">
        <f t="shared" si="10"/>
        <v>2.6086956521739131</v>
      </c>
      <c r="M91" s="2" t="s">
        <v>37</v>
      </c>
      <c r="N91" s="2">
        <v>0</v>
      </c>
      <c r="O91" s="2"/>
      <c r="P91" s="2"/>
      <c r="Q91" s="2"/>
      <c r="R91" s="2"/>
      <c r="S91" s="16" t="s">
        <v>38</v>
      </c>
      <c r="T91" s="2" t="s">
        <v>39</v>
      </c>
      <c r="U91" s="2" t="s">
        <v>40</v>
      </c>
      <c r="V91" s="2">
        <v>49000</v>
      </c>
      <c r="W91" s="2">
        <v>2</v>
      </c>
      <c r="X91" s="2">
        <v>577</v>
      </c>
      <c r="Y91" s="2">
        <v>1</v>
      </c>
      <c r="Z91" s="2">
        <f>Y91/SIN(AB91/180*PI())</f>
        <v>1.4142135623730951</v>
      </c>
      <c r="AA91" s="2">
        <f t="shared" si="7"/>
        <v>414</v>
      </c>
      <c r="AB91" s="2">
        <v>45</v>
      </c>
      <c r="AC91" s="18">
        <v>45</v>
      </c>
      <c r="AD91" s="2">
        <v>273</v>
      </c>
      <c r="AE91" s="2">
        <v>152.5</v>
      </c>
    </row>
    <row r="92" spans="1:31" x14ac:dyDescent="0.25">
      <c r="A92" s="2">
        <v>89</v>
      </c>
      <c r="B92" s="2"/>
      <c r="C92" s="2" t="s">
        <v>81</v>
      </c>
      <c r="D92" s="2">
        <v>44.36</v>
      </c>
      <c r="E92" s="2">
        <v>180</v>
      </c>
      <c r="F92" s="2">
        <v>500</v>
      </c>
      <c r="G92" s="2">
        <v>460</v>
      </c>
      <c r="H92" s="2">
        <v>500</v>
      </c>
      <c r="I92" s="2">
        <v>0</v>
      </c>
      <c r="J92" s="2" t="s">
        <v>36</v>
      </c>
      <c r="K92" s="2">
        <v>1600</v>
      </c>
      <c r="L92" s="43">
        <f t="shared" si="10"/>
        <v>3.4782608695652173</v>
      </c>
      <c r="M92" s="2" t="s">
        <v>37</v>
      </c>
      <c r="N92" s="2">
        <v>0</v>
      </c>
      <c r="O92" s="2"/>
      <c r="P92" s="2"/>
      <c r="Q92" s="2"/>
      <c r="R92" s="2"/>
      <c r="S92" s="16" t="s">
        <v>38</v>
      </c>
      <c r="T92" s="2" t="s">
        <v>43</v>
      </c>
      <c r="U92" s="2" t="s">
        <v>40</v>
      </c>
      <c r="V92" s="2">
        <v>70800</v>
      </c>
      <c r="W92" s="2">
        <v>0.8</v>
      </c>
      <c r="X92" s="2">
        <v>860</v>
      </c>
      <c r="Y92" s="2">
        <v>50</v>
      </c>
      <c r="Z92" s="2">
        <v>100</v>
      </c>
      <c r="AA92" s="2">
        <f t="shared" si="7"/>
        <v>414</v>
      </c>
      <c r="AB92" s="2">
        <v>45</v>
      </c>
      <c r="AC92" s="18">
        <v>45</v>
      </c>
      <c r="AD92" s="2">
        <v>195</v>
      </c>
      <c r="AE92" s="2">
        <v>89</v>
      </c>
    </row>
    <row r="93" spans="1:31" x14ac:dyDescent="0.25">
      <c r="A93" s="2">
        <v>90</v>
      </c>
      <c r="B93" s="2"/>
      <c r="C93" s="2" t="s">
        <v>83</v>
      </c>
      <c r="D93" s="2">
        <v>44.36</v>
      </c>
      <c r="E93" s="2">
        <v>180</v>
      </c>
      <c r="F93" s="2">
        <v>500</v>
      </c>
      <c r="G93" s="2">
        <v>460</v>
      </c>
      <c r="H93" s="2">
        <v>500</v>
      </c>
      <c r="I93" s="2">
        <v>0</v>
      </c>
      <c r="J93" s="2" t="s">
        <v>36</v>
      </c>
      <c r="K93" s="2">
        <v>1200</v>
      </c>
      <c r="L93" s="43">
        <f t="shared" si="10"/>
        <v>2.6086956521739131</v>
      </c>
      <c r="M93" s="2" t="s">
        <v>37</v>
      </c>
      <c r="N93" s="2">
        <v>0</v>
      </c>
      <c r="O93" s="2"/>
      <c r="P93" s="2"/>
      <c r="Q93" s="2"/>
      <c r="R93" s="2"/>
      <c r="S93" s="16" t="s">
        <v>38</v>
      </c>
      <c r="T93" s="2" t="s">
        <v>39</v>
      </c>
      <c r="U93" s="2" t="s">
        <v>40</v>
      </c>
      <c r="V93" s="2">
        <v>70800</v>
      </c>
      <c r="W93" s="2">
        <v>0.8</v>
      </c>
      <c r="X93" s="2">
        <v>860</v>
      </c>
      <c r="Y93" s="2">
        <v>1</v>
      </c>
      <c r="Z93" s="2">
        <f>Y93/SIN(AB93/180*PI())</f>
        <v>1.4142135623730951</v>
      </c>
      <c r="AA93" s="2">
        <f t="shared" si="7"/>
        <v>414</v>
      </c>
      <c r="AB93" s="2">
        <v>45</v>
      </c>
      <c r="AC93" s="18">
        <v>45</v>
      </c>
      <c r="AD93" s="2">
        <v>243</v>
      </c>
      <c r="AE93" s="2">
        <v>122.5</v>
      </c>
    </row>
    <row r="94" spans="1:31" x14ac:dyDescent="0.25">
      <c r="A94" s="53">
        <v>91</v>
      </c>
      <c r="B94" s="54"/>
      <c r="C94" s="53" t="s">
        <v>281</v>
      </c>
      <c r="D94" s="53">
        <v>39.58</v>
      </c>
      <c r="E94" s="53">
        <v>100</v>
      </c>
      <c r="F94" s="53">
        <v>260</v>
      </c>
      <c r="G94" s="53">
        <v>225</v>
      </c>
      <c r="H94" s="53">
        <v>260</v>
      </c>
      <c r="I94" s="53">
        <v>60</v>
      </c>
      <c r="J94" s="53" t="s">
        <v>86</v>
      </c>
      <c r="K94" s="53">
        <v>733</v>
      </c>
      <c r="L94" s="55">
        <f t="shared" si="10"/>
        <v>3.2577777777777777</v>
      </c>
      <c r="M94" s="53" t="s">
        <v>37</v>
      </c>
      <c r="N94" s="53">
        <v>0</v>
      </c>
      <c r="O94" s="54"/>
      <c r="P94" s="54"/>
      <c r="Q94" s="54"/>
      <c r="R94" s="54"/>
      <c r="S94" s="53" t="s">
        <v>106</v>
      </c>
      <c r="T94" s="53" t="s">
        <v>39</v>
      </c>
      <c r="U94" s="53" t="s">
        <v>40</v>
      </c>
      <c r="V94" s="56">
        <v>13180</v>
      </c>
      <c r="W94" s="53">
        <v>0.36</v>
      </c>
      <c r="X94" s="53">
        <v>160</v>
      </c>
      <c r="Y94" s="53">
        <v>1</v>
      </c>
      <c r="Z94" s="53">
        <v>1</v>
      </c>
      <c r="AA94" s="53">
        <f t="shared" si="7"/>
        <v>142.5</v>
      </c>
      <c r="AB94" s="53">
        <v>90</v>
      </c>
      <c r="AC94" s="57">
        <v>45</v>
      </c>
      <c r="AD94" s="53">
        <v>65</v>
      </c>
      <c r="AE94" s="57">
        <v>15</v>
      </c>
    </row>
    <row r="95" spans="1:31" x14ac:dyDescent="0.25">
      <c r="A95" s="2">
        <v>92</v>
      </c>
      <c r="B95" s="2" t="s">
        <v>280</v>
      </c>
      <c r="C95" s="2" t="s">
        <v>283</v>
      </c>
      <c r="D95" s="2">
        <v>40.380000000000003</v>
      </c>
      <c r="E95" s="2">
        <v>100</v>
      </c>
      <c r="F95" s="2">
        <v>260</v>
      </c>
      <c r="G95" s="2">
        <v>225</v>
      </c>
      <c r="H95" s="2">
        <v>260</v>
      </c>
      <c r="I95" s="2">
        <v>60</v>
      </c>
      <c r="J95" s="2" t="s">
        <v>86</v>
      </c>
      <c r="K95" s="2">
        <v>733</v>
      </c>
      <c r="L95" s="43">
        <f t="shared" si="10"/>
        <v>3.2577777777777777</v>
      </c>
      <c r="M95" s="2" t="s">
        <v>52</v>
      </c>
      <c r="N95" s="2">
        <v>6</v>
      </c>
      <c r="O95" s="2">
        <v>200</v>
      </c>
      <c r="P95" s="2">
        <v>200000</v>
      </c>
      <c r="Q95" s="2">
        <v>252</v>
      </c>
      <c r="R95" s="18">
        <f>100*2*3.1416*N95^2/4/O95/E95</f>
        <v>0.28274399999999994</v>
      </c>
      <c r="S95" s="2" t="s">
        <v>106</v>
      </c>
      <c r="T95" s="2" t="s">
        <v>39</v>
      </c>
      <c r="U95" s="2" t="s">
        <v>40</v>
      </c>
      <c r="V95" s="52">
        <v>13180</v>
      </c>
      <c r="W95" s="2">
        <v>0.36</v>
      </c>
      <c r="X95" s="2">
        <v>160</v>
      </c>
      <c r="Y95" s="2">
        <v>1</v>
      </c>
      <c r="Z95" s="2">
        <v>1</v>
      </c>
      <c r="AA95" s="2">
        <f t="shared" si="7"/>
        <v>142.5</v>
      </c>
      <c r="AB95" s="2">
        <v>90</v>
      </c>
      <c r="AC95" s="18">
        <v>45</v>
      </c>
      <c r="AD95" s="2">
        <v>92</v>
      </c>
      <c r="AE95" s="18">
        <v>18.5</v>
      </c>
    </row>
    <row r="96" spans="1:31" x14ac:dyDescent="0.25">
      <c r="A96" s="2">
        <v>93</v>
      </c>
      <c r="C96" s="2" t="s">
        <v>282</v>
      </c>
      <c r="D96" s="2">
        <v>42.08</v>
      </c>
      <c r="E96" s="2">
        <v>100</v>
      </c>
      <c r="F96" s="2">
        <v>260</v>
      </c>
      <c r="G96" s="2">
        <v>225</v>
      </c>
      <c r="H96" s="2">
        <v>260</v>
      </c>
      <c r="I96" s="2">
        <v>60</v>
      </c>
      <c r="J96" s="2" t="s">
        <v>86</v>
      </c>
      <c r="K96" s="2">
        <v>733</v>
      </c>
      <c r="L96" s="43">
        <f t="shared" si="10"/>
        <v>3.2577777777777777</v>
      </c>
      <c r="M96" s="2" t="s">
        <v>52</v>
      </c>
      <c r="N96" s="2">
        <v>6</v>
      </c>
      <c r="O96" s="2">
        <v>300</v>
      </c>
      <c r="P96" s="2">
        <v>200000</v>
      </c>
      <c r="Q96" s="2">
        <v>252</v>
      </c>
      <c r="R96" s="18">
        <f t="shared" ref="R96" si="12">100*2*3.1416*N96^2/4/O96/E96</f>
        <v>0.188496</v>
      </c>
      <c r="S96" s="2" t="s">
        <v>106</v>
      </c>
      <c r="T96" s="2" t="s">
        <v>39</v>
      </c>
      <c r="U96" s="2" t="s">
        <v>40</v>
      </c>
      <c r="V96" s="52">
        <v>13180</v>
      </c>
      <c r="W96" s="2">
        <v>0.36</v>
      </c>
      <c r="X96" s="2">
        <v>160</v>
      </c>
      <c r="Y96" s="2">
        <v>1</v>
      </c>
      <c r="Z96" s="2">
        <v>1</v>
      </c>
      <c r="AA96" s="2">
        <f t="shared" si="7"/>
        <v>142.5</v>
      </c>
      <c r="AB96" s="2">
        <v>90</v>
      </c>
      <c r="AC96" s="18">
        <v>45</v>
      </c>
      <c r="AD96" s="2">
        <v>89</v>
      </c>
      <c r="AE96" s="18">
        <v>12</v>
      </c>
    </row>
    <row r="97" spans="1:31" x14ac:dyDescent="0.25">
      <c r="A97" s="53">
        <v>94</v>
      </c>
      <c r="B97" s="54"/>
      <c r="C97" s="53" t="s">
        <v>288</v>
      </c>
      <c r="D97" s="53">
        <v>35.799999999999997</v>
      </c>
      <c r="E97" s="53">
        <v>70</v>
      </c>
      <c r="F97" s="53">
        <v>85</v>
      </c>
      <c r="G97" s="53">
        <v>60</v>
      </c>
      <c r="H97" s="53">
        <v>85</v>
      </c>
      <c r="I97" s="53">
        <v>0</v>
      </c>
      <c r="J97" s="53" t="s">
        <v>36</v>
      </c>
      <c r="K97" s="53">
        <v>200</v>
      </c>
      <c r="L97" s="55">
        <f t="shared" si="10"/>
        <v>3.3333333333333335</v>
      </c>
      <c r="M97" s="53" t="s">
        <v>37</v>
      </c>
      <c r="N97" s="53">
        <v>0</v>
      </c>
      <c r="O97" s="54"/>
      <c r="P97" s="54"/>
      <c r="Q97" s="54"/>
      <c r="R97" s="54"/>
      <c r="S97" s="53" t="s">
        <v>38</v>
      </c>
      <c r="T97" s="53" t="s">
        <v>43</v>
      </c>
      <c r="U97" s="53" t="s">
        <v>40</v>
      </c>
      <c r="V97" s="56">
        <v>231000</v>
      </c>
      <c r="W97" s="53">
        <v>0.12</v>
      </c>
      <c r="X97" s="53">
        <v>4100</v>
      </c>
      <c r="Y97" s="53">
        <v>40</v>
      </c>
      <c r="Z97" s="53">
        <v>55</v>
      </c>
      <c r="AA97" s="53">
        <f t="shared" si="7"/>
        <v>54</v>
      </c>
      <c r="AB97" s="53">
        <v>90</v>
      </c>
      <c r="AC97" s="57">
        <v>45</v>
      </c>
      <c r="AD97" s="53">
        <f>24.59/2</f>
        <v>12.295</v>
      </c>
      <c r="AE97" s="53">
        <f>AD97-21.7/2</f>
        <v>1.4450000000000003</v>
      </c>
    </row>
    <row r="98" spans="1:31" x14ac:dyDescent="0.25">
      <c r="A98" s="2">
        <v>95</v>
      </c>
      <c r="C98" s="2" t="s">
        <v>289</v>
      </c>
      <c r="D98" s="2">
        <v>34.5</v>
      </c>
      <c r="E98" s="2">
        <v>70</v>
      </c>
      <c r="F98" s="2">
        <v>85</v>
      </c>
      <c r="G98" s="2">
        <v>60</v>
      </c>
      <c r="H98" s="2">
        <v>85</v>
      </c>
      <c r="I98" s="2">
        <v>0</v>
      </c>
      <c r="J98" s="2" t="s">
        <v>36</v>
      </c>
      <c r="K98" s="2">
        <v>200</v>
      </c>
      <c r="L98" s="43">
        <f t="shared" ref="L98" si="13">K98/G98</f>
        <v>3.3333333333333335</v>
      </c>
      <c r="M98" s="2" t="s">
        <v>37</v>
      </c>
      <c r="N98" s="2">
        <v>0</v>
      </c>
      <c r="S98" s="2" t="s">
        <v>38</v>
      </c>
      <c r="T98" s="2" t="s">
        <v>43</v>
      </c>
      <c r="U98" s="2" t="s">
        <v>40</v>
      </c>
      <c r="V98" s="52">
        <v>231000</v>
      </c>
      <c r="W98" s="2">
        <v>0.12</v>
      </c>
      <c r="X98" s="2">
        <v>4100</v>
      </c>
      <c r="Y98" s="2">
        <v>40</v>
      </c>
      <c r="Z98" s="2">
        <v>55</v>
      </c>
      <c r="AA98" s="2">
        <f t="shared" ref="AA98" si="14">0.9*G98-I98</f>
        <v>54</v>
      </c>
      <c r="AB98" s="2">
        <v>90</v>
      </c>
      <c r="AC98" s="18">
        <v>45</v>
      </c>
      <c r="AD98" s="2">
        <f>24.95/2</f>
        <v>12.475</v>
      </c>
      <c r="AE98" s="2">
        <f>AD98-21.91/2</f>
        <v>1.5199999999999996</v>
      </c>
    </row>
    <row r="99" spans="1:31" x14ac:dyDescent="0.25">
      <c r="A99" s="2">
        <v>96</v>
      </c>
      <c r="C99" s="2" t="s">
        <v>291</v>
      </c>
      <c r="D99" s="2">
        <v>37.6</v>
      </c>
      <c r="E99" s="2">
        <v>70</v>
      </c>
      <c r="F99" s="2">
        <v>85</v>
      </c>
      <c r="G99" s="2">
        <v>60</v>
      </c>
      <c r="H99" s="2">
        <v>85</v>
      </c>
      <c r="I99" s="2">
        <v>0</v>
      </c>
      <c r="J99" s="2" t="s">
        <v>36</v>
      </c>
      <c r="K99" s="2">
        <v>200</v>
      </c>
      <c r="L99" s="43">
        <f t="shared" ref="L99" si="15">K99/G99</f>
        <v>3.3333333333333335</v>
      </c>
      <c r="M99" s="2" t="s">
        <v>37</v>
      </c>
      <c r="N99" s="2">
        <v>0</v>
      </c>
      <c r="S99" s="2" t="s">
        <v>38</v>
      </c>
      <c r="T99" s="2" t="s">
        <v>43</v>
      </c>
      <c r="U99" s="2" t="s">
        <v>40</v>
      </c>
      <c r="V99" s="52">
        <v>231000</v>
      </c>
      <c r="W99" s="2">
        <v>0.12</v>
      </c>
      <c r="X99" s="2">
        <v>4100</v>
      </c>
      <c r="Y99" s="2">
        <v>40</v>
      </c>
      <c r="Z99" s="2">
        <v>60</v>
      </c>
      <c r="AA99" s="2">
        <f t="shared" ref="AA99" si="16">0.9*G99-I99</f>
        <v>54</v>
      </c>
      <c r="AB99" s="2">
        <v>90</v>
      </c>
      <c r="AC99" s="18">
        <v>45</v>
      </c>
      <c r="AD99" s="2">
        <f>24.13/2</f>
        <v>12.065</v>
      </c>
      <c r="AE99" s="2">
        <f>AD99-21.89/2</f>
        <v>1.1199999999999992</v>
      </c>
    </row>
    <row r="100" spans="1:31" x14ac:dyDescent="0.25">
      <c r="A100" s="2">
        <v>97</v>
      </c>
      <c r="B100" t="s">
        <v>287</v>
      </c>
      <c r="C100" s="2" t="s">
        <v>290</v>
      </c>
      <c r="D100" s="2">
        <v>37.6</v>
      </c>
      <c r="E100" s="2">
        <v>70</v>
      </c>
      <c r="F100" s="2">
        <v>85</v>
      </c>
      <c r="G100" s="2">
        <v>60</v>
      </c>
      <c r="H100" s="2">
        <v>85</v>
      </c>
      <c r="I100" s="2">
        <v>0</v>
      </c>
      <c r="J100" s="2" t="s">
        <v>36</v>
      </c>
      <c r="K100" s="2">
        <v>200</v>
      </c>
      <c r="L100" s="43">
        <f t="shared" ref="L100" si="17">K100/G100</f>
        <v>3.3333333333333335</v>
      </c>
      <c r="M100" s="2" t="s">
        <v>37</v>
      </c>
      <c r="N100" s="2">
        <v>0</v>
      </c>
      <c r="S100" s="2" t="s">
        <v>38</v>
      </c>
      <c r="T100" s="2" t="s">
        <v>43</v>
      </c>
      <c r="U100" s="2" t="s">
        <v>40</v>
      </c>
      <c r="V100" s="52">
        <v>231000</v>
      </c>
      <c r="W100" s="2">
        <v>0.12</v>
      </c>
      <c r="X100" s="2">
        <v>4100</v>
      </c>
      <c r="Y100" s="2">
        <v>40</v>
      </c>
      <c r="Z100" s="2">
        <v>60</v>
      </c>
      <c r="AA100" s="2">
        <f t="shared" ref="AA100" si="18">0.9*G100-I100</f>
        <v>54</v>
      </c>
      <c r="AB100" s="2">
        <v>90</v>
      </c>
      <c r="AC100" s="18">
        <v>45</v>
      </c>
      <c r="AD100" s="2">
        <f>24.23/2</f>
        <v>12.115</v>
      </c>
      <c r="AE100" s="2">
        <f>AD100-21.89/2</f>
        <v>1.17</v>
      </c>
    </row>
    <row r="101" spans="1:31" x14ac:dyDescent="0.25">
      <c r="A101" s="2">
        <v>98</v>
      </c>
      <c r="C101" s="2" t="s">
        <v>292</v>
      </c>
      <c r="D101" s="2">
        <v>36</v>
      </c>
      <c r="E101" s="2">
        <v>70</v>
      </c>
      <c r="F101" s="2">
        <v>85</v>
      </c>
      <c r="G101" s="2">
        <v>60</v>
      </c>
      <c r="H101" s="2">
        <v>85</v>
      </c>
      <c r="I101" s="2">
        <v>0</v>
      </c>
      <c r="J101" s="2" t="s">
        <v>36</v>
      </c>
      <c r="K101" s="2">
        <v>200</v>
      </c>
      <c r="L101" s="43">
        <f t="shared" ref="L101" si="19">K101/G101</f>
        <v>3.3333333333333335</v>
      </c>
      <c r="M101" s="2" t="s">
        <v>37</v>
      </c>
      <c r="N101" s="2">
        <v>0</v>
      </c>
      <c r="S101" s="2" t="s">
        <v>38</v>
      </c>
      <c r="T101" s="2" t="s">
        <v>43</v>
      </c>
      <c r="U101" s="2" t="s">
        <v>40</v>
      </c>
      <c r="V101" s="52">
        <v>231000</v>
      </c>
      <c r="W101" s="2">
        <v>0.12</v>
      </c>
      <c r="X101" s="2">
        <v>4100</v>
      </c>
      <c r="Y101" s="2">
        <v>40</v>
      </c>
      <c r="Z101" s="2">
        <v>80</v>
      </c>
      <c r="AA101" s="2">
        <f t="shared" ref="AA101" si="20">0.9*G101-I101</f>
        <v>54</v>
      </c>
      <c r="AB101" s="2">
        <v>90</v>
      </c>
      <c r="AC101" s="18">
        <v>45</v>
      </c>
      <c r="AD101" s="2">
        <f>23.43/2</f>
        <v>11.715</v>
      </c>
      <c r="AE101" s="2">
        <f>AD101-21.57/2</f>
        <v>0.92999999999999972</v>
      </c>
    </row>
    <row r="102" spans="1:31" x14ac:dyDescent="0.25">
      <c r="A102" s="2">
        <v>99</v>
      </c>
      <c r="C102" s="2" t="s">
        <v>293</v>
      </c>
      <c r="D102" s="2">
        <v>36</v>
      </c>
      <c r="E102" s="2">
        <v>70</v>
      </c>
      <c r="F102" s="2">
        <v>85</v>
      </c>
      <c r="G102" s="2">
        <v>60</v>
      </c>
      <c r="H102" s="2">
        <v>85</v>
      </c>
      <c r="I102" s="2">
        <v>0</v>
      </c>
      <c r="J102" s="2" t="s">
        <v>36</v>
      </c>
      <c r="K102" s="2">
        <v>200</v>
      </c>
      <c r="L102" s="43">
        <f t="shared" ref="L102" si="21">K102/G102</f>
        <v>3.3333333333333335</v>
      </c>
      <c r="M102" s="2" t="s">
        <v>37</v>
      </c>
      <c r="N102" s="2">
        <v>0</v>
      </c>
      <c r="S102" s="2" t="s">
        <v>38</v>
      </c>
      <c r="T102" s="2" t="s">
        <v>43</v>
      </c>
      <c r="U102" s="2" t="s">
        <v>40</v>
      </c>
      <c r="V102" s="52">
        <v>231000</v>
      </c>
      <c r="W102" s="2">
        <v>0.12</v>
      </c>
      <c r="X102" s="2">
        <v>4100</v>
      </c>
      <c r="Y102" s="2">
        <v>40</v>
      </c>
      <c r="Z102" s="2">
        <v>80</v>
      </c>
      <c r="AA102" s="2">
        <f t="shared" ref="AA102" si="22">0.9*G102-I102</f>
        <v>54</v>
      </c>
      <c r="AB102" s="2">
        <v>90</v>
      </c>
      <c r="AC102" s="18">
        <v>45</v>
      </c>
      <c r="AD102" s="2">
        <f>23.89/2</f>
        <v>11.945</v>
      </c>
      <c r="AE102" s="2">
        <f>AD102-21.57/2</f>
        <v>1.1600000000000001</v>
      </c>
    </row>
    <row r="103" spans="1:31" x14ac:dyDescent="0.25">
      <c r="A103" s="2">
        <v>100</v>
      </c>
      <c r="C103" s="2" t="s">
        <v>294</v>
      </c>
      <c r="D103" s="2">
        <v>26.2</v>
      </c>
      <c r="E103" s="2">
        <v>70</v>
      </c>
      <c r="F103" s="2">
        <v>85</v>
      </c>
      <c r="G103" s="2">
        <v>60</v>
      </c>
      <c r="H103" s="2">
        <v>85</v>
      </c>
      <c r="I103" s="2">
        <v>0</v>
      </c>
      <c r="J103" s="2" t="s">
        <v>36</v>
      </c>
      <c r="K103" s="2">
        <v>200</v>
      </c>
      <c r="L103" s="43">
        <f t="shared" ref="L103:L104" si="23">K103/G103</f>
        <v>3.3333333333333335</v>
      </c>
      <c r="M103" s="2" t="s">
        <v>37</v>
      </c>
      <c r="N103" s="2">
        <v>0</v>
      </c>
      <c r="S103" s="2" t="s">
        <v>38</v>
      </c>
      <c r="T103" s="2" t="s">
        <v>43</v>
      </c>
      <c r="U103" s="2" t="s">
        <v>40</v>
      </c>
      <c r="V103" s="52">
        <v>231000</v>
      </c>
      <c r="W103" s="2">
        <v>0.12</v>
      </c>
      <c r="X103" s="2">
        <v>4100</v>
      </c>
      <c r="Y103" s="2">
        <v>40</v>
      </c>
      <c r="Z103" s="2">
        <v>80</v>
      </c>
      <c r="AA103" s="2">
        <f t="shared" ref="AA103:AA104" si="24">0.9*G103-I103</f>
        <v>54</v>
      </c>
      <c r="AB103" s="2">
        <v>90</v>
      </c>
      <c r="AC103" s="18">
        <v>45</v>
      </c>
      <c r="AD103" s="2">
        <f>22.71/2</f>
        <v>11.355</v>
      </c>
      <c r="AE103" s="2">
        <f>AD103-20.44/2</f>
        <v>1.1349999999999998</v>
      </c>
    </row>
    <row r="104" spans="1:31" x14ac:dyDescent="0.25">
      <c r="A104" s="2">
        <v>101</v>
      </c>
      <c r="C104" s="2" t="s">
        <v>295</v>
      </c>
      <c r="D104" s="2">
        <v>26.2</v>
      </c>
      <c r="E104" s="2">
        <v>70</v>
      </c>
      <c r="F104" s="2">
        <v>85</v>
      </c>
      <c r="G104" s="2">
        <v>60</v>
      </c>
      <c r="H104" s="2">
        <v>85</v>
      </c>
      <c r="I104" s="2">
        <v>0</v>
      </c>
      <c r="J104" s="2" t="s">
        <v>36</v>
      </c>
      <c r="K104" s="2">
        <v>200</v>
      </c>
      <c r="L104" s="43">
        <f t="shared" si="23"/>
        <v>3.3333333333333335</v>
      </c>
      <c r="M104" s="2" t="s">
        <v>37</v>
      </c>
      <c r="N104" s="2">
        <v>0</v>
      </c>
      <c r="S104" s="2" t="s">
        <v>38</v>
      </c>
      <c r="T104" s="2" t="s">
        <v>43</v>
      </c>
      <c r="U104" s="2" t="s">
        <v>40</v>
      </c>
      <c r="V104" s="52">
        <v>231000</v>
      </c>
      <c r="W104" s="2">
        <v>0.12</v>
      </c>
      <c r="X104" s="2">
        <v>4100</v>
      </c>
      <c r="Y104" s="2">
        <v>40</v>
      </c>
      <c r="Z104" s="2">
        <v>80</v>
      </c>
      <c r="AA104" s="2">
        <f t="shared" si="24"/>
        <v>54</v>
      </c>
      <c r="AB104" s="2">
        <v>90</v>
      </c>
      <c r="AC104" s="18">
        <v>45</v>
      </c>
      <c r="AD104" s="2">
        <f>23.11/2</f>
        <v>11.555</v>
      </c>
      <c r="AE104" s="2">
        <f>AD104-20.44/2</f>
        <v>1.3349999999999991</v>
      </c>
    </row>
    <row r="105" spans="1:31" x14ac:dyDescent="0.25">
      <c r="A105" s="57">
        <v>102</v>
      </c>
      <c r="B105" s="54"/>
      <c r="C105" s="57" t="s">
        <v>310</v>
      </c>
      <c r="D105" s="57">
        <v>34</v>
      </c>
      <c r="E105" s="57">
        <v>150</v>
      </c>
      <c r="F105" s="57">
        <v>250</v>
      </c>
      <c r="G105" s="57">
        <f t="shared" ref="G105:G110" si="25">F105-7-6-25</f>
        <v>212</v>
      </c>
      <c r="H105" s="57">
        <v>250</v>
      </c>
      <c r="I105" s="57">
        <v>0</v>
      </c>
      <c r="J105" s="57" t="s">
        <v>311</v>
      </c>
      <c r="K105" s="57">
        <v>650</v>
      </c>
      <c r="L105" s="64">
        <f t="shared" ref="L105:L111" si="26">K105/G105</f>
        <v>3.0660377358490565</v>
      </c>
      <c r="M105" s="57" t="s">
        <v>312</v>
      </c>
      <c r="N105" s="57">
        <v>0</v>
      </c>
      <c r="O105" s="54"/>
      <c r="P105" s="54"/>
      <c r="Q105" s="54"/>
      <c r="R105" s="54"/>
      <c r="S105" s="57" t="s">
        <v>314</v>
      </c>
      <c r="T105" s="57" t="s">
        <v>315</v>
      </c>
      <c r="U105" s="57" t="s">
        <v>316</v>
      </c>
      <c r="V105" s="68">
        <v>72020</v>
      </c>
      <c r="W105" s="53">
        <v>3.2</v>
      </c>
      <c r="X105" s="53">
        <v>1003.4</v>
      </c>
      <c r="Y105" s="53">
        <v>100</v>
      </c>
      <c r="Z105" s="53">
        <v>190</v>
      </c>
      <c r="AA105" s="57">
        <f t="shared" ref="AA105:AA111" si="27">0.9*G105-I105</f>
        <v>190.8</v>
      </c>
      <c r="AB105" s="53">
        <v>90</v>
      </c>
      <c r="AC105" s="57">
        <v>45</v>
      </c>
      <c r="AD105" s="53">
        <f>109*1550/2200</f>
        <v>76.795454545454547</v>
      </c>
      <c r="AE105" s="53">
        <f>(109-66)*1550/2200</f>
        <v>30.295454545454547</v>
      </c>
    </row>
    <row r="106" spans="1:31" x14ac:dyDescent="0.25">
      <c r="A106" s="2">
        <v>103</v>
      </c>
      <c r="C106" s="24" t="s">
        <v>317</v>
      </c>
      <c r="D106" s="24">
        <v>34</v>
      </c>
      <c r="E106" s="24">
        <v>150</v>
      </c>
      <c r="F106" s="24">
        <v>250</v>
      </c>
      <c r="G106" s="24">
        <f t="shared" si="25"/>
        <v>212</v>
      </c>
      <c r="H106" s="24">
        <v>250</v>
      </c>
      <c r="I106" s="24">
        <v>0</v>
      </c>
      <c r="J106" s="24" t="s">
        <v>311</v>
      </c>
      <c r="K106" s="24">
        <v>650</v>
      </c>
      <c r="L106" s="62">
        <f t="shared" si="26"/>
        <v>3.0660377358490565</v>
      </c>
      <c r="M106" s="24" t="s">
        <v>312</v>
      </c>
      <c r="N106" s="24">
        <v>0</v>
      </c>
      <c r="S106" s="24" t="s">
        <v>314</v>
      </c>
      <c r="T106" s="24" t="s">
        <v>315</v>
      </c>
      <c r="U106" s="24" t="s">
        <v>316</v>
      </c>
      <c r="V106" s="67">
        <v>72020</v>
      </c>
      <c r="W106" s="2">
        <v>3.2</v>
      </c>
      <c r="X106" s="2">
        <v>1003.4</v>
      </c>
      <c r="Y106" s="2">
        <v>50</v>
      </c>
      <c r="Z106" s="2">
        <v>90</v>
      </c>
      <c r="AA106" s="24">
        <f t="shared" si="27"/>
        <v>190.8</v>
      </c>
      <c r="AB106" s="2">
        <v>90</v>
      </c>
      <c r="AC106" s="18">
        <v>45</v>
      </c>
      <c r="AD106" s="2">
        <f>121*1550/2200</f>
        <v>85.25</v>
      </c>
      <c r="AE106" s="2">
        <f>(121-66)*1550/2200</f>
        <v>38.75</v>
      </c>
    </row>
    <row r="107" spans="1:31" x14ac:dyDescent="0.25">
      <c r="A107" s="24">
        <v>104</v>
      </c>
      <c r="B107" t="s">
        <v>309</v>
      </c>
      <c r="C107" s="24" t="s">
        <v>318</v>
      </c>
      <c r="D107" s="24">
        <v>35</v>
      </c>
      <c r="E107" s="24">
        <v>150</v>
      </c>
      <c r="F107" s="24">
        <v>250</v>
      </c>
      <c r="G107" s="24">
        <f t="shared" si="25"/>
        <v>212</v>
      </c>
      <c r="H107" s="24">
        <v>250</v>
      </c>
      <c r="I107" s="24">
        <v>0</v>
      </c>
      <c r="J107" s="24" t="s">
        <v>311</v>
      </c>
      <c r="K107" s="24">
        <v>650</v>
      </c>
      <c r="L107" s="62">
        <f t="shared" si="26"/>
        <v>3.0660377358490565</v>
      </c>
      <c r="M107" s="24" t="s">
        <v>312</v>
      </c>
      <c r="N107" s="24">
        <v>0</v>
      </c>
      <c r="S107" s="24" t="s">
        <v>314</v>
      </c>
      <c r="T107" s="24" t="s">
        <v>315</v>
      </c>
      <c r="U107" s="24" t="s">
        <v>316</v>
      </c>
      <c r="V107" s="67">
        <v>72020</v>
      </c>
      <c r="W107" s="2">
        <v>3.2</v>
      </c>
      <c r="X107" s="2">
        <v>1003.4</v>
      </c>
      <c r="Y107" s="2">
        <v>50</v>
      </c>
      <c r="Z107" s="2">
        <v>125</v>
      </c>
      <c r="AA107" s="24">
        <f t="shared" si="27"/>
        <v>190.8</v>
      </c>
      <c r="AB107" s="2">
        <v>90</v>
      </c>
      <c r="AC107" s="18">
        <v>45</v>
      </c>
      <c r="AD107" s="2">
        <f>105*1550/2200</f>
        <v>73.977272727272734</v>
      </c>
      <c r="AE107" s="2">
        <f>(105-66)*1550/2200</f>
        <v>27.477272727272727</v>
      </c>
    </row>
    <row r="108" spans="1:31" x14ac:dyDescent="0.25">
      <c r="A108" s="2">
        <v>105</v>
      </c>
      <c r="C108" s="24" t="s">
        <v>320</v>
      </c>
      <c r="D108" s="24">
        <v>36</v>
      </c>
      <c r="E108" s="24">
        <v>150</v>
      </c>
      <c r="F108" s="24">
        <v>250</v>
      </c>
      <c r="G108" s="24">
        <f t="shared" si="25"/>
        <v>212</v>
      </c>
      <c r="H108" s="24">
        <v>250</v>
      </c>
      <c r="I108" s="24">
        <v>73</v>
      </c>
      <c r="J108" s="24" t="s">
        <v>311</v>
      </c>
      <c r="K108" s="24">
        <v>650</v>
      </c>
      <c r="L108" s="62">
        <f t="shared" si="26"/>
        <v>3.0660377358490565</v>
      </c>
      <c r="M108" s="24" t="s">
        <v>312</v>
      </c>
      <c r="N108" s="24">
        <v>0</v>
      </c>
      <c r="S108" s="24" t="s">
        <v>314</v>
      </c>
      <c r="T108" s="24" t="s">
        <v>315</v>
      </c>
      <c r="U108" s="24" t="s">
        <v>316</v>
      </c>
      <c r="V108" s="67">
        <v>72020</v>
      </c>
      <c r="W108" s="2">
        <v>3.2</v>
      </c>
      <c r="X108" s="2">
        <v>1003.4</v>
      </c>
      <c r="Y108" s="2">
        <v>50</v>
      </c>
      <c r="Z108" s="2">
        <v>90</v>
      </c>
      <c r="AA108" s="24">
        <f t="shared" si="27"/>
        <v>117.80000000000001</v>
      </c>
      <c r="AB108" s="2">
        <v>45</v>
      </c>
      <c r="AC108" s="18">
        <v>45</v>
      </c>
      <c r="AD108" s="2">
        <f>126*1550/2200</f>
        <v>88.772727272727266</v>
      </c>
      <c r="AE108" s="2">
        <f>(126-66)*1550/2200</f>
        <v>42.272727272727273</v>
      </c>
    </row>
    <row r="109" spans="1:31" x14ac:dyDescent="0.25">
      <c r="A109" s="24">
        <v>106</v>
      </c>
      <c r="C109" s="24" t="s">
        <v>319</v>
      </c>
      <c r="D109" s="24">
        <v>37</v>
      </c>
      <c r="E109" s="24">
        <v>150</v>
      </c>
      <c r="F109" s="24">
        <v>250</v>
      </c>
      <c r="G109" s="24">
        <f t="shared" si="25"/>
        <v>212</v>
      </c>
      <c r="H109" s="24">
        <v>250</v>
      </c>
      <c r="I109" s="24">
        <v>73</v>
      </c>
      <c r="J109" s="24" t="s">
        <v>311</v>
      </c>
      <c r="K109" s="24">
        <v>650</v>
      </c>
      <c r="L109" s="62">
        <f t="shared" si="26"/>
        <v>3.0660377358490565</v>
      </c>
      <c r="M109" s="24" t="s">
        <v>312</v>
      </c>
      <c r="N109" s="24">
        <v>0</v>
      </c>
      <c r="S109" s="24" t="s">
        <v>314</v>
      </c>
      <c r="T109" s="24" t="s">
        <v>315</v>
      </c>
      <c r="U109" s="24" t="s">
        <v>316</v>
      </c>
      <c r="V109" s="67">
        <v>72020</v>
      </c>
      <c r="W109" s="2">
        <v>3.2</v>
      </c>
      <c r="X109" s="2">
        <v>1003.4</v>
      </c>
      <c r="Y109" s="2">
        <v>50</v>
      </c>
      <c r="Z109" s="2">
        <v>125</v>
      </c>
      <c r="AA109" s="24">
        <f t="shared" si="27"/>
        <v>117.80000000000001</v>
      </c>
      <c r="AB109" s="2">
        <v>45</v>
      </c>
      <c r="AC109" s="18">
        <v>45</v>
      </c>
      <c r="AD109" s="2">
        <f>111*1550/2200</f>
        <v>78.204545454545453</v>
      </c>
      <c r="AE109" s="2">
        <f>(111-66)*1550/2200</f>
        <v>31.704545454545453</v>
      </c>
    </row>
    <row r="110" spans="1:31" x14ac:dyDescent="0.25">
      <c r="A110" s="2">
        <v>107</v>
      </c>
      <c r="C110" s="24" t="s">
        <v>321</v>
      </c>
      <c r="D110" s="24">
        <v>34</v>
      </c>
      <c r="E110" s="24">
        <v>150</v>
      </c>
      <c r="F110" s="24">
        <v>250</v>
      </c>
      <c r="G110" s="24">
        <f t="shared" si="25"/>
        <v>212</v>
      </c>
      <c r="H110" s="24">
        <v>250</v>
      </c>
      <c r="I110" s="24">
        <v>0</v>
      </c>
      <c r="J110" s="24" t="s">
        <v>311</v>
      </c>
      <c r="K110" s="24">
        <v>650</v>
      </c>
      <c r="L110" s="62">
        <f t="shared" si="26"/>
        <v>3.0660377358490565</v>
      </c>
      <c r="M110" s="24" t="s">
        <v>322</v>
      </c>
      <c r="N110" s="24">
        <v>6</v>
      </c>
      <c r="O110" s="24">
        <v>150</v>
      </c>
      <c r="P110" s="24">
        <v>204000</v>
      </c>
      <c r="Q110" s="24">
        <v>410</v>
      </c>
      <c r="R110" s="18">
        <f>100*2*3.1416*N110^2/4/O110/E110</f>
        <v>0.251328</v>
      </c>
      <c r="S110" s="24" t="s">
        <v>314</v>
      </c>
      <c r="T110" s="24" t="s">
        <v>315</v>
      </c>
      <c r="U110" s="24" t="s">
        <v>316</v>
      </c>
      <c r="V110" s="67">
        <v>72020</v>
      </c>
      <c r="W110" s="2">
        <v>3.2</v>
      </c>
      <c r="X110" s="2">
        <v>1003.4</v>
      </c>
      <c r="Y110" s="2">
        <v>50</v>
      </c>
      <c r="Z110" s="2">
        <v>125</v>
      </c>
      <c r="AA110" s="24">
        <f t="shared" si="27"/>
        <v>190.8</v>
      </c>
      <c r="AB110" s="2">
        <v>90</v>
      </c>
      <c r="AC110" s="18">
        <v>45</v>
      </c>
      <c r="AD110" s="2">
        <f>123*1550/2200</f>
        <v>86.659090909090907</v>
      </c>
      <c r="AE110" s="2">
        <f>(123-79)*1550/2200</f>
        <v>31</v>
      </c>
    </row>
    <row r="111" spans="1:31" x14ac:dyDescent="0.25">
      <c r="A111" s="57">
        <v>108</v>
      </c>
      <c r="B111" s="54"/>
      <c r="C111" s="57" t="s">
        <v>364</v>
      </c>
      <c r="D111" s="57">
        <v>35</v>
      </c>
      <c r="E111" s="57">
        <v>200</v>
      </c>
      <c r="F111" s="57">
        <v>300</v>
      </c>
      <c r="G111" s="57">
        <v>265</v>
      </c>
      <c r="H111" s="57">
        <v>300</v>
      </c>
      <c r="I111" s="57">
        <v>0</v>
      </c>
      <c r="J111" s="57" t="s">
        <v>368</v>
      </c>
      <c r="K111" s="57">
        <v>750</v>
      </c>
      <c r="L111" s="64">
        <f t="shared" si="26"/>
        <v>2.8301886792452828</v>
      </c>
      <c r="M111" s="57" t="s">
        <v>369</v>
      </c>
      <c r="N111" s="57">
        <v>6</v>
      </c>
      <c r="O111" s="54">
        <v>150</v>
      </c>
      <c r="P111" s="57">
        <v>200000</v>
      </c>
      <c r="Q111" s="57">
        <v>275</v>
      </c>
      <c r="R111" s="57">
        <f>100*2*3.1416*N111^2/4/O111/E111</f>
        <v>0.188496</v>
      </c>
      <c r="S111" s="57" t="s">
        <v>370</v>
      </c>
      <c r="T111" s="57" t="s">
        <v>371</v>
      </c>
      <c r="U111" s="57" t="s">
        <v>372</v>
      </c>
      <c r="V111" s="68">
        <v>77300</v>
      </c>
      <c r="W111" s="53">
        <v>1</v>
      </c>
      <c r="X111" s="53">
        <f>77300*1.1/100</f>
        <v>850.3</v>
      </c>
      <c r="Y111" s="53">
        <v>50</v>
      </c>
      <c r="Z111" s="53">
        <v>150</v>
      </c>
      <c r="AA111" s="57">
        <f t="shared" si="27"/>
        <v>238.5</v>
      </c>
      <c r="AB111" s="53">
        <v>90</v>
      </c>
      <c r="AC111" s="57">
        <v>45</v>
      </c>
      <c r="AD111" s="54">
        <f>95.97</f>
        <v>95.97</v>
      </c>
      <c r="AE111" s="54">
        <f>(95.97-81.2)</f>
        <v>14.769999999999996</v>
      </c>
    </row>
    <row r="112" spans="1:31" x14ac:dyDescent="0.25">
      <c r="A112" s="2">
        <v>109</v>
      </c>
      <c r="B112" t="s">
        <v>373</v>
      </c>
      <c r="C112" s="24" t="s">
        <v>365</v>
      </c>
      <c r="D112" s="24">
        <v>35</v>
      </c>
      <c r="E112" s="24">
        <v>200</v>
      </c>
      <c r="F112" s="24">
        <v>300</v>
      </c>
      <c r="G112" s="24">
        <v>265</v>
      </c>
      <c r="H112" s="24">
        <v>300</v>
      </c>
      <c r="I112" s="24">
        <v>0</v>
      </c>
      <c r="J112" s="24" t="s">
        <v>368</v>
      </c>
      <c r="K112" s="24">
        <v>750</v>
      </c>
      <c r="L112" s="62">
        <f t="shared" ref="L112:L115" si="28">K112/G112</f>
        <v>2.8301886792452828</v>
      </c>
      <c r="M112" s="24" t="s">
        <v>369</v>
      </c>
      <c r="N112" s="24">
        <v>6</v>
      </c>
      <c r="O112">
        <v>150</v>
      </c>
      <c r="P112" s="24">
        <v>200000</v>
      </c>
      <c r="Q112" s="24">
        <v>275</v>
      </c>
      <c r="R112" s="18">
        <f>100*2*3.1416*N112^2/4/O112/E112</f>
        <v>0.188496</v>
      </c>
      <c r="S112" s="24" t="s">
        <v>370</v>
      </c>
      <c r="T112" s="24" t="s">
        <v>371</v>
      </c>
      <c r="U112" s="24" t="s">
        <v>372</v>
      </c>
      <c r="V112" s="67">
        <v>77300</v>
      </c>
      <c r="W112" s="2">
        <v>1</v>
      </c>
      <c r="X112" s="2">
        <f>77300*1.1/100</f>
        <v>850.3</v>
      </c>
      <c r="Y112" s="2">
        <v>50</v>
      </c>
      <c r="Z112" s="2">
        <v>150</v>
      </c>
      <c r="AA112" s="24">
        <f t="shared" ref="AA112:AA115" si="29">0.9*G112-I112</f>
        <v>238.5</v>
      </c>
      <c r="AB112" s="2">
        <v>90</v>
      </c>
      <c r="AC112" s="18">
        <v>45</v>
      </c>
      <c r="AD112">
        <f>96.74</f>
        <v>96.74</v>
      </c>
      <c r="AE112">
        <f>AD112-81.2</f>
        <v>15.539999999999992</v>
      </c>
    </row>
    <row r="113" spans="1:31" x14ac:dyDescent="0.25">
      <c r="A113" s="24">
        <v>110</v>
      </c>
      <c r="C113" s="24" t="s">
        <v>366</v>
      </c>
      <c r="D113" s="24">
        <v>35</v>
      </c>
      <c r="E113" s="24">
        <v>200</v>
      </c>
      <c r="F113" s="24">
        <v>300</v>
      </c>
      <c r="G113" s="24">
        <v>265</v>
      </c>
      <c r="H113" s="24">
        <v>300</v>
      </c>
      <c r="I113" s="24">
        <v>0</v>
      </c>
      <c r="J113" s="24" t="s">
        <v>368</v>
      </c>
      <c r="K113" s="24">
        <v>750</v>
      </c>
      <c r="L113" s="62">
        <f t="shared" si="28"/>
        <v>2.8301886792452828</v>
      </c>
      <c r="M113" s="24" t="s">
        <v>369</v>
      </c>
      <c r="N113" s="24">
        <v>6</v>
      </c>
      <c r="O113">
        <v>150</v>
      </c>
      <c r="P113" s="24">
        <v>200000</v>
      </c>
      <c r="Q113" s="24">
        <v>275</v>
      </c>
      <c r="R113" s="18">
        <f>100*2*3.1416*N113^2/4/O113/E113</f>
        <v>0.188496</v>
      </c>
      <c r="S113" s="24" t="s">
        <v>370</v>
      </c>
      <c r="T113" s="24" t="s">
        <v>371</v>
      </c>
      <c r="U113" s="24" t="s">
        <v>372</v>
      </c>
      <c r="V113" s="67">
        <v>77300</v>
      </c>
      <c r="W113" s="2">
        <v>1</v>
      </c>
      <c r="X113" s="2">
        <f>77300*1.1/100</f>
        <v>850.3</v>
      </c>
      <c r="Y113" s="2">
        <v>50</v>
      </c>
      <c r="Z113" s="2">
        <v>150</v>
      </c>
      <c r="AA113" s="24">
        <f t="shared" si="29"/>
        <v>238.5</v>
      </c>
      <c r="AB113" s="2">
        <v>30</v>
      </c>
      <c r="AC113" s="18">
        <v>45</v>
      </c>
      <c r="AD113">
        <f>111.01</f>
        <v>111.01</v>
      </c>
      <c r="AE113">
        <f>AD113-81.2</f>
        <v>29.810000000000002</v>
      </c>
    </row>
    <row r="114" spans="1:31" x14ac:dyDescent="0.25">
      <c r="A114" s="2">
        <v>111</v>
      </c>
      <c r="C114" s="24" t="s">
        <v>367</v>
      </c>
      <c r="D114" s="24">
        <v>35</v>
      </c>
      <c r="E114" s="24">
        <v>200</v>
      </c>
      <c r="F114" s="24">
        <v>300</v>
      </c>
      <c r="G114" s="24">
        <v>265</v>
      </c>
      <c r="H114" s="24">
        <v>300</v>
      </c>
      <c r="I114" s="24">
        <v>0</v>
      </c>
      <c r="J114" s="24" t="s">
        <v>368</v>
      </c>
      <c r="K114" s="24">
        <v>750</v>
      </c>
      <c r="L114" s="62">
        <f t="shared" si="28"/>
        <v>2.8301886792452828</v>
      </c>
      <c r="M114" s="24" t="s">
        <v>369</v>
      </c>
      <c r="N114" s="24">
        <v>6</v>
      </c>
      <c r="O114">
        <v>150</v>
      </c>
      <c r="P114" s="24">
        <v>200000</v>
      </c>
      <c r="Q114" s="24">
        <v>275</v>
      </c>
      <c r="R114" s="18">
        <f>100*2*3.1416*N114^2/4/O114/E114</f>
        <v>0.188496</v>
      </c>
      <c r="S114" s="24" t="s">
        <v>370</v>
      </c>
      <c r="T114" s="24" t="s">
        <v>371</v>
      </c>
      <c r="U114" s="24" t="s">
        <v>372</v>
      </c>
      <c r="V114" s="67">
        <v>77300</v>
      </c>
      <c r="W114" s="2">
        <v>1</v>
      </c>
      <c r="X114" s="2">
        <f>77300*1.1/100</f>
        <v>850.3</v>
      </c>
      <c r="Y114" s="2">
        <v>50</v>
      </c>
      <c r="Z114" s="2">
        <v>150</v>
      </c>
      <c r="AA114" s="24">
        <f t="shared" si="29"/>
        <v>238.5</v>
      </c>
      <c r="AB114" s="2">
        <v>30</v>
      </c>
      <c r="AC114" s="18">
        <v>45</v>
      </c>
      <c r="AD114">
        <f>110.53</f>
        <v>110.53</v>
      </c>
      <c r="AE114">
        <f>AD114-81.2</f>
        <v>29.33</v>
      </c>
    </row>
    <row r="115" spans="1:31" x14ac:dyDescent="0.25">
      <c r="A115" s="53">
        <v>112</v>
      </c>
      <c r="B115" s="54"/>
      <c r="C115" s="57" t="s">
        <v>375</v>
      </c>
      <c r="D115" s="57">
        <v>50.06</v>
      </c>
      <c r="E115" s="57">
        <v>152.4</v>
      </c>
      <c r="F115" s="57">
        <v>304.8</v>
      </c>
      <c r="G115" s="57">
        <f>304.8-25-9-8</f>
        <v>262.8</v>
      </c>
      <c r="H115" s="57">
        <v>304.8</v>
      </c>
      <c r="I115" s="57">
        <v>0</v>
      </c>
      <c r="J115" s="57" t="s">
        <v>36</v>
      </c>
      <c r="K115" s="57">
        <v>762</v>
      </c>
      <c r="L115" s="64">
        <f t="shared" si="28"/>
        <v>2.8995433789954337</v>
      </c>
      <c r="M115" s="57" t="s">
        <v>37</v>
      </c>
      <c r="N115" s="57">
        <v>0</v>
      </c>
      <c r="O115" s="54"/>
      <c r="P115" s="54"/>
      <c r="Q115" s="54"/>
      <c r="R115" s="54"/>
      <c r="S115" s="57" t="s">
        <v>38</v>
      </c>
      <c r="T115" s="57" t="s">
        <v>39</v>
      </c>
      <c r="U115" s="57" t="s">
        <v>40</v>
      </c>
      <c r="V115" s="68">
        <v>234500</v>
      </c>
      <c r="W115" s="53">
        <v>0.34</v>
      </c>
      <c r="X115" s="53">
        <v>3450</v>
      </c>
      <c r="Y115" s="53">
        <v>1</v>
      </c>
      <c r="Z115" s="53">
        <v>1</v>
      </c>
      <c r="AA115" s="57">
        <f t="shared" si="29"/>
        <v>236.52</v>
      </c>
      <c r="AB115" s="53">
        <v>90</v>
      </c>
      <c r="AC115" s="57">
        <v>45</v>
      </c>
      <c r="AD115" s="57">
        <v>112.39</v>
      </c>
      <c r="AE115" s="57">
        <v>42.13</v>
      </c>
    </row>
    <row r="116" spans="1:31" x14ac:dyDescent="0.25">
      <c r="A116" s="2">
        <v>113</v>
      </c>
      <c r="B116" t="s">
        <v>374</v>
      </c>
      <c r="C116" s="24" t="s">
        <v>376</v>
      </c>
      <c r="D116" s="24">
        <v>50.06</v>
      </c>
      <c r="E116" s="24">
        <v>152.4</v>
      </c>
      <c r="F116" s="24">
        <v>304.8</v>
      </c>
      <c r="G116" s="24">
        <f>304.8-25-9-8</f>
        <v>262.8</v>
      </c>
      <c r="H116" s="24">
        <v>304.8</v>
      </c>
      <c r="I116" s="24">
        <v>0</v>
      </c>
      <c r="J116" s="24" t="s">
        <v>36</v>
      </c>
      <c r="K116" s="24">
        <v>762</v>
      </c>
      <c r="L116" s="62">
        <f t="shared" ref="L116:L118" si="30">K116/G116</f>
        <v>2.8995433789954337</v>
      </c>
      <c r="M116" s="24" t="s">
        <v>37</v>
      </c>
      <c r="N116" s="24">
        <v>0</v>
      </c>
      <c r="S116" s="24" t="s">
        <v>38</v>
      </c>
      <c r="T116" s="24" t="s">
        <v>39</v>
      </c>
      <c r="U116" s="24" t="s">
        <v>40</v>
      </c>
      <c r="V116" s="67">
        <v>234500</v>
      </c>
      <c r="W116" s="2">
        <v>0.34</v>
      </c>
      <c r="X116" s="2">
        <v>3450</v>
      </c>
      <c r="Y116" s="2">
        <v>1</v>
      </c>
      <c r="Z116" s="2">
        <v>1</v>
      </c>
      <c r="AA116" s="24">
        <f t="shared" ref="AA116:AA120" si="31">0.9*G116-I116</f>
        <v>236.52</v>
      </c>
      <c r="AB116" s="2">
        <v>90</v>
      </c>
      <c r="AC116" s="18">
        <v>45</v>
      </c>
      <c r="AD116" s="18">
        <v>109.58</v>
      </c>
      <c r="AE116" s="18">
        <v>39.32</v>
      </c>
    </row>
    <row r="117" spans="1:31" x14ac:dyDescent="0.25">
      <c r="A117" s="2">
        <v>114</v>
      </c>
      <c r="C117" s="24" t="s">
        <v>377</v>
      </c>
      <c r="D117" s="24">
        <v>50.06</v>
      </c>
      <c r="E117" s="24">
        <v>152.4</v>
      </c>
      <c r="F117" s="24">
        <v>304.8</v>
      </c>
      <c r="G117" s="24">
        <f>304.8-25-9-8</f>
        <v>262.8</v>
      </c>
      <c r="H117" s="24">
        <v>304.8</v>
      </c>
      <c r="I117" s="24">
        <v>152.4</v>
      </c>
      <c r="J117" s="24" t="s">
        <v>36</v>
      </c>
      <c r="K117" s="24">
        <v>762</v>
      </c>
      <c r="L117" s="62">
        <f t="shared" si="30"/>
        <v>2.8995433789954337</v>
      </c>
      <c r="M117" s="24" t="s">
        <v>37</v>
      </c>
      <c r="N117" s="24">
        <v>0</v>
      </c>
      <c r="S117" s="24" t="s">
        <v>38</v>
      </c>
      <c r="T117" s="24" t="s">
        <v>39</v>
      </c>
      <c r="U117" s="24" t="s">
        <v>40</v>
      </c>
      <c r="V117" s="67">
        <v>234500</v>
      </c>
      <c r="W117" s="2">
        <v>0.34</v>
      </c>
      <c r="X117" s="2">
        <v>3450</v>
      </c>
      <c r="Y117" s="2">
        <v>1</v>
      </c>
      <c r="Z117" s="2">
        <v>1</v>
      </c>
      <c r="AA117" s="24">
        <f t="shared" si="31"/>
        <v>84.12</v>
      </c>
      <c r="AB117" s="2">
        <v>90</v>
      </c>
      <c r="AC117" s="18">
        <v>45</v>
      </c>
      <c r="AD117" s="18">
        <v>89.9</v>
      </c>
      <c r="AE117" s="18">
        <v>19.64</v>
      </c>
    </row>
    <row r="118" spans="1:31" x14ac:dyDescent="0.25">
      <c r="A118" s="53">
        <v>115</v>
      </c>
      <c r="B118" s="53" t="s">
        <v>398</v>
      </c>
      <c r="C118" s="57" t="s">
        <v>396</v>
      </c>
      <c r="D118" s="57">
        <v>21</v>
      </c>
      <c r="E118" s="57">
        <v>80</v>
      </c>
      <c r="F118" s="57">
        <v>600</v>
      </c>
      <c r="G118" s="53">
        <f>F118-25-6-16-30-8</f>
        <v>515</v>
      </c>
      <c r="H118" s="57">
        <v>600</v>
      </c>
      <c r="I118" s="57">
        <v>80</v>
      </c>
      <c r="J118" s="57" t="s">
        <v>86</v>
      </c>
      <c r="K118" s="57">
        <v>1000</v>
      </c>
      <c r="L118" s="64">
        <f t="shared" si="30"/>
        <v>1.941747572815534</v>
      </c>
      <c r="M118" s="57" t="s">
        <v>52</v>
      </c>
      <c r="N118" s="57">
        <v>6</v>
      </c>
      <c r="O118" s="53">
        <v>500</v>
      </c>
      <c r="P118" s="57">
        <v>200000</v>
      </c>
      <c r="Q118" s="57">
        <v>240</v>
      </c>
      <c r="R118" s="57">
        <f>100*2*3.1416*N118^2/4/O118/E118</f>
        <v>0.141372</v>
      </c>
      <c r="S118" s="57" t="s">
        <v>38</v>
      </c>
      <c r="T118" s="57" t="s">
        <v>43</v>
      </c>
      <c r="U118" s="57" t="s">
        <v>40</v>
      </c>
      <c r="V118" s="56">
        <v>238000</v>
      </c>
      <c r="W118" s="53">
        <v>0.11</v>
      </c>
      <c r="X118" s="53">
        <v>4300</v>
      </c>
      <c r="Y118" s="53">
        <v>25</v>
      </c>
      <c r="Z118" s="53">
        <v>90</v>
      </c>
      <c r="AA118" s="57">
        <f t="shared" si="31"/>
        <v>383.5</v>
      </c>
      <c r="AB118" s="53">
        <v>90</v>
      </c>
      <c r="AC118" s="57">
        <v>45</v>
      </c>
      <c r="AD118" s="53">
        <f>231/2</f>
        <v>115.5</v>
      </c>
      <c r="AE118" s="53">
        <f>84.8/2</f>
        <v>42.4</v>
      </c>
    </row>
    <row r="119" spans="1:31" x14ac:dyDescent="0.25">
      <c r="A119" s="2">
        <v>116</v>
      </c>
      <c r="B119" s="2"/>
      <c r="C119" s="24" t="s">
        <v>397</v>
      </c>
      <c r="D119" s="24">
        <v>21</v>
      </c>
      <c r="E119" s="24">
        <v>80</v>
      </c>
      <c r="F119" s="24">
        <v>600</v>
      </c>
      <c r="G119" s="2">
        <f>F119-25-6-16-30-8</f>
        <v>515</v>
      </c>
      <c r="H119" s="24">
        <v>600</v>
      </c>
      <c r="I119" s="24">
        <v>80</v>
      </c>
      <c r="J119" s="24" t="s">
        <v>86</v>
      </c>
      <c r="K119" s="24">
        <v>1000</v>
      </c>
      <c r="L119" s="62">
        <f t="shared" ref="L119:L120" si="32">K119/G119</f>
        <v>1.941747572815534</v>
      </c>
      <c r="M119" s="24" t="s">
        <v>52</v>
      </c>
      <c r="N119" s="24">
        <v>6</v>
      </c>
      <c r="O119" s="2">
        <v>500</v>
      </c>
      <c r="P119" s="24">
        <v>200000</v>
      </c>
      <c r="Q119" s="24">
        <v>240</v>
      </c>
      <c r="R119" s="18">
        <f>100*2*3.1416*N119^2/4/O119/E119</f>
        <v>0.141372</v>
      </c>
      <c r="S119" s="24" t="s">
        <v>38</v>
      </c>
      <c r="T119" s="24" t="s">
        <v>43</v>
      </c>
      <c r="U119" s="24" t="s">
        <v>40</v>
      </c>
      <c r="V119" s="52">
        <v>238000</v>
      </c>
      <c r="W119" s="2">
        <v>0.11</v>
      </c>
      <c r="X119" s="2">
        <v>4300</v>
      </c>
      <c r="Y119" s="2">
        <v>25</v>
      </c>
      <c r="Z119" s="2">
        <v>90</v>
      </c>
      <c r="AA119" s="24">
        <f t="shared" si="31"/>
        <v>383.5</v>
      </c>
      <c r="AB119" s="2">
        <v>60</v>
      </c>
      <c r="AC119" s="18">
        <v>45</v>
      </c>
      <c r="AD119" s="2">
        <f>280/2</f>
        <v>140</v>
      </c>
      <c r="AE119" s="2">
        <f>124/2</f>
        <v>62</v>
      </c>
    </row>
    <row r="120" spans="1:31" x14ac:dyDescent="0.25">
      <c r="A120" s="53">
        <v>117</v>
      </c>
      <c r="B120" s="54"/>
      <c r="C120" s="57" t="s">
        <v>400</v>
      </c>
      <c r="D120" s="57">
        <v>40.090000000000003</v>
      </c>
      <c r="E120" s="57">
        <v>100</v>
      </c>
      <c r="F120" s="57">
        <v>250</v>
      </c>
      <c r="G120" s="53">
        <v>225</v>
      </c>
      <c r="H120" s="57">
        <v>250</v>
      </c>
      <c r="I120" s="57">
        <v>60</v>
      </c>
      <c r="J120" s="57" t="s">
        <v>86</v>
      </c>
      <c r="K120" s="57">
        <v>733</v>
      </c>
      <c r="L120" s="64">
        <f t="shared" si="32"/>
        <v>3.2577777777777777</v>
      </c>
      <c r="M120" s="57" t="s">
        <v>37</v>
      </c>
      <c r="N120" s="57">
        <v>0</v>
      </c>
      <c r="O120" s="54"/>
      <c r="P120" s="54"/>
      <c r="Q120" s="54"/>
      <c r="R120" s="54"/>
      <c r="S120" s="57" t="s">
        <v>106</v>
      </c>
      <c r="T120" s="57" t="s">
        <v>39</v>
      </c>
      <c r="U120" s="57" t="s">
        <v>40</v>
      </c>
      <c r="V120" s="68">
        <v>13180</v>
      </c>
      <c r="W120" s="53">
        <v>0.36</v>
      </c>
      <c r="X120" s="53">
        <v>160</v>
      </c>
      <c r="Y120" s="53">
        <v>1</v>
      </c>
      <c r="Z120" s="53">
        <v>1</v>
      </c>
      <c r="AA120" s="57">
        <f t="shared" si="31"/>
        <v>142.5</v>
      </c>
      <c r="AB120" s="53">
        <v>90</v>
      </c>
      <c r="AC120" s="57">
        <v>45</v>
      </c>
      <c r="AD120" s="53">
        <v>66</v>
      </c>
      <c r="AE120" s="53">
        <v>16</v>
      </c>
    </row>
    <row r="121" spans="1:31" x14ac:dyDescent="0.25">
      <c r="A121" s="2">
        <v>118</v>
      </c>
      <c r="B121" s="2" t="s">
        <v>399</v>
      </c>
      <c r="C121" s="24" t="s">
        <v>401</v>
      </c>
      <c r="D121" s="24">
        <v>40.090000000000003</v>
      </c>
      <c r="E121" s="24">
        <v>100</v>
      </c>
      <c r="F121" s="24">
        <v>250</v>
      </c>
      <c r="G121" s="58">
        <v>225</v>
      </c>
      <c r="H121" s="24">
        <v>250</v>
      </c>
      <c r="I121" s="24">
        <v>60</v>
      </c>
      <c r="J121" s="24" t="s">
        <v>86</v>
      </c>
      <c r="K121" s="24">
        <v>733</v>
      </c>
      <c r="L121" s="62">
        <f t="shared" ref="L121:L122" si="33">K121/G121</f>
        <v>3.2577777777777777</v>
      </c>
      <c r="M121" s="24" t="s">
        <v>37</v>
      </c>
      <c r="N121" s="24">
        <v>0</v>
      </c>
      <c r="S121" s="24" t="s">
        <v>106</v>
      </c>
      <c r="T121" s="24" t="s">
        <v>39</v>
      </c>
      <c r="U121" s="24" t="s">
        <v>40</v>
      </c>
      <c r="V121" s="67">
        <v>13180</v>
      </c>
      <c r="W121" s="2">
        <v>0.72</v>
      </c>
      <c r="X121" s="2">
        <v>160</v>
      </c>
      <c r="Y121" s="2">
        <v>1</v>
      </c>
      <c r="Z121" s="2">
        <v>1</v>
      </c>
      <c r="AA121" s="24">
        <f t="shared" ref="AA121:AA123" si="34">0.9*G121-I121</f>
        <v>142.5</v>
      </c>
      <c r="AB121" s="2">
        <v>90</v>
      </c>
      <c r="AC121" s="18">
        <v>45</v>
      </c>
      <c r="AD121" s="2">
        <v>69</v>
      </c>
      <c r="AE121" s="2">
        <v>19</v>
      </c>
    </row>
    <row r="122" spans="1:31" x14ac:dyDescent="0.25">
      <c r="A122" s="2">
        <v>119</v>
      </c>
      <c r="C122" s="24" t="s">
        <v>402</v>
      </c>
      <c r="D122" s="24">
        <v>40.090000000000003</v>
      </c>
      <c r="E122" s="24">
        <v>100</v>
      </c>
      <c r="F122" s="24">
        <v>250</v>
      </c>
      <c r="G122" s="58">
        <v>225</v>
      </c>
      <c r="H122" s="24">
        <v>250</v>
      </c>
      <c r="I122" s="24">
        <v>60</v>
      </c>
      <c r="J122" s="24" t="s">
        <v>86</v>
      </c>
      <c r="K122" s="24">
        <v>733</v>
      </c>
      <c r="L122" s="62">
        <f t="shared" si="33"/>
        <v>3.2577777777777777</v>
      </c>
      <c r="M122" s="24" t="s">
        <v>37</v>
      </c>
      <c r="N122" s="24">
        <v>0</v>
      </c>
      <c r="S122" s="24" t="s">
        <v>106</v>
      </c>
      <c r="T122" s="24" t="s">
        <v>39</v>
      </c>
      <c r="U122" s="24" t="s">
        <v>40</v>
      </c>
      <c r="V122" s="67">
        <v>13180</v>
      </c>
      <c r="W122" s="2">
        <v>1.08</v>
      </c>
      <c r="X122" s="2">
        <v>160</v>
      </c>
      <c r="Y122" s="2">
        <v>1</v>
      </c>
      <c r="Z122" s="2">
        <v>1</v>
      </c>
      <c r="AA122" s="24">
        <f t="shared" si="34"/>
        <v>142.5</v>
      </c>
      <c r="AB122" s="2">
        <v>90</v>
      </c>
      <c r="AC122" s="18">
        <v>45</v>
      </c>
      <c r="AD122" s="2">
        <v>75</v>
      </c>
      <c r="AE122" s="2">
        <v>25</v>
      </c>
    </row>
    <row r="123" spans="1:31" x14ac:dyDescent="0.25">
      <c r="A123" s="2">
        <v>120</v>
      </c>
      <c r="C123" s="24" t="s">
        <v>403</v>
      </c>
      <c r="D123" s="24">
        <v>40.67</v>
      </c>
      <c r="E123" s="24">
        <v>100</v>
      </c>
      <c r="F123" s="24">
        <v>250</v>
      </c>
      <c r="G123" s="58">
        <v>225</v>
      </c>
      <c r="H123" s="24">
        <v>250</v>
      </c>
      <c r="I123" s="24">
        <v>60</v>
      </c>
      <c r="J123" s="24" t="s">
        <v>86</v>
      </c>
      <c r="K123" s="24">
        <v>733</v>
      </c>
      <c r="L123" s="62">
        <f t="shared" ref="L123:L129" si="35">K123/G123</f>
        <v>3.2577777777777777</v>
      </c>
      <c r="M123" s="24" t="s">
        <v>52</v>
      </c>
      <c r="N123" s="24">
        <v>6</v>
      </c>
      <c r="O123">
        <v>300</v>
      </c>
      <c r="P123">
        <v>200000</v>
      </c>
      <c r="Q123">
        <v>252</v>
      </c>
      <c r="R123" s="18">
        <f t="shared" ref="R123:R128" si="36">100*2*3.1416*N123^2/4/O123/E123</f>
        <v>0.188496</v>
      </c>
      <c r="S123" s="24" t="s">
        <v>106</v>
      </c>
      <c r="T123" s="24" t="s">
        <v>39</v>
      </c>
      <c r="U123" s="24" t="s">
        <v>40</v>
      </c>
      <c r="V123" s="67">
        <v>13180</v>
      </c>
      <c r="W123" s="2">
        <v>0.36</v>
      </c>
      <c r="X123" s="2">
        <v>160</v>
      </c>
      <c r="Y123" s="2">
        <v>1</v>
      </c>
      <c r="Z123" s="2">
        <v>1</v>
      </c>
      <c r="AA123" s="24">
        <f t="shared" si="34"/>
        <v>142.5</v>
      </c>
      <c r="AB123" s="2">
        <v>90</v>
      </c>
      <c r="AC123" s="18">
        <v>45</v>
      </c>
      <c r="AD123" s="2">
        <v>88</v>
      </c>
      <c r="AE123" s="2">
        <v>17.5</v>
      </c>
    </row>
    <row r="124" spans="1:31" x14ac:dyDescent="0.25">
      <c r="A124" s="2">
        <v>121</v>
      </c>
      <c r="C124" s="24" t="s">
        <v>404</v>
      </c>
      <c r="D124" s="24">
        <v>40.67</v>
      </c>
      <c r="E124" s="24">
        <v>100</v>
      </c>
      <c r="F124" s="24">
        <v>250</v>
      </c>
      <c r="G124" s="58">
        <v>225</v>
      </c>
      <c r="H124" s="24">
        <v>250</v>
      </c>
      <c r="I124" s="24">
        <v>60</v>
      </c>
      <c r="J124" s="24" t="s">
        <v>86</v>
      </c>
      <c r="K124" s="24">
        <v>733</v>
      </c>
      <c r="L124" s="62">
        <f t="shared" si="35"/>
        <v>3.2577777777777777</v>
      </c>
      <c r="M124" s="24" t="s">
        <v>52</v>
      </c>
      <c r="N124" s="24">
        <v>6</v>
      </c>
      <c r="O124">
        <v>300</v>
      </c>
      <c r="P124">
        <v>200000</v>
      </c>
      <c r="Q124">
        <v>252</v>
      </c>
      <c r="R124" s="18">
        <f t="shared" si="36"/>
        <v>0.188496</v>
      </c>
      <c r="S124" s="24" t="s">
        <v>106</v>
      </c>
      <c r="T124" s="24" t="s">
        <v>39</v>
      </c>
      <c r="U124" s="24" t="s">
        <v>40</v>
      </c>
      <c r="V124" s="67">
        <v>13180</v>
      </c>
      <c r="W124" s="2">
        <v>0.72</v>
      </c>
      <c r="X124" s="2">
        <v>160</v>
      </c>
      <c r="Y124" s="2">
        <v>1</v>
      </c>
      <c r="Z124" s="2">
        <v>1</v>
      </c>
      <c r="AA124" s="24">
        <f t="shared" ref="AA124:AA129" si="37">0.9*G124-I124</f>
        <v>142.5</v>
      </c>
      <c r="AB124" s="2">
        <v>90</v>
      </c>
      <c r="AC124" s="18">
        <v>45</v>
      </c>
      <c r="AD124" s="2">
        <v>90</v>
      </c>
      <c r="AE124" s="2">
        <v>19.5</v>
      </c>
    </row>
    <row r="125" spans="1:31" x14ac:dyDescent="0.25">
      <c r="A125" s="2">
        <v>122</v>
      </c>
      <c r="C125" s="24" t="s">
        <v>405</v>
      </c>
      <c r="D125" s="24">
        <v>40.67</v>
      </c>
      <c r="E125" s="24">
        <v>100</v>
      </c>
      <c r="F125" s="24">
        <v>250</v>
      </c>
      <c r="G125" s="58">
        <v>225</v>
      </c>
      <c r="H125" s="24">
        <v>250</v>
      </c>
      <c r="I125" s="24">
        <v>60</v>
      </c>
      <c r="J125" s="24" t="s">
        <v>86</v>
      </c>
      <c r="K125" s="24">
        <v>733</v>
      </c>
      <c r="L125" s="62">
        <f t="shared" si="35"/>
        <v>3.2577777777777777</v>
      </c>
      <c r="M125" s="24" t="s">
        <v>52</v>
      </c>
      <c r="N125" s="24">
        <v>6</v>
      </c>
      <c r="O125">
        <v>300</v>
      </c>
      <c r="P125">
        <v>200000</v>
      </c>
      <c r="Q125">
        <v>252</v>
      </c>
      <c r="R125" s="18">
        <f t="shared" si="36"/>
        <v>0.188496</v>
      </c>
      <c r="S125" s="24" t="s">
        <v>106</v>
      </c>
      <c r="T125" s="24" t="s">
        <v>39</v>
      </c>
      <c r="U125" s="24" t="s">
        <v>40</v>
      </c>
      <c r="V125" s="67">
        <v>13180</v>
      </c>
      <c r="W125" s="2">
        <v>1.08</v>
      </c>
      <c r="X125" s="2">
        <v>160</v>
      </c>
      <c r="Y125" s="2">
        <v>1</v>
      </c>
      <c r="Z125" s="2">
        <v>1</v>
      </c>
      <c r="AA125" s="24">
        <f t="shared" si="37"/>
        <v>142.5</v>
      </c>
      <c r="AB125" s="2">
        <v>90</v>
      </c>
      <c r="AC125" s="18">
        <v>45</v>
      </c>
      <c r="AD125" s="2">
        <v>91</v>
      </c>
      <c r="AE125" s="2">
        <v>20.5</v>
      </c>
    </row>
    <row r="126" spans="1:31" x14ac:dyDescent="0.25">
      <c r="A126" s="2">
        <v>123</v>
      </c>
      <c r="C126" s="24" t="s">
        <v>406</v>
      </c>
      <c r="D126" s="24">
        <v>40.659999999999997</v>
      </c>
      <c r="E126" s="24">
        <v>100</v>
      </c>
      <c r="F126" s="24">
        <v>250</v>
      </c>
      <c r="G126" s="58">
        <v>225</v>
      </c>
      <c r="H126" s="24">
        <v>250</v>
      </c>
      <c r="I126" s="24">
        <v>60</v>
      </c>
      <c r="J126" s="24" t="s">
        <v>86</v>
      </c>
      <c r="K126" s="24">
        <v>733</v>
      </c>
      <c r="L126" s="62">
        <f t="shared" si="35"/>
        <v>3.2577777777777777</v>
      </c>
      <c r="M126" s="24" t="s">
        <v>52</v>
      </c>
      <c r="N126" s="24">
        <v>6</v>
      </c>
      <c r="O126">
        <v>200</v>
      </c>
      <c r="P126">
        <v>200000</v>
      </c>
      <c r="Q126">
        <v>252</v>
      </c>
      <c r="R126" s="18">
        <f t="shared" si="36"/>
        <v>0.28274399999999994</v>
      </c>
      <c r="S126" s="24" t="s">
        <v>106</v>
      </c>
      <c r="T126" s="24" t="s">
        <v>39</v>
      </c>
      <c r="U126" s="24" t="s">
        <v>40</v>
      </c>
      <c r="V126" s="67">
        <v>13180</v>
      </c>
      <c r="W126" s="2">
        <v>0.36</v>
      </c>
      <c r="X126" s="2">
        <v>160</v>
      </c>
      <c r="Y126" s="2">
        <v>1</v>
      </c>
      <c r="Z126" s="2">
        <v>1</v>
      </c>
      <c r="AA126" s="24">
        <f t="shared" si="37"/>
        <v>142.5</v>
      </c>
      <c r="AB126" s="2">
        <v>90</v>
      </c>
      <c r="AC126" s="18">
        <v>45</v>
      </c>
      <c r="AD126" s="2">
        <v>90</v>
      </c>
      <c r="AE126" s="2">
        <v>10</v>
      </c>
    </row>
    <row r="127" spans="1:31" x14ac:dyDescent="0.25">
      <c r="A127" s="2">
        <v>124</v>
      </c>
      <c r="C127" s="24" t="s">
        <v>407</v>
      </c>
      <c r="D127" s="24">
        <v>40.659999999999997</v>
      </c>
      <c r="E127" s="24">
        <v>100</v>
      </c>
      <c r="F127" s="24">
        <v>250</v>
      </c>
      <c r="G127" s="58">
        <v>225</v>
      </c>
      <c r="H127" s="24">
        <v>250</v>
      </c>
      <c r="I127" s="24">
        <v>60</v>
      </c>
      <c r="J127" s="24" t="s">
        <v>86</v>
      </c>
      <c r="K127" s="24">
        <v>733</v>
      </c>
      <c r="L127" s="62">
        <f t="shared" si="35"/>
        <v>3.2577777777777777</v>
      </c>
      <c r="M127" s="24" t="s">
        <v>52</v>
      </c>
      <c r="N127" s="24">
        <v>6</v>
      </c>
      <c r="O127">
        <v>200</v>
      </c>
      <c r="P127">
        <v>200000</v>
      </c>
      <c r="Q127">
        <v>252</v>
      </c>
      <c r="R127" s="18">
        <f t="shared" si="36"/>
        <v>0.28274399999999994</v>
      </c>
      <c r="S127" s="24" t="s">
        <v>106</v>
      </c>
      <c r="T127" s="24" t="s">
        <v>39</v>
      </c>
      <c r="U127" s="24" t="s">
        <v>40</v>
      </c>
      <c r="V127" s="67">
        <v>13180</v>
      </c>
      <c r="W127" s="2">
        <v>0.72</v>
      </c>
      <c r="X127" s="2">
        <v>160</v>
      </c>
      <c r="Y127" s="2">
        <v>1</v>
      </c>
      <c r="Z127" s="2">
        <v>1</v>
      </c>
      <c r="AA127" s="24">
        <f t="shared" si="37"/>
        <v>142.5</v>
      </c>
      <c r="AB127" s="2">
        <v>90</v>
      </c>
      <c r="AC127" s="18">
        <v>45</v>
      </c>
      <c r="AD127" s="2">
        <v>93</v>
      </c>
      <c r="AE127" s="2">
        <v>13</v>
      </c>
    </row>
    <row r="128" spans="1:31" x14ac:dyDescent="0.25">
      <c r="A128" s="2">
        <v>125</v>
      </c>
      <c r="C128" s="24" t="s">
        <v>408</v>
      </c>
      <c r="D128" s="24">
        <v>40.659999999999997</v>
      </c>
      <c r="E128" s="24">
        <v>100</v>
      </c>
      <c r="F128" s="24">
        <v>250</v>
      </c>
      <c r="G128" s="58">
        <v>225</v>
      </c>
      <c r="H128" s="24">
        <v>250</v>
      </c>
      <c r="I128" s="24">
        <v>60</v>
      </c>
      <c r="J128" s="24" t="s">
        <v>86</v>
      </c>
      <c r="K128" s="24">
        <v>733</v>
      </c>
      <c r="L128" s="62">
        <f t="shared" si="35"/>
        <v>3.2577777777777777</v>
      </c>
      <c r="M128" s="24" t="s">
        <v>52</v>
      </c>
      <c r="N128" s="24">
        <v>6</v>
      </c>
      <c r="O128">
        <v>200</v>
      </c>
      <c r="P128">
        <v>200000</v>
      </c>
      <c r="Q128">
        <v>252</v>
      </c>
      <c r="R128" s="18">
        <f t="shared" si="36"/>
        <v>0.28274399999999994</v>
      </c>
      <c r="S128" s="24" t="s">
        <v>106</v>
      </c>
      <c r="T128" s="24" t="s">
        <v>39</v>
      </c>
      <c r="U128" s="24" t="s">
        <v>40</v>
      </c>
      <c r="V128" s="67">
        <v>13180</v>
      </c>
      <c r="W128" s="2">
        <v>1.08</v>
      </c>
      <c r="X128" s="2">
        <v>160</v>
      </c>
      <c r="Y128" s="2">
        <v>1</v>
      </c>
      <c r="Z128" s="2">
        <v>1</v>
      </c>
      <c r="AA128" s="24">
        <f t="shared" si="37"/>
        <v>142.5</v>
      </c>
      <c r="AB128" s="2">
        <v>90</v>
      </c>
      <c r="AC128" s="18">
        <v>45</v>
      </c>
      <c r="AD128" s="2">
        <v>98</v>
      </c>
      <c r="AE128" s="2">
        <v>18</v>
      </c>
    </row>
    <row r="129" spans="1:33" x14ac:dyDescent="0.25">
      <c r="A129" s="53">
        <v>126</v>
      </c>
      <c r="B129" s="54"/>
      <c r="C129" s="57" t="s">
        <v>437</v>
      </c>
      <c r="D129" s="57">
        <v>40</v>
      </c>
      <c r="E129" s="57">
        <v>200</v>
      </c>
      <c r="F129" s="57">
        <v>300</v>
      </c>
      <c r="G129" s="53">
        <f>F129-25-12.7-8</f>
        <v>254.3</v>
      </c>
      <c r="H129" s="57">
        <v>300</v>
      </c>
      <c r="I129" s="57">
        <v>0</v>
      </c>
      <c r="J129" s="57" t="s">
        <v>431</v>
      </c>
      <c r="K129" s="53">
        <f>(2500-830)/2</f>
        <v>835</v>
      </c>
      <c r="L129" s="64">
        <f t="shared" si="35"/>
        <v>3.2835233975619347</v>
      </c>
      <c r="M129" s="57" t="s">
        <v>423</v>
      </c>
      <c r="N129" s="57">
        <v>0</v>
      </c>
      <c r="O129" s="54"/>
      <c r="P129" s="54"/>
      <c r="Q129" s="54"/>
      <c r="R129" s="54"/>
      <c r="S129" s="57" t="s">
        <v>432</v>
      </c>
      <c r="T129" s="57" t="s">
        <v>421</v>
      </c>
      <c r="U129" s="57" t="s">
        <v>436</v>
      </c>
      <c r="V129" s="68">
        <v>165000</v>
      </c>
      <c r="W129" s="53">
        <v>1.2</v>
      </c>
      <c r="X129" s="53">
        <v>3100</v>
      </c>
      <c r="Y129" s="53">
        <v>50</v>
      </c>
      <c r="Z129" s="53">
        <v>125</v>
      </c>
      <c r="AA129" s="57">
        <f t="shared" si="37"/>
        <v>228.87</v>
      </c>
      <c r="AB129" s="53">
        <v>90</v>
      </c>
      <c r="AC129" s="57">
        <v>45</v>
      </c>
      <c r="AD129" s="53">
        <v>126.605</v>
      </c>
      <c r="AE129" s="54">
        <f>AD129-137.35/2</f>
        <v>57.930000000000007</v>
      </c>
      <c r="AG129" s="2"/>
    </row>
    <row r="130" spans="1:33" x14ac:dyDescent="0.25">
      <c r="A130" s="2">
        <v>127</v>
      </c>
      <c r="B130" t="s">
        <v>435</v>
      </c>
      <c r="C130" s="24" t="s">
        <v>438</v>
      </c>
      <c r="D130" s="24">
        <v>40</v>
      </c>
      <c r="E130" s="24">
        <v>200</v>
      </c>
      <c r="F130" s="24">
        <v>300</v>
      </c>
      <c r="G130" s="2">
        <f t="shared" ref="G130:G133" si="38">F130-25-12.7-8</f>
        <v>254.3</v>
      </c>
      <c r="H130" s="24">
        <v>300</v>
      </c>
      <c r="I130" s="24">
        <v>0</v>
      </c>
      <c r="J130" s="24" t="s">
        <v>431</v>
      </c>
      <c r="K130" s="2">
        <f t="shared" ref="K130:K133" si="39">(2500-830)/2</f>
        <v>835</v>
      </c>
      <c r="L130" s="62">
        <f t="shared" ref="L130:L134" si="40">K130/G130</f>
        <v>3.2835233975619347</v>
      </c>
      <c r="M130" s="24" t="s">
        <v>423</v>
      </c>
      <c r="N130" s="24">
        <v>0</v>
      </c>
      <c r="S130" s="24" t="s">
        <v>432</v>
      </c>
      <c r="T130" s="24" t="s">
        <v>421</v>
      </c>
      <c r="U130" s="24" t="s">
        <v>436</v>
      </c>
      <c r="V130" s="67">
        <v>165000</v>
      </c>
      <c r="W130" s="2">
        <v>1.2</v>
      </c>
      <c r="X130" s="2">
        <v>3100</v>
      </c>
      <c r="Y130" s="2">
        <v>50</v>
      </c>
      <c r="Z130" s="2">
        <v>150</v>
      </c>
      <c r="AA130" s="24">
        <f t="shared" ref="AA130:AA134" si="41">0.9*G130-I130</f>
        <v>228.87</v>
      </c>
      <c r="AB130" s="2">
        <v>90</v>
      </c>
      <c r="AC130" s="18">
        <v>45</v>
      </c>
      <c r="AD130" s="2">
        <v>124.255</v>
      </c>
      <c r="AE130">
        <f>AD130-137.35/2</f>
        <v>55.58</v>
      </c>
      <c r="AG130" s="2"/>
    </row>
    <row r="131" spans="1:33" x14ac:dyDescent="0.25">
      <c r="A131" s="2">
        <v>128</v>
      </c>
      <c r="C131" s="24" t="s">
        <v>439</v>
      </c>
      <c r="D131" s="24">
        <v>40</v>
      </c>
      <c r="E131" s="24">
        <v>200</v>
      </c>
      <c r="F131" s="24">
        <v>300</v>
      </c>
      <c r="G131" s="2">
        <f t="shared" si="38"/>
        <v>254.3</v>
      </c>
      <c r="H131" s="24">
        <v>300</v>
      </c>
      <c r="I131" s="24">
        <v>0</v>
      </c>
      <c r="J131" s="24" t="s">
        <v>431</v>
      </c>
      <c r="K131" s="2">
        <f t="shared" si="39"/>
        <v>835</v>
      </c>
      <c r="L131" s="62">
        <f t="shared" si="40"/>
        <v>3.2835233975619347</v>
      </c>
      <c r="M131" s="24" t="s">
        <v>423</v>
      </c>
      <c r="N131" s="24">
        <v>0</v>
      </c>
      <c r="S131" s="24" t="s">
        <v>432</v>
      </c>
      <c r="T131" s="24" t="s">
        <v>421</v>
      </c>
      <c r="U131" s="24" t="s">
        <v>436</v>
      </c>
      <c r="V131" s="67">
        <v>165000</v>
      </c>
      <c r="W131" s="2">
        <v>1.2</v>
      </c>
      <c r="X131" s="2">
        <v>3100</v>
      </c>
      <c r="Y131" s="2">
        <v>50</v>
      </c>
      <c r="Z131" s="2">
        <v>250</v>
      </c>
      <c r="AA131" s="24">
        <f t="shared" si="41"/>
        <v>228.87</v>
      </c>
      <c r="AB131" s="2">
        <v>90</v>
      </c>
      <c r="AC131" s="18">
        <v>45</v>
      </c>
      <c r="AD131" s="2">
        <v>111.81</v>
      </c>
      <c r="AE131">
        <f>AD131-137.35/2</f>
        <v>43.135000000000005</v>
      </c>
      <c r="AG131" s="2"/>
    </row>
    <row r="132" spans="1:33" x14ac:dyDescent="0.25">
      <c r="A132" s="2">
        <v>129</v>
      </c>
      <c r="C132" s="24" t="s">
        <v>440</v>
      </c>
      <c r="D132" s="24">
        <v>40</v>
      </c>
      <c r="E132" s="24">
        <v>200</v>
      </c>
      <c r="F132" s="24">
        <v>300</v>
      </c>
      <c r="G132" s="2">
        <f t="shared" si="38"/>
        <v>254.3</v>
      </c>
      <c r="H132" s="24">
        <v>300</v>
      </c>
      <c r="I132" s="24">
        <v>0</v>
      </c>
      <c r="J132" s="24" t="s">
        <v>431</v>
      </c>
      <c r="K132" s="2">
        <f t="shared" si="39"/>
        <v>835</v>
      </c>
      <c r="L132" s="62">
        <f t="shared" si="40"/>
        <v>3.2835233975619347</v>
      </c>
      <c r="M132" s="24" t="s">
        <v>426</v>
      </c>
      <c r="N132" s="24">
        <v>12.7</v>
      </c>
      <c r="O132">
        <v>150</v>
      </c>
      <c r="P132">
        <v>200000</v>
      </c>
      <c r="Q132">
        <v>400</v>
      </c>
      <c r="R132" s="18">
        <f>100*2*3.1416*N132^2/4/O132/E129</f>
        <v>0.84451443999999976</v>
      </c>
      <c r="S132" s="24" t="s">
        <v>432</v>
      </c>
      <c r="T132" s="24" t="s">
        <v>421</v>
      </c>
      <c r="U132" s="24" t="s">
        <v>436</v>
      </c>
      <c r="V132" s="67">
        <v>165000</v>
      </c>
      <c r="W132" s="2">
        <v>1.2</v>
      </c>
      <c r="X132" s="2">
        <v>3100</v>
      </c>
      <c r="Y132" s="2">
        <v>50</v>
      </c>
      <c r="Z132" s="2">
        <v>250</v>
      </c>
      <c r="AA132" s="24">
        <f t="shared" si="41"/>
        <v>228.87</v>
      </c>
      <c r="AB132" s="2">
        <v>90</v>
      </c>
      <c r="AC132" s="18">
        <v>45</v>
      </c>
      <c r="AD132" s="2">
        <v>183.39</v>
      </c>
      <c r="AE132" s="2" t="s">
        <v>423</v>
      </c>
      <c r="AG132" s="2"/>
    </row>
    <row r="133" spans="1:33" x14ac:dyDescent="0.25">
      <c r="A133" s="2">
        <v>130</v>
      </c>
      <c r="C133" s="24" t="s">
        <v>441</v>
      </c>
      <c r="D133" s="24">
        <v>40</v>
      </c>
      <c r="E133" s="24">
        <v>200</v>
      </c>
      <c r="F133" s="24">
        <v>300</v>
      </c>
      <c r="G133" s="2">
        <f t="shared" si="38"/>
        <v>254.3</v>
      </c>
      <c r="H133" s="24">
        <v>300</v>
      </c>
      <c r="I133" s="24">
        <v>0</v>
      </c>
      <c r="J133" s="24" t="s">
        <v>431</v>
      </c>
      <c r="K133" s="2">
        <f t="shared" si="39"/>
        <v>835</v>
      </c>
      <c r="L133" s="62">
        <f t="shared" si="40"/>
        <v>3.2835233975619347</v>
      </c>
      <c r="M133" s="24" t="s">
        <v>426</v>
      </c>
      <c r="N133" s="24">
        <v>12.7</v>
      </c>
      <c r="O133">
        <v>300</v>
      </c>
      <c r="P133">
        <v>200000</v>
      </c>
      <c r="Q133">
        <v>400</v>
      </c>
      <c r="R133" s="18">
        <f>100*2*3.1416*N133^2/4/O133/E130</f>
        <v>0.42225721999999988</v>
      </c>
      <c r="S133" s="24" t="s">
        <v>432</v>
      </c>
      <c r="T133" s="24" t="s">
        <v>421</v>
      </c>
      <c r="U133" s="24" t="s">
        <v>436</v>
      </c>
      <c r="V133" s="67">
        <v>165000</v>
      </c>
      <c r="W133" s="2">
        <v>1.2</v>
      </c>
      <c r="X133" s="2">
        <v>3100</v>
      </c>
      <c r="Y133" s="2">
        <v>50</v>
      </c>
      <c r="Z133" s="2">
        <v>250</v>
      </c>
      <c r="AA133" s="24">
        <f t="shared" si="41"/>
        <v>228.87</v>
      </c>
      <c r="AB133" s="2">
        <v>90</v>
      </c>
      <c r="AC133" s="18">
        <v>45</v>
      </c>
      <c r="AD133" s="2">
        <v>181.36500000000001</v>
      </c>
      <c r="AE133" s="2" t="s">
        <v>423</v>
      </c>
      <c r="AG133" s="2"/>
    </row>
    <row r="134" spans="1:33" x14ac:dyDescent="0.25">
      <c r="A134" s="53">
        <v>131</v>
      </c>
      <c r="B134" s="54"/>
      <c r="C134" s="57" t="s">
        <v>442</v>
      </c>
      <c r="D134" s="57">
        <v>60</v>
      </c>
      <c r="E134" s="57">
        <v>152</v>
      </c>
      <c r="F134" s="57">
        <v>305</v>
      </c>
      <c r="G134" s="53">
        <v>267</v>
      </c>
      <c r="H134" s="57">
        <v>300</v>
      </c>
      <c r="I134" s="57">
        <v>0</v>
      </c>
      <c r="J134" s="57" t="s">
        <v>446</v>
      </c>
      <c r="K134" s="57">
        <v>762</v>
      </c>
      <c r="L134" s="64">
        <f t="shared" si="40"/>
        <v>2.8539325842696628</v>
      </c>
      <c r="M134" s="57" t="s">
        <v>447</v>
      </c>
      <c r="N134" s="57">
        <v>0</v>
      </c>
      <c r="O134" s="54"/>
      <c r="P134" s="54"/>
      <c r="Q134" s="54"/>
      <c r="R134" s="54"/>
      <c r="S134" s="57" t="s">
        <v>448</v>
      </c>
      <c r="T134" s="57" t="s">
        <v>449</v>
      </c>
      <c r="U134" s="57" t="s">
        <v>450</v>
      </c>
      <c r="V134" s="68">
        <v>234500</v>
      </c>
      <c r="W134" s="53">
        <v>0.34</v>
      </c>
      <c r="X134" s="53">
        <v>3450</v>
      </c>
      <c r="Y134" s="53">
        <v>1</v>
      </c>
      <c r="Z134" s="53">
        <v>1</v>
      </c>
      <c r="AA134" s="57">
        <f t="shared" si="41"/>
        <v>240.3</v>
      </c>
      <c r="AB134" s="53">
        <v>90</v>
      </c>
      <c r="AC134" s="57">
        <v>45</v>
      </c>
      <c r="AD134" s="53">
        <v>127</v>
      </c>
      <c r="AE134" s="53">
        <v>52</v>
      </c>
    </row>
    <row r="135" spans="1:33" x14ac:dyDescent="0.25">
      <c r="A135" s="24">
        <v>132</v>
      </c>
      <c r="B135" t="s">
        <v>451</v>
      </c>
      <c r="C135" s="24" t="s">
        <v>443</v>
      </c>
      <c r="D135" s="24">
        <v>60</v>
      </c>
      <c r="E135" s="24">
        <v>152</v>
      </c>
      <c r="F135" s="24">
        <v>305</v>
      </c>
      <c r="G135" s="2">
        <v>267</v>
      </c>
      <c r="H135" s="24">
        <v>300</v>
      </c>
      <c r="I135" s="24">
        <v>150</v>
      </c>
      <c r="J135" s="24" t="s">
        <v>446</v>
      </c>
      <c r="K135" s="24">
        <v>763</v>
      </c>
      <c r="L135" s="62">
        <f t="shared" ref="L135:L137" si="42">K135/G135</f>
        <v>2.8576779026217229</v>
      </c>
      <c r="M135" s="24" t="s">
        <v>447</v>
      </c>
      <c r="N135" s="24">
        <v>0</v>
      </c>
      <c r="S135" s="24" t="s">
        <v>448</v>
      </c>
      <c r="T135" s="24" t="s">
        <v>449</v>
      </c>
      <c r="U135" s="24" t="s">
        <v>450</v>
      </c>
      <c r="V135" s="67">
        <v>234500</v>
      </c>
      <c r="W135" s="2">
        <v>0.34</v>
      </c>
      <c r="X135" s="2">
        <v>3450</v>
      </c>
      <c r="Y135" s="2">
        <v>1</v>
      </c>
      <c r="Z135" s="2">
        <v>1</v>
      </c>
      <c r="AA135" s="24">
        <f t="shared" ref="AA135:AA137" si="43">0.9*G135-I135</f>
        <v>90.300000000000011</v>
      </c>
      <c r="AB135" s="2">
        <v>90</v>
      </c>
      <c r="AC135" s="18">
        <v>45</v>
      </c>
      <c r="AD135" s="2">
        <v>115.4</v>
      </c>
      <c r="AE135" s="2">
        <v>40.4</v>
      </c>
    </row>
    <row r="136" spans="1:33" x14ac:dyDescent="0.25">
      <c r="A136" s="24">
        <v>133</v>
      </c>
      <c r="C136" s="24" t="s">
        <v>444</v>
      </c>
      <c r="D136" s="24">
        <v>60</v>
      </c>
      <c r="E136" s="24">
        <v>152</v>
      </c>
      <c r="F136" s="24">
        <v>305</v>
      </c>
      <c r="G136" s="2">
        <v>267</v>
      </c>
      <c r="H136" s="24">
        <v>300</v>
      </c>
      <c r="I136" s="24">
        <v>0</v>
      </c>
      <c r="J136" s="24" t="s">
        <v>446</v>
      </c>
      <c r="K136" s="24">
        <v>764</v>
      </c>
      <c r="L136" s="62">
        <f t="shared" si="42"/>
        <v>2.8614232209737827</v>
      </c>
      <c r="M136" s="24" t="s">
        <v>447</v>
      </c>
      <c r="N136" s="24">
        <v>0</v>
      </c>
      <c r="S136" s="24" t="s">
        <v>448</v>
      </c>
      <c r="T136" s="24" t="s">
        <v>449</v>
      </c>
      <c r="U136" s="24" t="s">
        <v>450</v>
      </c>
      <c r="V136" s="67">
        <v>234500</v>
      </c>
      <c r="W136" s="2">
        <v>0.34</v>
      </c>
      <c r="X136" s="2">
        <v>3450</v>
      </c>
      <c r="Y136" s="2">
        <v>1</v>
      </c>
      <c r="Z136" s="2">
        <v>1.4139999999999999</v>
      </c>
      <c r="AA136" s="24">
        <f t="shared" si="43"/>
        <v>240.3</v>
      </c>
      <c r="AB136" s="2">
        <v>45</v>
      </c>
      <c r="AC136" s="18">
        <v>45</v>
      </c>
      <c r="AD136" s="2">
        <v>144.30000000000001</v>
      </c>
      <c r="AE136" s="2">
        <v>69.3</v>
      </c>
    </row>
    <row r="137" spans="1:33" x14ac:dyDescent="0.25">
      <c r="A137" s="24">
        <v>134</v>
      </c>
      <c r="C137" s="24" t="s">
        <v>445</v>
      </c>
      <c r="D137" s="24">
        <v>40</v>
      </c>
      <c r="E137" s="24">
        <v>152</v>
      </c>
      <c r="F137" s="24">
        <v>305</v>
      </c>
      <c r="G137" s="2">
        <v>267</v>
      </c>
      <c r="H137" s="24">
        <v>300</v>
      </c>
      <c r="I137" s="24">
        <v>0</v>
      </c>
      <c r="J137" s="24" t="s">
        <v>446</v>
      </c>
      <c r="K137" s="24">
        <v>765</v>
      </c>
      <c r="L137" s="62">
        <f t="shared" si="42"/>
        <v>2.8651685393258428</v>
      </c>
      <c r="M137" s="24" t="s">
        <v>447</v>
      </c>
      <c r="N137" s="24">
        <v>0</v>
      </c>
      <c r="S137" s="24" t="s">
        <v>448</v>
      </c>
      <c r="T137" s="24" t="s">
        <v>449</v>
      </c>
      <c r="U137" s="24" t="s">
        <v>450</v>
      </c>
      <c r="V137" s="67">
        <v>234500</v>
      </c>
      <c r="W137" s="2">
        <v>0.34</v>
      </c>
      <c r="X137" s="2">
        <v>3450</v>
      </c>
      <c r="Y137" s="2">
        <v>1</v>
      </c>
      <c r="Z137" s="2">
        <v>1.4139999999999999</v>
      </c>
      <c r="AA137" s="24">
        <f t="shared" si="43"/>
        <v>240.3</v>
      </c>
      <c r="AB137" s="2">
        <v>45</v>
      </c>
      <c r="AC137" s="18">
        <v>45</v>
      </c>
      <c r="AD137" s="2">
        <v>138.5</v>
      </c>
      <c r="AE137" s="2">
        <v>70.900000000000006</v>
      </c>
    </row>
  </sheetData>
  <phoneticPr fontId="16" type="noConversion"/>
  <pageMargins left="0.7" right="0.7" top="0.75" bottom="0.75" header="0.3" footer="0.3"/>
  <pageSetup paperSize="9" orientation="portrait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19"/>
  <sheetViews>
    <sheetView topLeftCell="G1" workbookViewId="0">
      <pane ySplit="3" topLeftCell="A53" activePane="bottomLeft" state="frozen"/>
      <selection pane="bottomLeft" activeCell="AD65" sqref="AD65"/>
    </sheetView>
  </sheetViews>
  <sheetFormatPr defaultColWidth="8.85546875" defaultRowHeight="15" x14ac:dyDescent="0.25"/>
  <cols>
    <col min="2" max="2" width="27.140625" customWidth="1"/>
    <col min="3" max="3" width="23.140625" customWidth="1"/>
    <col min="22" max="22" width="9" bestFit="1" customWidth="1"/>
  </cols>
  <sheetData>
    <row r="1" spans="1:31" x14ac:dyDescent="0.25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>F1+1</f>
        <v>5</v>
      </c>
      <c r="H1" s="2"/>
      <c r="I1" s="2"/>
      <c r="J1" s="2"/>
      <c r="K1" s="2">
        <f>G1+1</f>
        <v>6</v>
      </c>
      <c r="L1" s="2">
        <f t="shared" ref="L1:T1" si="0">K1+1</f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 t="shared" si="0"/>
        <v>13</v>
      </c>
      <c r="S1" s="2">
        <f t="shared" si="0"/>
        <v>14</v>
      </c>
      <c r="T1" s="2">
        <f t="shared" si="0"/>
        <v>15</v>
      </c>
      <c r="U1" s="2"/>
      <c r="V1" s="2">
        <f>T1+1</f>
        <v>16</v>
      </c>
      <c r="W1" s="2">
        <f t="shared" ref="W1:AE1" si="1">V1+1</f>
        <v>17</v>
      </c>
      <c r="X1" s="2">
        <f t="shared" si="1"/>
        <v>18</v>
      </c>
      <c r="Y1" s="2">
        <f t="shared" si="1"/>
        <v>19</v>
      </c>
      <c r="Z1" s="2">
        <f t="shared" si="1"/>
        <v>20</v>
      </c>
      <c r="AA1" s="2">
        <f t="shared" si="1"/>
        <v>21</v>
      </c>
      <c r="AB1" s="2">
        <f t="shared" si="1"/>
        <v>22</v>
      </c>
      <c r="AC1" s="2">
        <f t="shared" si="1"/>
        <v>23</v>
      </c>
      <c r="AD1" s="2">
        <f t="shared" si="1"/>
        <v>24</v>
      </c>
      <c r="AE1" s="2">
        <f t="shared" si="1"/>
        <v>25</v>
      </c>
    </row>
    <row r="2" spans="1:31" ht="15.75" customHeight="1" x14ac:dyDescent="0.25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1" ht="20.25" x14ac:dyDescent="0.3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</row>
    <row r="4" spans="1:31" x14ac:dyDescent="0.25">
      <c r="A4" s="2">
        <v>1</v>
      </c>
      <c r="B4" s="17"/>
      <c r="C4" s="2" t="s">
        <v>143</v>
      </c>
      <c r="D4" s="18">
        <v>35</v>
      </c>
      <c r="E4" s="18">
        <v>150</v>
      </c>
      <c r="F4" s="18">
        <v>405</v>
      </c>
      <c r="G4" s="18">
        <v>360</v>
      </c>
      <c r="H4" s="18">
        <v>405</v>
      </c>
      <c r="I4" s="18">
        <v>100</v>
      </c>
      <c r="J4" s="18" t="s">
        <v>86</v>
      </c>
      <c r="K4" s="18">
        <v>1070</v>
      </c>
      <c r="L4" s="19">
        <f t="shared" ref="L4:L15" si="2">K4/G4</f>
        <v>2.9722222222222223</v>
      </c>
      <c r="M4" s="18" t="s">
        <v>37</v>
      </c>
      <c r="N4" s="18"/>
      <c r="O4" s="18"/>
      <c r="P4" s="18"/>
      <c r="Q4" s="18"/>
      <c r="R4" s="18"/>
      <c r="S4" s="18" t="s">
        <v>38</v>
      </c>
      <c r="T4" s="18" t="s">
        <v>39</v>
      </c>
      <c r="U4" s="18" t="s">
        <v>144</v>
      </c>
      <c r="V4" s="18">
        <v>228000</v>
      </c>
      <c r="W4" s="18">
        <v>0.16500000000000001</v>
      </c>
      <c r="X4" s="18">
        <v>3970</v>
      </c>
      <c r="Y4" s="18">
        <v>1</v>
      </c>
      <c r="Z4" s="18">
        <v>1</v>
      </c>
      <c r="AA4" s="20">
        <f t="shared" ref="AA4:AA30" si="3">0.9*G4-(F4-H4)-I4</f>
        <v>224</v>
      </c>
      <c r="AB4" s="18">
        <v>90</v>
      </c>
      <c r="AC4" s="21">
        <v>45</v>
      </c>
      <c r="AD4" s="22">
        <v>155</v>
      </c>
      <c r="AE4" s="22">
        <v>65</v>
      </c>
    </row>
    <row r="5" spans="1:31" x14ac:dyDescent="0.25">
      <c r="A5" s="2">
        <v>2</v>
      </c>
      <c r="B5" s="17" t="s">
        <v>145</v>
      </c>
      <c r="C5" s="18" t="s">
        <v>146</v>
      </c>
      <c r="D5" s="18">
        <v>35</v>
      </c>
      <c r="E5" s="18">
        <v>150</v>
      </c>
      <c r="F5" s="18">
        <v>405</v>
      </c>
      <c r="G5" s="18">
        <v>360</v>
      </c>
      <c r="H5" s="18">
        <v>405</v>
      </c>
      <c r="I5" s="18">
        <v>100</v>
      </c>
      <c r="J5" s="18" t="s">
        <v>86</v>
      </c>
      <c r="K5" s="18">
        <v>1071</v>
      </c>
      <c r="L5" s="19">
        <f t="shared" si="2"/>
        <v>2.9750000000000001</v>
      </c>
      <c r="M5" s="18" t="s">
        <v>37</v>
      </c>
      <c r="N5" s="18"/>
      <c r="O5" s="18"/>
      <c r="P5" s="18"/>
      <c r="Q5" s="18"/>
      <c r="R5" s="18"/>
      <c r="S5" s="18" t="s">
        <v>38</v>
      </c>
      <c r="T5" s="18" t="s">
        <v>39</v>
      </c>
      <c r="U5" s="18" t="s">
        <v>144</v>
      </c>
      <c r="V5" s="18">
        <v>228000</v>
      </c>
      <c r="W5" s="18">
        <v>0.16500000000000001</v>
      </c>
      <c r="X5" s="18">
        <v>3970</v>
      </c>
      <c r="Y5" s="18">
        <v>1</v>
      </c>
      <c r="Z5" s="18">
        <v>1</v>
      </c>
      <c r="AA5" s="20">
        <f t="shared" si="3"/>
        <v>224</v>
      </c>
      <c r="AB5" s="18">
        <v>90</v>
      </c>
      <c r="AC5" s="18">
        <v>45</v>
      </c>
      <c r="AD5" s="22">
        <v>157.5</v>
      </c>
      <c r="AE5" s="22">
        <v>67.5</v>
      </c>
    </row>
    <row r="6" spans="1:31" x14ac:dyDescent="0.25">
      <c r="A6" s="2">
        <v>3</v>
      </c>
      <c r="B6" s="44"/>
      <c r="C6" s="18" t="s">
        <v>147</v>
      </c>
      <c r="D6" s="18">
        <v>35</v>
      </c>
      <c r="E6" s="18">
        <v>150</v>
      </c>
      <c r="F6" s="18">
        <v>405</v>
      </c>
      <c r="G6" s="18">
        <v>360</v>
      </c>
      <c r="H6" s="18">
        <v>405</v>
      </c>
      <c r="I6" s="18">
        <v>100</v>
      </c>
      <c r="J6" s="18" t="s">
        <v>86</v>
      </c>
      <c r="K6" s="18">
        <v>1070</v>
      </c>
      <c r="L6" s="19">
        <f t="shared" si="2"/>
        <v>2.9722222222222223</v>
      </c>
      <c r="M6" s="18" t="s">
        <v>37</v>
      </c>
      <c r="N6" s="18"/>
      <c r="O6" s="18"/>
      <c r="P6" s="18"/>
      <c r="Q6" s="18"/>
      <c r="R6" s="18"/>
      <c r="S6" s="18" t="s">
        <v>38</v>
      </c>
      <c r="T6" s="18" t="s">
        <v>43</v>
      </c>
      <c r="U6" s="18" t="s">
        <v>144</v>
      </c>
      <c r="V6" s="18">
        <v>228000</v>
      </c>
      <c r="W6" s="18">
        <v>0.16500000000000001</v>
      </c>
      <c r="X6" s="18">
        <v>3970</v>
      </c>
      <c r="Y6" s="18">
        <v>50</v>
      </c>
      <c r="Z6" s="18">
        <v>125</v>
      </c>
      <c r="AA6" s="20">
        <f t="shared" si="3"/>
        <v>224</v>
      </c>
      <c r="AB6" s="18">
        <v>90</v>
      </c>
      <c r="AC6" s="18">
        <v>45</v>
      </c>
      <c r="AD6" s="22">
        <v>162</v>
      </c>
      <c r="AE6" s="22">
        <v>72</v>
      </c>
    </row>
    <row r="7" spans="1:31" x14ac:dyDescent="0.25">
      <c r="A7" s="2">
        <v>4</v>
      </c>
      <c r="B7" s="33"/>
      <c r="C7" s="18" t="s">
        <v>148</v>
      </c>
      <c r="D7" s="18">
        <v>27.5</v>
      </c>
      <c r="E7" s="18">
        <v>150</v>
      </c>
      <c r="F7" s="18">
        <v>305</v>
      </c>
      <c r="G7" s="18">
        <v>250</v>
      </c>
      <c r="H7" s="18">
        <v>305</v>
      </c>
      <c r="I7" s="18">
        <v>0</v>
      </c>
      <c r="J7" s="18" t="s">
        <v>36</v>
      </c>
      <c r="K7" s="18">
        <v>760</v>
      </c>
      <c r="L7" s="19">
        <f t="shared" si="2"/>
        <v>3.04</v>
      </c>
      <c r="M7" s="18" t="s">
        <v>37</v>
      </c>
      <c r="N7" s="18"/>
      <c r="O7" s="18"/>
      <c r="P7" s="18"/>
      <c r="Q7" s="18"/>
      <c r="R7" s="18"/>
      <c r="S7" s="18" t="s">
        <v>38</v>
      </c>
      <c r="T7" s="18" t="s">
        <v>43</v>
      </c>
      <c r="U7" s="18" t="s">
        <v>144</v>
      </c>
      <c r="V7" s="18">
        <v>228000</v>
      </c>
      <c r="W7" s="18">
        <v>0.16500000000000001</v>
      </c>
      <c r="X7" s="18">
        <v>3970</v>
      </c>
      <c r="Y7" s="18">
        <v>50</v>
      </c>
      <c r="Z7" s="18">
        <v>125</v>
      </c>
      <c r="AA7" s="20">
        <f t="shared" si="3"/>
        <v>225</v>
      </c>
      <c r="AB7" s="18">
        <v>90</v>
      </c>
      <c r="AC7" s="18">
        <v>45</v>
      </c>
      <c r="AD7" s="18">
        <v>131</v>
      </c>
      <c r="AE7" s="18">
        <v>54</v>
      </c>
    </row>
    <row r="8" spans="1:31" x14ac:dyDescent="0.25">
      <c r="A8" s="2">
        <v>5</v>
      </c>
      <c r="B8" s="33" t="s">
        <v>149</v>
      </c>
      <c r="C8" s="18" t="s">
        <v>150</v>
      </c>
      <c r="D8" s="18">
        <v>27.5</v>
      </c>
      <c r="E8" s="18">
        <v>150</v>
      </c>
      <c r="F8" s="18">
        <v>305</v>
      </c>
      <c r="G8" s="18">
        <v>250</v>
      </c>
      <c r="H8" s="18">
        <v>305</v>
      </c>
      <c r="I8" s="18">
        <v>0</v>
      </c>
      <c r="J8" s="18" t="s">
        <v>36</v>
      </c>
      <c r="K8" s="18">
        <v>760</v>
      </c>
      <c r="L8" s="19">
        <f t="shared" si="2"/>
        <v>3.04</v>
      </c>
      <c r="M8" s="18" t="s">
        <v>37</v>
      </c>
      <c r="N8" s="18"/>
      <c r="O8" s="18"/>
      <c r="P8" s="18"/>
      <c r="Q8" s="18"/>
      <c r="R8" s="18"/>
      <c r="S8" s="18" t="s">
        <v>38</v>
      </c>
      <c r="T8" s="18" t="s">
        <v>43</v>
      </c>
      <c r="U8" s="18" t="s">
        <v>144</v>
      </c>
      <c r="V8" s="18">
        <v>228000</v>
      </c>
      <c r="W8" s="18">
        <v>0.16500000000000001</v>
      </c>
      <c r="X8" s="18">
        <v>3970</v>
      </c>
      <c r="Y8" s="18">
        <v>50</v>
      </c>
      <c r="Z8" s="18">
        <v>125</v>
      </c>
      <c r="AA8" s="20">
        <f t="shared" si="3"/>
        <v>225</v>
      </c>
      <c r="AB8" s="18">
        <v>90</v>
      </c>
      <c r="AC8" s="18">
        <v>45</v>
      </c>
      <c r="AD8" s="18">
        <v>127.5</v>
      </c>
      <c r="AE8" s="18">
        <v>62.5</v>
      </c>
    </row>
    <row r="9" spans="1:31" x14ac:dyDescent="0.25">
      <c r="A9" s="2">
        <v>6</v>
      </c>
      <c r="B9" s="33"/>
      <c r="C9" s="18" t="s">
        <v>151</v>
      </c>
      <c r="D9" s="18">
        <v>27.5</v>
      </c>
      <c r="E9" s="18">
        <v>150</v>
      </c>
      <c r="F9" s="18">
        <v>305</v>
      </c>
      <c r="G9" s="18">
        <v>250</v>
      </c>
      <c r="H9" s="18">
        <v>305</v>
      </c>
      <c r="I9" s="18">
        <v>0</v>
      </c>
      <c r="J9" s="18" t="s">
        <v>36</v>
      </c>
      <c r="K9" s="18">
        <v>760</v>
      </c>
      <c r="L9" s="19">
        <f t="shared" si="2"/>
        <v>3.04</v>
      </c>
      <c r="M9" s="18" t="s">
        <v>37</v>
      </c>
      <c r="N9" s="18"/>
      <c r="O9" s="18"/>
      <c r="P9" s="18"/>
      <c r="Q9" s="18"/>
      <c r="R9" s="18"/>
      <c r="S9" s="18" t="s">
        <v>38</v>
      </c>
      <c r="T9" s="18" t="s">
        <v>43</v>
      </c>
      <c r="U9" s="18" t="s">
        <v>144</v>
      </c>
      <c r="V9" s="18">
        <v>228000</v>
      </c>
      <c r="W9" s="18">
        <v>0.16500000000000001</v>
      </c>
      <c r="X9" s="18">
        <v>3970</v>
      </c>
      <c r="Y9" s="18">
        <v>75</v>
      </c>
      <c r="Z9" s="18">
        <v>125</v>
      </c>
      <c r="AA9" s="20">
        <f t="shared" si="3"/>
        <v>225</v>
      </c>
      <c r="AB9" s="18">
        <v>90</v>
      </c>
      <c r="AC9" s="18">
        <v>45</v>
      </c>
      <c r="AD9" s="18">
        <v>133.5</v>
      </c>
      <c r="AE9" s="18">
        <v>56.5</v>
      </c>
    </row>
    <row r="10" spans="1:31" x14ac:dyDescent="0.25">
      <c r="A10" s="2">
        <v>7</v>
      </c>
      <c r="B10" s="33"/>
      <c r="C10" s="18" t="s">
        <v>152</v>
      </c>
      <c r="D10" s="18">
        <v>27.5</v>
      </c>
      <c r="E10" s="18">
        <v>150</v>
      </c>
      <c r="F10" s="18">
        <v>305</v>
      </c>
      <c r="G10" s="18">
        <v>250</v>
      </c>
      <c r="H10" s="18">
        <v>305</v>
      </c>
      <c r="I10" s="18">
        <v>0</v>
      </c>
      <c r="J10" s="18" t="s">
        <v>36</v>
      </c>
      <c r="K10" s="18">
        <v>1020</v>
      </c>
      <c r="L10" s="19">
        <f t="shared" si="2"/>
        <v>4.08</v>
      </c>
      <c r="M10" s="18" t="s">
        <v>37</v>
      </c>
      <c r="N10" s="18"/>
      <c r="O10" s="18"/>
      <c r="P10" s="18"/>
      <c r="Q10" s="18"/>
      <c r="R10" s="18"/>
      <c r="S10" s="18" t="s">
        <v>38</v>
      </c>
      <c r="T10" s="18" t="s">
        <v>39</v>
      </c>
      <c r="U10" s="18" t="s">
        <v>144</v>
      </c>
      <c r="V10" s="18">
        <v>228000</v>
      </c>
      <c r="W10" s="18">
        <v>0.16500000000000001</v>
      </c>
      <c r="X10" s="18">
        <v>3970</v>
      </c>
      <c r="Y10" s="18">
        <v>1</v>
      </c>
      <c r="Z10" s="18">
        <v>1</v>
      </c>
      <c r="AA10" s="20">
        <f t="shared" si="3"/>
        <v>225</v>
      </c>
      <c r="AB10" s="18">
        <v>90</v>
      </c>
      <c r="AC10" s="18">
        <v>45</v>
      </c>
      <c r="AD10" s="18">
        <v>144.5</v>
      </c>
      <c r="AE10" s="18">
        <v>67.5</v>
      </c>
    </row>
    <row r="11" spans="1:31" x14ac:dyDescent="0.25">
      <c r="A11" s="2">
        <v>8</v>
      </c>
      <c r="B11" s="33"/>
      <c r="C11" s="18" t="s">
        <v>153</v>
      </c>
      <c r="D11" s="18">
        <v>27.5</v>
      </c>
      <c r="E11" s="18">
        <v>150</v>
      </c>
      <c r="F11" s="18">
        <v>305</v>
      </c>
      <c r="G11" s="18">
        <v>250</v>
      </c>
      <c r="H11" s="18">
        <v>305</v>
      </c>
      <c r="I11" s="18">
        <v>0</v>
      </c>
      <c r="J11" s="18" t="s">
        <v>36</v>
      </c>
      <c r="K11" s="18">
        <v>1020</v>
      </c>
      <c r="L11" s="19">
        <f t="shared" si="2"/>
        <v>4.08</v>
      </c>
      <c r="M11" s="18" t="s">
        <v>37</v>
      </c>
      <c r="N11" s="18"/>
      <c r="O11" s="18"/>
      <c r="P11" s="18"/>
      <c r="Q11" s="18"/>
      <c r="R11" s="18"/>
      <c r="S11" s="18" t="s">
        <v>38</v>
      </c>
      <c r="T11" s="18" t="s">
        <v>39</v>
      </c>
      <c r="U11" s="18" t="s">
        <v>144</v>
      </c>
      <c r="V11" s="18">
        <v>228000</v>
      </c>
      <c r="W11" s="18">
        <v>0.16500000000000001</v>
      </c>
      <c r="X11" s="18">
        <v>3970</v>
      </c>
      <c r="Y11" s="18">
        <v>1</v>
      </c>
      <c r="Z11" s="18">
        <v>1</v>
      </c>
      <c r="AA11" s="20">
        <f t="shared" si="3"/>
        <v>225</v>
      </c>
      <c r="AB11" s="18">
        <v>90</v>
      </c>
      <c r="AC11" s="18">
        <v>45</v>
      </c>
      <c r="AD11" s="18">
        <v>155</v>
      </c>
      <c r="AE11" s="17">
        <v>90</v>
      </c>
    </row>
    <row r="12" spans="1:31" x14ac:dyDescent="0.25">
      <c r="A12" s="2">
        <v>9</v>
      </c>
      <c r="B12" s="32"/>
      <c r="C12" s="18" t="s">
        <v>154</v>
      </c>
      <c r="D12" s="18">
        <v>40</v>
      </c>
      <c r="E12" s="18">
        <v>130</v>
      </c>
      <c r="F12" s="18">
        <v>450</v>
      </c>
      <c r="G12" s="18">
        <v>425</v>
      </c>
      <c r="H12" s="18">
        <f>450</f>
        <v>450</v>
      </c>
      <c r="I12" s="18">
        <v>0</v>
      </c>
      <c r="J12" s="18" t="s">
        <v>36</v>
      </c>
      <c r="K12" s="18">
        <v>900</v>
      </c>
      <c r="L12" s="19">
        <f t="shared" si="2"/>
        <v>2.1176470588235294</v>
      </c>
      <c r="M12" s="18" t="s">
        <v>52</v>
      </c>
      <c r="N12" s="18">
        <v>6</v>
      </c>
      <c r="O12" s="18">
        <v>300</v>
      </c>
      <c r="P12" s="18">
        <v>210000</v>
      </c>
      <c r="Q12" s="18">
        <v>240</v>
      </c>
      <c r="R12" s="18" t="s">
        <v>155</v>
      </c>
      <c r="S12" s="18" t="s">
        <v>38</v>
      </c>
      <c r="T12" s="18" t="s">
        <v>43</v>
      </c>
      <c r="U12" s="18" t="s">
        <v>144</v>
      </c>
      <c r="V12" s="18">
        <v>105000</v>
      </c>
      <c r="W12" s="18">
        <v>0.43</v>
      </c>
      <c r="X12" s="18">
        <v>1400</v>
      </c>
      <c r="Y12" s="18">
        <v>40</v>
      </c>
      <c r="Z12" s="18">
        <v>200</v>
      </c>
      <c r="AA12" s="20">
        <f t="shared" si="3"/>
        <v>382.5</v>
      </c>
      <c r="AB12" s="18">
        <v>90</v>
      </c>
      <c r="AC12" s="18">
        <v>45</v>
      </c>
      <c r="AD12" s="18">
        <v>142.5</v>
      </c>
      <c r="AE12" s="18">
        <f>65/2</f>
        <v>32.5</v>
      </c>
    </row>
    <row r="13" spans="1:31" x14ac:dyDescent="0.25">
      <c r="A13" s="2">
        <v>10</v>
      </c>
      <c r="B13" s="32" t="s">
        <v>156</v>
      </c>
      <c r="C13" s="18" t="s">
        <v>157</v>
      </c>
      <c r="D13" s="18">
        <v>40</v>
      </c>
      <c r="E13" s="18">
        <v>130</v>
      </c>
      <c r="F13" s="18">
        <v>450</v>
      </c>
      <c r="G13" s="18">
        <v>425</v>
      </c>
      <c r="H13" s="18">
        <f>450</f>
        <v>450</v>
      </c>
      <c r="I13" s="18">
        <v>0</v>
      </c>
      <c r="J13" s="18" t="s">
        <v>36</v>
      </c>
      <c r="K13" s="18">
        <v>900</v>
      </c>
      <c r="L13" s="19">
        <f t="shared" si="2"/>
        <v>2.1176470588235294</v>
      </c>
      <c r="M13" s="18" t="s">
        <v>52</v>
      </c>
      <c r="N13" s="18">
        <v>6</v>
      </c>
      <c r="O13" s="18">
        <v>300</v>
      </c>
      <c r="P13" s="18">
        <v>210000</v>
      </c>
      <c r="Q13" s="18">
        <v>240</v>
      </c>
      <c r="R13" s="18">
        <f t="shared" ref="R13:R24" si="4">100*2*3.1416*N13^2/4/O13/E13</f>
        <v>0.14499692307692308</v>
      </c>
      <c r="S13" s="18" t="s">
        <v>38</v>
      </c>
      <c r="T13" s="18" t="s">
        <v>43</v>
      </c>
      <c r="U13" s="18" t="s">
        <v>144</v>
      </c>
      <c r="V13" s="18">
        <v>105000</v>
      </c>
      <c r="W13" s="18">
        <v>0.43</v>
      </c>
      <c r="X13" s="18">
        <v>1400</v>
      </c>
      <c r="Y13" s="18">
        <v>40</v>
      </c>
      <c r="Z13" s="18">
        <v>250</v>
      </c>
      <c r="AA13" s="20">
        <f t="shared" si="3"/>
        <v>382.5</v>
      </c>
      <c r="AB13" s="18">
        <v>90</v>
      </c>
      <c r="AC13" s="18">
        <v>45</v>
      </c>
      <c r="AD13" s="18">
        <v>130</v>
      </c>
      <c r="AE13" s="18">
        <f>40/2</f>
        <v>20</v>
      </c>
    </row>
    <row r="14" spans="1:31" x14ac:dyDescent="0.25">
      <c r="A14" s="2">
        <v>11</v>
      </c>
      <c r="B14" s="32"/>
      <c r="C14" s="18" t="s">
        <v>158</v>
      </c>
      <c r="D14" s="18">
        <v>40</v>
      </c>
      <c r="E14" s="18">
        <v>130</v>
      </c>
      <c r="F14" s="18">
        <v>450</v>
      </c>
      <c r="G14" s="18">
        <v>425</v>
      </c>
      <c r="H14" s="18">
        <f>450</f>
        <v>450</v>
      </c>
      <c r="I14" s="18">
        <v>0</v>
      </c>
      <c r="J14" s="18" t="s">
        <v>36</v>
      </c>
      <c r="K14" s="18">
        <v>900</v>
      </c>
      <c r="L14" s="19">
        <f t="shared" si="2"/>
        <v>2.1176470588235294</v>
      </c>
      <c r="M14" s="18" t="s">
        <v>52</v>
      </c>
      <c r="N14" s="18">
        <v>6</v>
      </c>
      <c r="O14" s="18">
        <v>300</v>
      </c>
      <c r="P14" s="18">
        <v>210000</v>
      </c>
      <c r="Q14" s="18">
        <v>240</v>
      </c>
      <c r="R14" s="18">
        <f t="shared" si="4"/>
        <v>0.14499692307692308</v>
      </c>
      <c r="S14" s="18" t="s">
        <v>38</v>
      </c>
      <c r="T14" s="18" t="s">
        <v>43</v>
      </c>
      <c r="U14" s="18" t="s">
        <v>144</v>
      </c>
      <c r="V14" s="18">
        <v>105000</v>
      </c>
      <c r="W14" s="18">
        <v>0.43</v>
      </c>
      <c r="X14" s="18">
        <v>1400</v>
      </c>
      <c r="Y14" s="18">
        <v>40</v>
      </c>
      <c r="Z14" s="18">
        <v>300</v>
      </c>
      <c r="AA14" s="20">
        <f t="shared" si="3"/>
        <v>382.5</v>
      </c>
      <c r="AB14" s="18">
        <v>45</v>
      </c>
      <c r="AC14" s="18">
        <v>45</v>
      </c>
      <c r="AD14" s="18">
        <v>154.5</v>
      </c>
      <c r="AE14" s="18">
        <f>89/2</f>
        <v>44.5</v>
      </c>
    </row>
    <row r="15" spans="1:31" x14ac:dyDescent="0.25">
      <c r="A15" s="2">
        <v>12</v>
      </c>
      <c r="B15" s="32"/>
      <c r="C15" s="18" t="s">
        <v>159</v>
      </c>
      <c r="D15" s="18">
        <v>40</v>
      </c>
      <c r="E15" s="18">
        <v>130</v>
      </c>
      <c r="F15" s="18">
        <v>450</v>
      </c>
      <c r="G15" s="18">
        <v>425</v>
      </c>
      <c r="H15" s="18">
        <f>450</f>
        <v>450</v>
      </c>
      <c r="I15" s="18">
        <v>0</v>
      </c>
      <c r="J15" s="18" t="s">
        <v>36</v>
      </c>
      <c r="K15" s="18">
        <v>900</v>
      </c>
      <c r="L15" s="19">
        <f t="shared" si="2"/>
        <v>2.1176470588235294</v>
      </c>
      <c r="M15" s="18" t="s">
        <v>52</v>
      </c>
      <c r="N15" s="18">
        <v>6</v>
      </c>
      <c r="O15" s="18">
        <v>300</v>
      </c>
      <c r="P15" s="18">
        <v>210000</v>
      </c>
      <c r="Q15" s="18">
        <v>240</v>
      </c>
      <c r="R15" s="18">
        <f t="shared" si="4"/>
        <v>0.14499692307692308</v>
      </c>
      <c r="S15" s="18" t="s">
        <v>38</v>
      </c>
      <c r="T15" s="18" t="s">
        <v>43</v>
      </c>
      <c r="U15" s="18" t="s">
        <v>144</v>
      </c>
      <c r="V15" s="18">
        <v>105000</v>
      </c>
      <c r="W15" s="18">
        <v>0.43</v>
      </c>
      <c r="X15" s="18">
        <v>1400</v>
      </c>
      <c r="Y15" s="18">
        <v>40</v>
      </c>
      <c r="Z15" s="18">
        <v>350</v>
      </c>
      <c r="AA15" s="20">
        <f t="shared" si="3"/>
        <v>382.5</v>
      </c>
      <c r="AB15" s="18">
        <v>45</v>
      </c>
      <c r="AC15" s="18">
        <v>45</v>
      </c>
      <c r="AD15" s="18">
        <v>150</v>
      </c>
      <c r="AE15" s="18">
        <f>80/2</f>
        <v>40</v>
      </c>
    </row>
    <row r="16" spans="1:31" x14ac:dyDescent="0.25">
      <c r="A16" s="2">
        <v>13</v>
      </c>
      <c r="B16" s="33"/>
      <c r="C16" s="17" t="s">
        <v>160</v>
      </c>
      <c r="D16" s="17">
        <v>13.3</v>
      </c>
      <c r="E16" s="17">
        <v>250</v>
      </c>
      <c r="F16" s="17">
        <v>450</v>
      </c>
      <c r="G16" s="17">
        <v>400</v>
      </c>
      <c r="H16" s="17">
        <v>450</v>
      </c>
      <c r="I16" s="17">
        <v>150</v>
      </c>
      <c r="J16" s="17" t="s">
        <v>36</v>
      </c>
      <c r="K16" s="17">
        <v>1400</v>
      </c>
      <c r="L16" s="17">
        <v>2.2000000000000002</v>
      </c>
      <c r="M16" s="17" t="s">
        <v>18</v>
      </c>
      <c r="N16" s="17">
        <v>8</v>
      </c>
      <c r="O16" s="17">
        <v>400</v>
      </c>
      <c r="P16" s="17">
        <v>200000</v>
      </c>
      <c r="Q16" s="17">
        <v>500</v>
      </c>
      <c r="R16" s="17">
        <f t="shared" si="4"/>
        <v>0.10053119999999999</v>
      </c>
      <c r="S16" s="17" t="s">
        <v>38</v>
      </c>
      <c r="T16" s="17" t="s">
        <v>43</v>
      </c>
      <c r="U16" s="18" t="s">
        <v>144</v>
      </c>
      <c r="V16" s="17">
        <v>390000</v>
      </c>
      <c r="W16" s="17">
        <v>0.22</v>
      </c>
      <c r="X16" s="17">
        <v>3000</v>
      </c>
      <c r="Y16" s="17">
        <v>150</v>
      </c>
      <c r="Z16" s="17">
        <v>300</v>
      </c>
      <c r="AA16" s="17">
        <f t="shared" si="3"/>
        <v>210</v>
      </c>
      <c r="AB16" s="17">
        <v>60</v>
      </c>
      <c r="AC16" s="18">
        <v>45</v>
      </c>
      <c r="AD16" s="17">
        <v>111</v>
      </c>
      <c r="AE16" s="17">
        <v>12</v>
      </c>
    </row>
    <row r="17" spans="1:31" x14ac:dyDescent="0.25">
      <c r="A17" s="2">
        <v>14</v>
      </c>
      <c r="B17" s="33" t="s">
        <v>161</v>
      </c>
      <c r="C17" s="17" t="s">
        <v>162</v>
      </c>
      <c r="D17" s="17">
        <v>13.3</v>
      </c>
      <c r="E17" s="17">
        <v>250</v>
      </c>
      <c r="F17" s="17">
        <v>450</v>
      </c>
      <c r="G17" s="17">
        <v>400</v>
      </c>
      <c r="H17" s="17">
        <v>450</v>
      </c>
      <c r="I17" s="17">
        <v>150</v>
      </c>
      <c r="J17" s="17" t="s">
        <v>36</v>
      </c>
      <c r="K17" s="17">
        <v>1400</v>
      </c>
      <c r="L17" s="17">
        <v>2.2000000000000002</v>
      </c>
      <c r="M17" s="17" t="s">
        <v>18</v>
      </c>
      <c r="N17" s="17">
        <v>8</v>
      </c>
      <c r="O17" s="17">
        <v>400</v>
      </c>
      <c r="P17" s="17">
        <v>200000</v>
      </c>
      <c r="Q17" s="17">
        <v>500</v>
      </c>
      <c r="R17" s="17">
        <f t="shared" si="4"/>
        <v>0.10053119999999999</v>
      </c>
      <c r="S17" s="17" t="s">
        <v>38</v>
      </c>
      <c r="T17" s="17" t="s">
        <v>39</v>
      </c>
      <c r="U17" s="18" t="s">
        <v>144</v>
      </c>
      <c r="V17" s="17">
        <v>390000</v>
      </c>
      <c r="W17" s="17">
        <v>0.22</v>
      </c>
      <c r="X17" s="17">
        <v>3000</v>
      </c>
      <c r="Y17" s="17">
        <v>1</v>
      </c>
      <c r="Z17" s="17">
        <v>1</v>
      </c>
      <c r="AA17" s="17">
        <f t="shared" si="3"/>
        <v>210</v>
      </c>
      <c r="AB17" s="17">
        <v>90</v>
      </c>
      <c r="AC17" s="18">
        <v>45</v>
      </c>
      <c r="AD17" s="17">
        <v>125</v>
      </c>
      <c r="AE17" s="17">
        <v>27</v>
      </c>
    </row>
    <row r="18" spans="1:31" x14ac:dyDescent="0.25">
      <c r="A18" s="2">
        <v>15</v>
      </c>
      <c r="B18" s="32" t="s">
        <v>163</v>
      </c>
      <c r="C18" s="18" t="s">
        <v>164</v>
      </c>
      <c r="D18" s="18">
        <v>36</v>
      </c>
      <c r="E18" s="18">
        <v>200</v>
      </c>
      <c r="F18" s="18">
        <v>450</v>
      </c>
      <c r="G18" s="18">
        <v>390</v>
      </c>
      <c r="H18" s="18">
        <v>450</v>
      </c>
      <c r="I18" s="18">
        <v>0</v>
      </c>
      <c r="J18" s="18" t="s">
        <v>36</v>
      </c>
      <c r="K18" s="18">
        <v>1250</v>
      </c>
      <c r="L18" s="18">
        <v>2.2000000000000002</v>
      </c>
      <c r="M18" s="18" t="s">
        <v>18</v>
      </c>
      <c r="N18" s="18">
        <v>6</v>
      </c>
      <c r="O18" s="18">
        <v>400</v>
      </c>
      <c r="P18" s="18">
        <v>200000</v>
      </c>
      <c r="Q18" s="18">
        <v>590</v>
      </c>
      <c r="R18" s="18">
        <f t="shared" si="4"/>
        <v>7.0685999999999985E-2</v>
      </c>
      <c r="S18" s="18" t="s">
        <v>38</v>
      </c>
      <c r="T18" s="18" t="s">
        <v>43</v>
      </c>
      <c r="U18" s="18" t="s">
        <v>144</v>
      </c>
      <c r="V18" s="18">
        <v>233000</v>
      </c>
      <c r="W18" s="18">
        <v>0.111</v>
      </c>
      <c r="X18" s="18">
        <v>3500</v>
      </c>
      <c r="Y18" s="18">
        <v>50</v>
      </c>
      <c r="Z18" s="18">
        <v>400</v>
      </c>
      <c r="AA18" s="20">
        <f t="shared" si="3"/>
        <v>351</v>
      </c>
      <c r="AB18" s="18">
        <v>90</v>
      </c>
      <c r="AC18" s="18">
        <v>45</v>
      </c>
      <c r="AD18" s="22">
        <v>170</v>
      </c>
      <c r="AE18" s="22">
        <v>33.4</v>
      </c>
    </row>
    <row r="19" spans="1:31" x14ac:dyDescent="0.25">
      <c r="A19" s="2">
        <v>16</v>
      </c>
      <c r="B19" s="6"/>
      <c r="C19" s="18" t="s">
        <v>165</v>
      </c>
      <c r="D19" s="18">
        <v>41.4</v>
      </c>
      <c r="E19" s="18">
        <v>150</v>
      </c>
      <c r="F19" s="18">
        <v>300</v>
      </c>
      <c r="G19" s="18">
        <v>250</v>
      </c>
      <c r="H19" s="18">
        <v>300</v>
      </c>
      <c r="I19" s="18">
        <v>0</v>
      </c>
      <c r="J19" s="18" t="s">
        <v>36</v>
      </c>
      <c r="K19" s="18">
        <v>750</v>
      </c>
      <c r="L19" s="18">
        <v>2.2000000000000002</v>
      </c>
      <c r="M19" s="18" t="s">
        <v>18</v>
      </c>
      <c r="N19" s="18">
        <v>8</v>
      </c>
      <c r="O19" s="18">
        <v>170</v>
      </c>
      <c r="P19" s="18">
        <v>200000</v>
      </c>
      <c r="Q19" s="18">
        <v>534</v>
      </c>
      <c r="R19" s="18">
        <f t="shared" si="4"/>
        <v>0.39423999999999998</v>
      </c>
      <c r="S19" s="18" t="s">
        <v>38</v>
      </c>
      <c r="T19" s="18" t="s">
        <v>39</v>
      </c>
      <c r="U19" s="18" t="s">
        <v>144</v>
      </c>
      <c r="V19" s="18">
        <v>230000</v>
      </c>
      <c r="W19" s="18">
        <v>0.16500000000000001</v>
      </c>
      <c r="X19" s="18">
        <v>3450</v>
      </c>
      <c r="Y19" s="18">
        <v>1</v>
      </c>
      <c r="Z19" s="18">
        <v>1</v>
      </c>
      <c r="AA19" s="20">
        <f t="shared" si="3"/>
        <v>225</v>
      </c>
      <c r="AB19" s="18">
        <v>90</v>
      </c>
      <c r="AC19" s="18">
        <v>45</v>
      </c>
      <c r="AD19" s="18">
        <v>238.1</v>
      </c>
      <c r="AE19" s="18">
        <v>52.9</v>
      </c>
    </row>
    <row r="20" spans="1:31" x14ac:dyDescent="0.25">
      <c r="A20" s="2">
        <v>17</v>
      </c>
      <c r="B20" s="33" t="s">
        <v>166</v>
      </c>
      <c r="C20" s="18" t="s">
        <v>167</v>
      </c>
      <c r="D20" s="18">
        <v>41.4</v>
      </c>
      <c r="E20" s="18">
        <v>150</v>
      </c>
      <c r="F20" s="18">
        <v>300</v>
      </c>
      <c r="G20" s="18">
        <v>250</v>
      </c>
      <c r="H20" s="18">
        <v>300</v>
      </c>
      <c r="I20" s="18">
        <v>0</v>
      </c>
      <c r="J20" s="18" t="s">
        <v>36</v>
      </c>
      <c r="K20" s="18">
        <v>750</v>
      </c>
      <c r="L20" s="18">
        <v>2.2000000000000002</v>
      </c>
      <c r="M20" s="18" t="s">
        <v>18</v>
      </c>
      <c r="N20" s="18">
        <v>8</v>
      </c>
      <c r="O20" s="18">
        <v>170</v>
      </c>
      <c r="P20" s="18">
        <v>200000</v>
      </c>
      <c r="Q20" s="18">
        <v>534</v>
      </c>
      <c r="R20" s="18">
        <f t="shared" si="4"/>
        <v>0.39423999999999998</v>
      </c>
      <c r="S20" s="18" t="s">
        <v>38</v>
      </c>
      <c r="T20" s="18" t="s">
        <v>39</v>
      </c>
      <c r="U20" s="18" t="s">
        <v>144</v>
      </c>
      <c r="V20" s="18">
        <v>230000</v>
      </c>
      <c r="W20" s="18">
        <v>0.33</v>
      </c>
      <c r="X20" s="18">
        <v>3450</v>
      </c>
      <c r="Y20" s="18">
        <v>1</v>
      </c>
      <c r="Z20" s="18">
        <v>1</v>
      </c>
      <c r="AA20" s="20">
        <f t="shared" si="3"/>
        <v>225</v>
      </c>
      <c r="AB20" s="18">
        <v>90</v>
      </c>
      <c r="AC20" s="18">
        <v>45</v>
      </c>
      <c r="AD20" s="18">
        <v>243</v>
      </c>
      <c r="AE20" s="18">
        <v>57.8</v>
      </c>
    </row>
    <row r="21" spans="1:31" x14ac:dyDescent="0.25">
      <c r="A21" s="2">
        <v>18</v>
      </c>
      <c r="B21" s="33"/>
      <c r="C21" s="18" t="s">
        <v>168</v>
      </c>
      <c r="D21" s="18">
        <v>41.4</v>
      </c>
      <c r="E21" s="18">
        <v>150</v>
      </c>
      <c r="F21" s="18">
        <v>300</v>
      </c>
      <c r="G21" s="18">
        <v>250</v>
      </c>
      <c r="H21" s="18">
        <v>300</v>
      </c>
      <c r="I21" s="18">
        <v>0</v>
      </c>
      <c r="J21" s="18" t="s">
        <v>36</v>
      </c>
      <c r="K21" s="18">
        <v>750</v>
      </c>
      <c r="L21" s="18">
        <v>2.2000000000000002</v>
      </c>
      <c r="M21" s="18" t="s">
        <v>18</v>
      </c>
      <c r="N21" s="18">
        <v>8</v>
      </c>
      <c r="O21" s="18">
        <v>200</v>
      </c>
      <c r="P21" s="18">
        <v>200000</v>
      </c>
      <c r="Q21" s="18">
        <v>534</v>
      </c>
      <c r="R21" s="18">
        <f t="shared" si="4"/>
        <v>0.33510399999999996</v>
      </c>
      <c r="S21" s="18" t="s">
        <v>38</v>
      </c>
      <c r="T21" s="18" t="s">
        <v>39</v>
      </c>
      <c r="U21" s="18" t="s">
        <v>144</v>
      </c>
      <c r="V21" s="18">
        <v>230000</v>
      </c>
      <c r="W21" s="18">
        <v>0.16500000000000001</v>
      </c>
      <c r="X21" s="18">
        <v>3450</v>
      </c>
      <c r="Y21" s="18">
        <v>1</v>
      </c>
      <c r="Z21" s="18">
        <v>1</v>
      </c>
      <c r="AA21" s="20">
        <f t="shared" si="3"/>
        <v>225</v>
      </c>
      <c r="AB21" s="18">
        <v>90</v>
      </c>
      <c r="AC21" s="18">
        <v>45</v>
      </c>
      <c r="AD21" s="18">
        <v>225</v>
      </c>
      <c r="AE21" s="18">
        <v>55.8</v>
      </c>
    </row>
    <row r="22" spans="1:31" x14ac:dyDescent="0.25">
      <c r="A22" s="2">
        <v>19</v>
      </c>
      <c r="B22" s="33"/>
      <c r="C22" s="18" t="s">
        <v>169</v>
      </c>
      <c r="D22" s="18">
        <v>41.4</v>
      </c>
      <c r="E22" s="18">
        <v>150</v>
      </c>
      <c r="F22" s="18">
        <v>300</v>
      </c>
      <c r="G22" s="18">
        <v>250</v>
      </c>
      <c r="H22" s="18">
        <v>300</v>
      </c>
      <c r="I22" s="18">
        <v>0</v>
      </c>
      <c r="J22" s="18" t="s">
        <v>36</v>
      </c>
      <c r="K22" s="18">
        <v>750</v>
      </c>
      <c r="L22" s="18">
        <v>2.2000000000000002</v>
      </c>
      <c r="M22" s="18" t="s">
        <v>18</v>
      </c>
      <c r="N22" s="18">
        <v>8</v>
      </c>
      <c r="O22" s="18">
        <v>200</v>
      </c>
      <c r="P22" s="18">
        <v>200000</v>
      </c>
      <c r="Q22" s="18">
        <v>534</v>
      </c>
      <c r="R22" s="18">
        <f t="shared" si="4"/>
        <v>0.33510399999999996</v>
      </c>
      <c r="S22" s="18" t="s">
        <v>38</v>
      </c>
      <c r="T22" s="18" t="s">
        <v>39</v>
      </c>
      <c r="U22" s="18" t="s">
        <v>144</v>
      </c>
      <c r="V22" s="18">
        <v>230000</v>
      </c>
      <c r="W22" s="18">
        <v>0.33</v>
      </c>
      <c r="X22" s="18">
        <v>3450</v>
      </c>
      <c r="Y22" s="18">
        <v>1</v>
      </c>
      <c r="Z22" s="18">
        <v>1</v>
      </c>
      <c r="AA22" s="20">
        <f t="shared" si="3"/>
        <v>225</v>
      </c>
      <c r="AB22" s="18">
        <v>90</v>
      </c>
      <c r="AC22" s="18">
        <v>45</v>
      </c>
      <c r="AD22" s="18">
        <v>229.7</v>
      </c>
      <c r="AE22" s="18">
        <v>60.5</v>
      </c>
    </row>
    <row r="23" spans="1:31" x14ac:dyDescent="0.25">
      <c r="A23" s="2">
        <v>20</v>
      </c>
      <c r="B23" s="33"/>
      <c r="C23" s="18" t="s">
        <v>170</v>
      </c>
      <c r="D23" s="18">
        <v>41.4</v>
      </c>
      <c r="E23" s="18">
        <v>150</v>
      </c>
      <c r="F23" s="18">
        <v>300</v>
      </c>
      <c r="G23" s="18">
        <v>250</v>
      </c>
      <c r="H23" s="18">
        <v>300</v>
      </c>
      <c r="I23" s="18">
        <v>0</v>
      </c>
      <c r="J23" s="18" t="s">
        <v>36</v>
      </c>
      <c r="K23" s="18">
        <v>750</v>
      </c>
      <c r="L23" s="18">
        <v>2.2000000000000002</v>
      </c>
      <c r="M23" s="18" t="s">
        <v>18</v>
      </c>
      <c r="N23" s="18">
        <v>8</v>
      </c>
      <c r="O23" s="18">
        <v>170</v>
      </c>
      <c r="P23" s="18">
        <v>200000</v>
      </c>
      <c r="Q23" s="18">
        <v>534</v>
      </c>
      <c r="R23" s="18">
        <f t="shared" si="4"/>
        <v>0.39423999999999998</v>
      </c>
      <c r="S23" s="18" t="s">
        <v>38</v>
      </c>
      <c r="T23" s="18" t="s">
        <v>39</v>
      </c>
      <c r="U23" s="18" t="s">
        <v>144</v>
      </c>
      <c r="V23" s="18">
        <v>230000</v>
      </c>
      <c r="W23" s="18">
        <v>0.16500000000000001</v>
      </c>
      <c r="X23" s="18">
        <v>3450</v>
      </c>
      <c r="Y23" s="18">
        <v>1</v>
      </c>
      <c r="Z23" s="18">
        <v>1</v>
      </c>
      <c r="AA23" s="20">
        <f t="shared" si="3"/>
        <v>225</v>
      </c>
      <c r="AB23" s="18">
        <v>90</v>
      </c>
      <c r="AC23" s="18">
        <v>45</v>
      </c>
      <c r="AD23" s="18">
        <v>247.3</v>
      </c>
      <c r="AE23" s="18">
        <v>49.1</v>
      </c>
    </row>
    <row r="24" spans="1:31" x14ac:dyDescent="0.25">
      <c r="A24" s="2">
        <v>21</v>
      </c>
      <c r="B24" s="33"/>
      <c r="C24" s="18" t="s">
        <v>171</v>
      </c>
      <c r="D24" s="18">
        <v>41.4</v>
      </c>
      <c r="E24" s="18">
        <v>150</v>
      </c>
      <c r="F24" s="18">
        <v>300</v>
      </c>
      <c r="G24" s="18">
        <v>250</v>
      </c>
      <c r="H24" s="18">
        <v>300</v>
      </c>
      <c r="I24" s="18">
        <v>0</v>
      </c>
      <c r="J24" s="18" t="s">
        <v>36</v>
      </c>
      <c r="K24" s="18">
        <v>750</v>
      </c>
      <c r="L24" s="18">
        <v>2.2000000000000002</v>
      </c>
      <c r="M24" s="18" t="s">
        <v>18</v>
      </c>
      <c r="N24" s="18">
        <v>8</v>
      </c>
      <c r="O24" s="18">
        <v>200</v>
      </c>
      <c r="P24" s="18">
        <v>200000</v>
      </c>
      <c r="Q24" s="18">
        <v>534</v>
      </c>
      <c r="R24" s="18">
        <f t="shared" si="4"/>
        <v>0.33510399999999996</v>
      </c>
      <c r="S24" s="18" t="s">
        <v>38</v>
      </c>
      <c r="T24" s="18" t="s">
        <v>39</v>
      </c>
      <c r="U24" s="18" t="s">
        <v>144</v>
      </c>
      <c r="V24" s="18">
        <v>230000</v>
      </c>
      <c r="W24" s="18">
        <v>0.16500000000000001</v>
      </c>
      <c r="X24" s="18">
        <v>3450</v>
      </c>
      <c r="Y24" s="18">
        <v>1</v>
      </c>
      <c r="Z24" s="18">
        <v>1</v>
      </c>
      <c r="AA24" s="20">
        <f t="shared" si="3"/>
        <v>225</v>
      </c>
      <c r="AB24" s="18">
        <v>90</v>
      </c>
      <c r="AC24" s="18">
        <v>45</v>
      </c>
      <c r="AD24" s="24">
        <v>235.1</v>
      </c>
      <c r="AE24" s="18">
        <v>31.7</v>
      </c>
    </row>
    <row r="25" spans="1:31" x14ac:dyDescent="0.25">
      <c r="A25" s="2">
        <v>22</v>
      </c>
      <c r="B25" s="17"/>
      <c r="C25" s="18" t="s">
        <v>142</v>
      </c>
      <c r="D25" s="18">
        <v>41.3</v>
      </c>
      <c r="E25" s="18">
        <v>200</v>
      </c>
      <c r="F25" s="18">
        <v>300</v>
      </c>
      <c r="G25" s="18">
        <v>260</v>
      </c>
      <c r="H25" s="18">
        <v>300</v>
      </c>
      <c r="I25" s="18">
        <v>0</v>
      </c>
      <c r="J25" s="18" t="s">
        <v>36</v>
      </c>
      <c r="K25" s="18">
        <v>700</v>
      </c>
      <c r="L25" s="18">
        <v>2.2000000000000002</v>
      </c>
      <c r="M25" s="17" t="s">
        <v>37</v>
      </c>
      <c r="N25" s="18"/>
      <c r="O25" s="18">
        <v>120</v>
      </c>
      <c r="P25" s="18">
        <v>197000</v>
      </c>
      <c r="Q25" s="18">
        <v>390</v>
      </c>
      <c r="R25" s="18"/>
      <c r="S25" s="18" t="s">
        <v>38</v>
      </c>
      <c r="T25" s="18" t="s">
        <v>43</v>
      </c>
      <c r="U25" s="18" t="s">
        <v>144</v>
      </c>
      <c r="V25" s="24">
        <v>230000</v>
      </c>
      <c r="W25" s="28">
        <v>0.11</v>
      </c>
      <c r="X25" s="24">
        <v>3480</v>
      </c>
      <c r="Y25" s="28">
        <v>30</v>
      </c>
      <c r="Z25" s="18">
        <v>60</v>
      </c>
      <c r="AA25" s="20">
        <f t="shared" si="3"/>
        <v>234</v>
      </c>
      <c r="AB25" s="18">
        <v>90</v>
      </c>
      <c r="AC25" s="18">
        <v>45</v>
      </c>
      <c r="AD25" s="24">
        <f>202.1/2</f>
        <v>101.05</v>
      </c>
      <c r="AE25" s="18">
        <f>110/2</f>
        <v>55</v>
      </c>
    </row>
    <row r="26" spans="1:31" x14ac:dyDescent="0.25">
      <c r="A26" s="2">
        <v>23</v>
      </c>
      <c r="B26" s="17" t="s">
        <v>172</v>
      </c>
      <c r="C26" s="18" t="s">
        <v>173</v>
      </c>
      <c r="D26" s="18">
        <v>39.700000000000003</v>
      </c>
      <c r="E26" s="18">
        <v>200</v>
      </c>
      <c r="F26" s="18">
        <v>300</v>
      </c>
      <c r="G26" s="18">
        <v>260</v>
      </c>
      <c r="H26" s="18">
        <v>300</v>
      </c>
      <c r="I26" s="18">
        <v>0</v>
      </c>
      <c r="J26" s="18" t="s">
        <v>36</v>
      </c>
      <c r="K26" s="18">
        <v>700</v>
      </c>
      <c r="L26" s="18">
        <v>2.2000000000000002</v>
      </c>
      <c r="M26" s="17" t="s">
        <v>37</v>
      </c>
      <c r="N26" s="18"/>
      <c r="O26" s="18">
        <v>120</v>
      </c>
      <c r="P26" s="18">
        <v>197000</v>
      </c>
      <c r="Q26" s="18">
        <v>390</v>
      </c>
      <c r="R26" s="18"/>
      <c r="S26" s="18" t="s">
        <v>38</v>
      </c>
      <c r="T26" s="18" t="s">
        <v>39</v>
      </c>
      <c r="U26" s="18" t="s">
        <v>144</v>
      </c>
      <c r="V26" s="24">
        <v>230000</v>
      </c>
      <c r="W26" s="28">
        <v>0.11</v>
      </c>
      <c r="X26" s="24">
        <v>3480</v>
      </c>
      <c r="Y26" s="28">
        <v>1</v>
      </c>
      <c r="Z26" s="18">
        <v>1</v>
      </c>
      <c r="AA26" s="20">
        <f t="shared" si="3"/>
        <v>234</v>
      </c>
      <c r="AB26" s="18">
        <v>90</v>
      </c>
      <c r="AC26" s="18">
        <v>45</v>
      </c>
      <c r="AD26" s="24">
        <f>198.2/2</f>
        <v>99.1</v>
      </c>
      <c r="AE26" s="18">
        <f>106.1/2</f>
        <v>53.05</v>
      </c>
    </row>
    <row r="27" spans="1:31" x14ac:dyDescent="0.25">
      <c r="A27" s="2">
        <v>24</v>
      </c>
      <c r="B27" s="23" t="s">
        <v>174</v>
      </c>
      <c r="C27" s="18" t="s">
        <v>175</v>
      </c>
      <c r="D27" s="18">
        <v>35.700000000000003</v>
      </c>
      <c r="E27" s="18">
        <v>150</v>
      </c>
      <c r="F27" s="18">
        <v>300</v>
      </c>
      <c r="G27" s="18">
        <v>232</v>
      </c>
      <c r="H27" s="18">
        <v>300</v>
      </c>
      <c r="I27" s="18">
        <v>100</v>
      </c>
      <c r="J27" s="18" t="s">
        <v>86</v>
      </c>
      <c r="K27" s="18">
        <v>600</v>
      </c>
      <c r="L27" s="18">
        <v>2.2000000000000002</v>
      </c>
      <c r="M27" s="17" t="s">
        <v>52</v>
      </c>
      <c r="N27" s="45">
        <v>6</v>
      </c>
      <c r="O27" s="18">
        <v>100</v>
      </c>
      <c r="P27" s="18">
        <v>183000</v>
      </c>
      <c r="Q27" s="18">
        <v>387</v>
      </c>
      <c r="R27" s="18">
        <f>100*2*3.1416*N27^2/4/O27/E27</f>
        <v>0.37699199999999994</v>
      </c>
      <c r="S27" s="18" t="s">
        <v>38</v>
      </c>
      <c r="T27" s="18" t="s">
        <v>39</v>
      </c>
      <c r="U27" s="18" t="s">
        <v>144</v>
      </c>
      <c r="V27" s="24">
        <v>230000</v>
      </c>
      <c r="W27" s="28">
        <v>0.111</v>
      </c>
      <c r="X27" s="24">
        <v>3480</v>
      </c>
      <c r="Y27" s="28">
        <v>1</v>
      </c>
      <c r="Z27" s="18">
        <v>1</v>
      </c>
      <c r="AA27" s="20">
        <f t="shared" si="3"/>
        <v>108.80000000000001</v>
      </c>
      <c r="AB27" s="18">
        <v>90</v>
      </c>
      <c r="AC27" s="18">
        <v>45</v>
      </c>
      <c r="AD27" s="24">
        <v>223</v>
      </c>
      <c r="AE27" s="18">
        <v>24</v>
      </c>
    </row>
    <row r="28" spans="1:31" x14ac:dyDescent="0.25">
      <c r="A28" s="2">
        <v>25</v>
      </c>
      <c r="B28" s="44" t="s">
        <v>176</v>
      </c>
      <c r="C28" s="18" t="s">
        <v>177</v>
      </c>
      <c r="D28" s="18">
        <v>36.5</v>
      </c>
      <c r="E28" s="18">
        <v>127</v>
      </c>
      <c r="F28" s="18">
        <v>203</v>
      </c>
      <c r="G28" s="18">
        <v>165</v>
      </c>
      <c r="H28" s="18">
        <v>203</v>
      </c>
      <c r="I28" s="18">
        <v>0</v>
      </c>
      <c r="J28" s="18" t="s">
        <v>36</v>
      </c>
      <c r="K28" s="18">
        <f>1070/3</f>
        <v>356.66666666666669</v>
      </c>
      <c r="L28" s="18">
        <v>2.2000000000000002</v>
      </c>
      <c r="M28" s="17" t="s">
        <v>52</v>
      </c>
      <c r="N28" s="18">
        <v>6</v>
      </c>
      <c r="O28" s="18">
        <v>205.6</v>
      </c>
      <c r="P28" s="18">
        <v>200000</v>
      </c>
      <c r="Q28" s="18">
        <v>420</v>
      </c>
      <c r="R28" s="18">
        <f>100*2*3.1416*N28^2/4/O28/E28</f>
        <v>0.21656913508379544</v>
      </c>
      <c r="S28" s="18" t="s">
        <v>38</v>
      </c>
      <c r="T28" s="18" t="s">
        <v>39</v>
      </c>
      <c r="U28" s="18" t="s">
        <v>144</v>
      </c>
      <c r="V28" s="24">
        <v>200000</v>
      </c>
      <c r="W28" s="28">
        <v>1.68</v>
      </c>
      <c r="X28" s="24">
        <v>105</v>
      </c>
      <c r="Y28" s="28">
        <v>1</v>
      </c>
      <c r="Z28" s="18">
        <f>SQRT(2)</f>
        <v>1.4142135623730951</v>
      </c>
      <c r="AA28" s="20">
        <f t="shared" si="3"/>
        <v>148.5</v>
      </c>
      <c r="AB28" s="18">
        <v>45</v>
      </c>
      <c r="AC28" s="18">
        <v>45</v>
      </c>
      <c r="AD28" s="18">
        <v>100.8</v>
      </c>
      <c r="AE28" s="18">
        <v>49.3</v>
      </c>
    </row>
    <row r="29" spans="1:31" x14ac:dyDescent="0.25">
      <c r="A29" s="2">
        <v>26</v>
      </c>
      <c r="B29" s="23"/>
      <c r="C29" s="18" t="s">
        <v>178</v>
      </c>
      <c r="D29" s="18">
        <v>20.5</v>
      </c>
      <c r="E29" s="18">
        <v>150</v>
      </c>
      <c r="F29" s="18">
        <v>305</v>
      </c>
      <c r="G29" s="18">
        <v>264</v>
      </c>
      <c r="H29" s="18">
        <v>305</v>
      </c>
      <c r="I29" s="18">
        <v>0</v>
      </c>
      <c r="J29" s="18" t="s">
        <v>36</v>
      </c>
      <c r="K29" s="18">
        <v>541</v>
      </c>
      <c r="L29" s="18">
        <v>2.2000000000000002</v>
      </c>
      <c r="M29" s="17" t="s">
        <v>37</v>
      </c>
      <c r="N29" s="18"/>
      <c r="O29" s="18">
        <v>125</v>
      </c>
      <c r="P29" s="18">
        <v>200000</v>
      </c>
      <c r="Q29" s="18">
        <v>350</v>
      </c>
      <c r="R29" s="18"/>
      <c r="S29" s="18" t="s">
        <v>38</v>
      </c>
      <c r="T29" s="18" t="s">
        <v>43</v>
      </c>
      <c r="U29" s="18" t="s">
        <v>144</v>
      </c>
      <c r="V29" s="24">
        <v>228000</v>
      </c>
      <c r="W29" s="28">
        <v>0.16500000000000001</v>
      </c>
      <c r="X29" s="24">
        <v>3500</v>
      </c>
      <c r="Y29" s="28">
        <v>50</v>
      </c>
      <c r="Z29" s="18">
        <v>125</v>
      </c>
      <c r="AA29" s="20">
        <f t="shared" si="3"/>
        <v>237.6</v>
      </c>
      <c r="AB29" s="18">
        <v>90</v>
      </c>
      <c r="AC29" s="18">
        <v>45</v>
      </c>
      <c r="AD29" s="18">
        <v>88</v>
      </c>
      <c r="AE29" s="18">
        <v>40</v>
      </c>
    </row>
    <row r="30" spans="1:31" x14ac:dyDescent="0.25">
      <c r="A30" s="2">
        <v>27</v>
      </c>
      <c r="B30" s="23" t="s">
        <v>179</v>
      </c>
      <c r="C30" s="18" t="s">
        <v>180</v>
      </c>
      <c r="D30" s="18">
        <v>20.5</v>
      </c>
      <c r="E30" s="18">
        <v>150</v>
      </c>
      <c r="F30" s="18">
        <v>305</v>
      </c>
      <c r="G30" s="18">
        <v>264</v>
      </c>
      <c r="H30" s="18">
        <v>305</v>
      </c>
      <c r="I30" s="18">
        <v>0</v>
      </c>
      <c r="J30" s="18" t="s">
        <v>36</v>
      </c>
      <c r="K30" s="18">
        <v>541</v>
      </c>
      <c r="L30" s="18">
        <v>2.2000000000000002</v>
      </c>
      <c r="M30" s="17" t="s">
        <v>37</v>
      </c>
      <c r="N30" s="18"/>
      <c r="O30" s="18">
        <v>125</v>
      </c>
      <c r="P30" s="18">
        <v>200000</v>
      </c>
      <c r="Q30" s="18">
        <v>350</v>
      </c>
      <c r="R30" s="18"/>
      <c r="S30" s="18" t="s">
        <v>38</v>
      </c>
      <c r="T30" s="18" t="s">
        <v>39</v>
      </c>
      <c r="U30" s="18" t="s">
        <v>144</v>
      </c>
      <c r="V30" s="24">
        <v>228000</v>
      </c>
      <c r="W30" s="28">
        <v>0.16500000000000001</v>
      </c>
      <c r="X30" s="24">
        <v>3500</v>
      </c>
      <c r="Y30" s="28">
        <v>50</v>
      </c>
      <c r="Z30" s="18">
        <v>50</v>
      </c>
      <c r="AA30" s="20">
        <f t="shared" si="3"/>
        <v>237.6</v>
      </c>
      <c r="AB30" s="18">
        <v>90</v>
      </c>
      <c r="AC30" s="18">
        <v>45</v>
      </c>
      <c r="AD30" s="18">
        <v>113</v>
      </c>
      <c r="AE30" s="18">
        <v>65</v>
      </c>
    </row>
    <row r="31" spans="1:31" x14ac:dyDescent="0.25">
      <c r="A31" s="2">
        <v>28</v>
      </c>
      <c r="B31" s="17" t="s">
        <v>181</v>
      </c>
      <c r="C31" s="18" t="s">
        <v>182</v>
      </c>
      <c r="D31" s="18">
        <v>59</v>
      </c>
      <c r="E31" s="18">
        <v>70</v>
      </c>
      <c r="F31" s="18">
        <v>475</v>
      </c>
      <c r="G31" s="18">
        <v>410</v>
      </c>
      <c r="H31" s="18">
        <v>345</v>
      </c>
      <c r="I31" s="18">
        <v>105</v>
      </c>
      <c r="J31" s="18" t="s">
        <v>183</v>
      </c>
      <c r="K31" s="18">
        <v>1940</v>
      </c>
      <c r="L31" s="18">
        <v>2.2000000000000002</v>
      </c>
      <c r="M31" s="18" t="s">
        <v>18</v>
      </c>
      <c r="N31" s="18">
        <v>5.5</v>
      </c>
      <c r="O31" s="18">
        <v>300</v>
      </c>
      <c r="P31" s="18">
        <v>200000</v>
      </c>
      <c r="Q31" s="18">
        <v>640</v>
      </c>
      <c r="R31" s="18">
        <f>100*2*3.1416*N31^2/4/O31/E31</f>
        <v>0.22626999999999997</v>
      </c>
      <c r="S31" s="18" t="s">
        <v>38</v>
      </c>
      <c r="T31" s="18" t="s">
        <v>43</v>
      </c>
      <c r="U31" s="18" t="s">
        <v>144</v>
      </c>
      <c r="V31" s="18">
        <v>230000</v>
      </c>
      <c r="W31" s="18">
        <v>0.11</v>
      </c>
      <c r="X31" s="18">
        <v>3400</v>
      </c>
      <c r="Y31" s="18">
        <v>50</v>
      </c>
      <c r="Z31" s="18">
        <v>150</v>
      </c>
      <c r="AA31" s="17">
        <v>199</v>
      </c>
      <c r="AB31" s="18">
        <v>45</v>
      </c>
      <c r="AC31" s="18">
        <v>45</v>
      </c>
      <c r="AD31" s="18">
        <v>272</v>
      </c>
      <c r="AE31" s="18">
        <v>62.5</v>
      </c>
    </row>
    <row r="32" spans="1:31" x14ac:dyDescent="0.25">
      <c r="A32" s="2">
        <v>29</v>
      </c>
      <c r="B32" s="20" t="s">
        <v>184</v>
      </c>
      <c r="C32" s="20" t="s">
        <v>185</v>
      </c>
      <c r="D32" s="20">
        <v>29.3</v>
      </c>
      <c r="E32" s="20">
        <v>200</v>
      </c>
      <c r="F32" s="20">
        <v>210</v>
      </c>
      <c r="G32" s="20">
        <v>173</v>
      </c>
      <c r="H32" s="20">
        <v>210</v>
      </c>
      <c r="I32" s="20">
        <v>0</v>
      </c>
      <c r="J32" s="20" t="s">
        <v>36</v>
      </c>
      <c r="K32" s="46">
        <v>519</v>
      </c>
      <c r="L32" s="34">
        <f t="shared" ref="L32:L63" si="5">K32/G32</f>
        <v>3</v>
      </c>
      <c r="M32" s="20" t="s">
        <v>18</v>
      </c>
      <c r="N32" s="20">
        <v>6</v>
      </c>
      <c r="O32" s="20">
        <v>160</v>
      </c>
      <c r="P32" s="20">
        <v>251500</v>
      </c>
      <c r="Q32" s="20">
        <v>665.3</v>
      </c>
      <c r="R32" s="20">
        <f>100*2*3.1416*N32^2/4/O32/E32</f>
        <v>0.17671499999999998</v>
      </c>
      <c r="S32" s="20" t="s">
        <v>38</v>
      </c>
      <c r="T32" s="20" t="s">
        <v>39</v>
      </c>
      <c r="U32" s="18" t="s">
        <v>144</v>
      </c>
      <c r="V32" s="20">
        <v>230000</v>
      </c>
      <c r="W32" s="20">
        <v>0.16500000000000001</v>
      </c>
      <c r="X32" s="20">
        <v>3430</v>
      </c>
      <c r="Y32" s="20">
        <v>1</v>
      </c>
      <c r="Z32" s="20">
        <v>1</v>
      </c>
      <c r="AA32" s="20">
        <f t="shared" ref="AA32:AA60" si="6">0.9*G32-(F32-H32)-I32</f>
        <v>155.70000000000002</v>
      </c>
      <c r="AB32" s="20">
        <v>90</v>
      </c>
      <c r="AC32" s="18">
        <v>45</v>
      </c>
      <c r="AD32" s="20">
        <v>141.5</v>
      </c>
      <c r="AE32" s="20">
        <v>19.3</v>
      </c>
    </row>
    <row r="33" spans="1:31" x14ac:dyDescent="0.25">
      <c r="A33" s="2">
        <v>30</v>
      </c>
      <c r="B33" s="40"/>
      <c r="C33" s="17" t="s">
        <v>186</v>
      </c>
      <c r="D33" s="17">
        <v>40.200000000000003</v>
      </c>
      <c r="E33" s="17">
        <v>150</v>
      </c>
      <c r="F33" s="17">
        <v>300</v>
      </c>
      <c r="G33" s="17">
        <v>280</v>
      </c>
      <c r="H33" s="17">
        <v>300</v>
      </c>
      <c r="I33" s="17">
        <v>0</v>
      </c>
      <c r="J33" s="17" t="s">
        <v>36</v>
      </c>
      <c r="K33" s="47">
        <v>600</v>
      </c>
      <c r="L33" s="25">
        <f t="shared" si="5"/>
        <v>2.1428571428571428</v>
      </c>
      <c r="M33" s="17" t="s">
        <v>37</v>
      </c>
      <c r="N33" s="44"/>
      <c r="O33" s="17"/>
      <c r="P33" s="44"/>
      <c r="Q33" s="44"/>
      <c r="R33" s="17"/>
      <c r="S33" s="17" t="s">
        <v>38</v>
      </c>
      <c r="T33" s="17" t="s">
        <v>43</v>
      </c>
      <c r="U33" s="18" t="s">
        <v>144</v>
      </c>
      <c r="V33" s="17">
        <v>390000</v>
      </c>
      <c r="W33" s="17">
        <v>0.33400000000000002</v>
      </c>
      <c r="X33" s="17">
        <v>3000</v>
      </c>
      <c r="Y33" s="17">
        <v>25</v>
      </c>
      <c r="Z33" s="17">
        <v>190</v>
      </c>
      <c r="AA33" s="17">
        <f t="shared" si="6"/>
        <v>252</v>
      </c>
      <c r="AB33" s="17">
        <v>90</v>
      </c>
      <c r="AC33" s="18">
        <v>45</v>
      </c>
      <c r="AD33" s="17">
        <v>61</v>
      </c>
      <c r="AE33" s="17">
        <v>10.8</v>
      </c>
    </row>
    <row r="34" spans="1:31" x14ac:dyDescent="0.25">
      <c r="A34" s="2">
        <v>31</v>
      </c>
      <c r="B34" s="32" t="s">
        <v>187</v>
      </c>
      <c r="C34" s="18" t="s">
        <v>188</v>
      </c>
      <c r="D34" s="18">
        <v>40.200000000000003</v>
      </c>
      <c r="E34" s="18">
        <v>150</v>
      </c>
      <c r="F34" s="18">
        <v>300</v>
      </c>
      <c r="G34" s="18">
        <v>280</v>
      </c>
      <c r="H34" s="18">
        <v>300</v>
      </c>
      <c r="I34" s="18">
        <v>0</v>
      </c>
      <c r="J34" s="18" t="s">
        <v>36</v>
      </c>
      <c r="K34" s="48">
        <v>600</v>
      </c>
      <c r="L34" s="19">
        <f t="shared" si="5"/>
        <v>2.1428571428571428</v>
      </c>
      <c r="M34" s="18" t="s">
        <v>37</v>
      </c>
      <c r="N34" s="31"/>
      <c r="O34" s="18"/>
      <c r="P34" s="31"/>
      <c r="Q34" s="31"/>
      <c r="R34" s="18"/>
      <c r="S34" s="18" t="s">
        <v>38</v>
      </c>
      <c r="T34" s="18" t="s">
        <v>43</v>
      </c>
      <c r="U34" s="18" t="s">
        <v>144</v>
      </c>
      <c r="V34" s="18">
        <v>390000</v>
      </c>
      <c r="W34" s="18">
        <v>0.33400000000000002</v>
      </c>
      <c r="X34" s="18">
        <v>3000</v>
      </c>
      <c r="Y34" s="18">
        <v>25</v>
      </c>
      <c r="Z34" s="18">
        <v>95</v>
      </c>
      <c r="AA34" s="20">
        <f t="shared" si="6"/>
        <v>252</v>
      </c>
      <c r="AB34" s="18">
        <v>90</v>
      </c>
      <c r="AC34" s="18">
        <v>45</v>
      </c>
      <c r="AD34" s="18">
        <v>89.8</v>
      </c>
      <c r="AE34" s="18">
        <v>31.5</v>
      </c>
    </row>
    <row r="35" spans="1:31" x14ac:dyDescent="0.25">
      <c r="A35" s="2">
        <v>32</v>
      </c>
      <c r="B35" s="5"/>
      <c r="C35" s="17" t="s">
        <v>189</v>
      </c>
      <c r="D35" s="17">
        <v>31.7</v>
      </c>
      <c r="E35" s="17">
        <v>180</v>
      </c>
      <c r="F35" s="17">
        <v>400</v>
      </c>
      <c r="G35" s="17">
        <v>360</v>
      </c>
      <c r="H35" s="17">
        <v>400</v>
      </c>
      <c r="I35" s="17">
        <v>100</v>
      </c>
      <c r="J35" s="17" t="s">
        <v>86</v>
      </c>
      <c r="K35" s="47">
        <v>900</v>
      </c>
      <c r="L35" s="25">
        <f t="shared" si="5"/>
        <v>2.5</v>
      </c>
      <c r="M35" s="17" t="s">
        <v>18</v>
      </c>
      <c r="N35" s="17">
        <v>6</v>
      </c>
      <c r="O35" s="17">
        <v>300</v>
      </c>
      <c r="P35" s="17">
        <v>200000</v>
      </c>
      <c r="Q35" s="17">
        <v>542</v>
      </c>
      <c r="R35" s="17">
        <f t="shared" ref="R35:R45" si="7">100*2*3.1416*N35^2/4/O35/E35</f>
        <v>0.10471999999999999</v>
      </c>
      <c r="S35" s="17" t="s">
        <v>38</v>
      </c>
      <c r="T35" s="17" t="s">
        <v>43</v>
      </c>
      <c r="U35" s="18" t="s">
        <v>144</v>
      </c>
      <c r="V35" s="17">
        <v>218400</v>
      </c>
      <c r="W35" s="17">
        <v>0.17599999999999999</v>
      </c>
      <c r="X35" s="17">
        <v>2863</v>
      </c>
      <c r="Y35" s="17">
        <v>60</v>
      </c>
      <c r="Z35" s="17">
        <v>180</v>
      </c>
      <c r="AA35" s="17">
        <f t="shared" si="6"/>
        <v>224</v>
      </c>
      <c r="AB35" s="17">
        <v>90</v>
      </c>
      <c r="AC35" s="18">
        <v>45</v>
      </c>
      <c r="AD35" s="17">
        <v>155.55000000000001</v>
      </c>
      <c r="AE35" s="17">
        <v>4.4000000000000004</v>
      </c>
    </row>
    <row r="36" spans="1:31" x14ac:dyDescent="0.25">
      <c r="A36" s="2">
        <v>33</v>
      </c>
      <c r="B36" s="20" t="s">
        <v>190</v>
      </c>
      <c r="C36" s="17" t="s">
        <v>191</v>
      </c>
      <c r="D36" s="17">
        <v>39.700000000000003</v>
      </c>
      <c r="E36" s="17">
        <v>180</v>
      </c>
      <c r="F36" s="17">
        <v>400</v>
      </c>
      <c r="G36" s="17">
        <v>360</v>
      </c>
      <c r="H36" s="17">
        <v>400</v>
      </c>
      <c r="I36" s="17">
        <v>100</v>
      </c>
      <c r="J36" s="17" t="s">
        <v>86</v>
      </c>
      <c r="K36" s="47">
        <v>900</v>
      </c>
      <c r="L36" s="25">
        <f t="shared" si="5"/>
        <v>2.5</v>
      </c>
      <c r="M36" s="17" t="s">
        <v>18</v>
      </c>
      <c r="N36" s="17">
        <v>6</v>
      </c>
      <c r="O36" s="17">
        <v>300</v>
      </c>
      <c r="P36" s="17">
        <v>200000</v>
      </c>
      <c r="Q36" s="17">
        <v>542</v>
      </c>
      <c r="R36" s="17">
        <f t="shared" si="7"/>
        <v>0.10471999999999999</v>
      </c>
      <c r="S36" s="17" t="s">
        <v>38</v>
      </c>
      <c r="T36" s="17" t="s">
        <v>43</v>
      </c>
      <c r="U36" s="18" t="s">
        <v>144</v>
      </c>
      <c r="V36" s="17">
        <v>218400</v>
      </c>
      <c r="W36" s="17">
        <v>0.17599999999999999</v>
      </c>
      <c r="X36" s="17">
        <v>2863</v>
      </c>
      <c r="Y36" s="17">
        <v>60</v>
      </c>
      <c r="Z36" s="17">
        <v>114</v>
      </c>
      <c r="AA36" s="17">
        <f t="shared" si="6"/>
        <v>224</v>
      </c>
      <c r="AB36" s="17">
        <v>90</v>
      </c>
      <c r="AC36" s="18">
        <v>45</v>
      </c>
      <c r="AD36" s="17">
        <v>162.55000000000001</v>
      </c>
      <c r="AE36" s="17">
        <v>12.8</v>
      </c>
    </row>
    <row r="37" spans="1:31" x14ac:dyDescent="0.25">
      <c r="A37" s="2">
        <v>34</v>
      </c>
      <c r="B37" s="20"/>
      <c r="C37" s="18" t="s">
        <v>192</v>
      </c>
      <c r="D37" s="18">
        <v>39.700000000000003</v>
      </c>
      <c r="E37" s="18">
        <v>180</v>
      </c>
      <c r="F37" s="18">
        <v>400</v>
      </c>
      <c r="G37" s="18">
        <v>360</v>
      </c>
      <c r="H37" s="18">
        <v>400</v>
      </c>
      <c r="I37" s="18">
        <v>100</v>
      </c>
      <c r="J37" s="18" t="s">
        <v>86</v>
      </c>
      <c r="K37" s="48">
        <v>900</v>
      </c>
      <c r="L37" s="19">
        <f t="shared" si="5"/>
        <v>2.5</v>
      </c>
      <c r="M37" s="18" t="s">
        <v>18</v>
      </c>
      <c r="N37" s="18">
        <v>6</v>
      </c>
      <c r="O37" s="18">
        <v>300</v>
      </c>
      <c r="P37" s="18">
        <v>200000</v>
      </c>
      <c r="Q37" s="18">
        <v>542</v>
      </c>
      <c r="R37" s="18">
        <f t="shared" si="7"/>
        <v>0.10471999999999999</v>
      </c>
      <c r="S37" s="18" t="s">
        <v>38</v>
      </c>
      <c r="T37" s="18" t="s">
        <v>43</v>
      </c>
      <c r="U37" s="18" t="s">
        <v>144</v>
      </c>
      <c r="V37" s="32">
        <v>218400</v>
      </c>
      <c r="W37" s="32">
        <f>0.176*2</f>
        <v>0.35199999999999998</v>
      </c>
      <c r="X37" s="32">
        <v>2863</v>
      </c>
      <c r="Y37" s="32">
        <v>60</v>
      </c>
      <c r="Z37" s="32">
        <v>114</v>
      </c>
      <c r="AA37" s="20">
        <f t="shared" si="6"/>
        <v>224</v>
      </c>
      <c r="AB37" s="18">
        <v>90</v>
      </c>
      <c r="AC37" s="18">
        <v>45</v>
      </c>
      <c r="AD37" s="18">
        <v>185.05</v>
      </c>
      <c r="AE37" s="18">
        <v>39.799999999999997</v>
      </c>
    </row>
    <row r="38" spans="1:31" x14ac:dyDescent="0.25">
      <c r="A38" s="2">
        <v>35</v>
      </c>
      <c r="B38" s="32"/>
      <c r="C38" s="18" t="s">
        <v>193</v>
      </c>
      <c r="D38" s="18">
        <f>0.8*40.8</f>
        <v>32.64</v>
      </c>
      <c r="E38" s="18">
        <v>150</v>
      </c>
      <c r="F38" s="18">
        <v>360</v>
      </c>
      <c r="G38" s="18">
        <v>314</v>
      </c>
      <c r="H38" s="18">
        <v>360</v>
      </c>
      <c r="I38" s="18">
        <v>0</v>
      </c>
      <c r="J38" s="18" t="s">
        <v>36</v>
      </c>
      <c r="K38" s="48">
        <v>930</v>
      </c>
      <c r="L38" s="19">
        <f t="shared" si="5"/>
        <v>2.9617834394904459</v>
      </c>
      <c r="M38" s="18" t="s">
        <v>52</v>
      </c>
      <c r="N38" s="18">
        <v>6</v>
      </c>
      <c r="O38" s="18">
        <v>135</v>
      </c>
      <c r="P38" s="18">
        <v>205000</v>
      </c>
      <c r="Q38" s="18">
        <v>395</v>
      </c>
      <c r="R38" s="18">
        <f t="shared" si="7"/>
        <v>0.2792533333333333</v>
      </c>
      <c r="S38" s="18" t="s">
        <v>38</v>
      </c>
      <c r="T38" s="18" t="s">
        <v>39</v>
      </c>
      <c r="U38" s="18" t="s">
        <v>144</v>
      </c>
      <c r="V38" s="18">
        <v>235000</v>
      </c>
      <c r="W38" s="18">
        <v>0.22</v>
      </c>
      <c r="X38" s="18">
        <v>4200</v>
      </c>
      <c r="Y38" s="18">
        <v>1</v>
      </c>
      <c r="Z38" s="18">
        <v>1</v>
      </c>
      <c r="AA38" s="20">
        <f t="shared" si="6"/>
        <v>282.60000000000002</v>
      </c>
      <c r="AB38" s="18">
        <v>90</v>
      </c>
      <c r="AC38" s="18">
        <v>45</v>
      </c>
      <c r="AD38" s="18">
        <v>240</v>
      </c>
      <c r="AE38" s="18">
        <v>63.5</v>
      </c>
    </row>
    <row r="39" spans="1:31" x14ac:dyDescent="0.25">
      <c r="A39" s="2">
        <v>36</v>
      </c>
      <c r="B39" s="32"/>
      <c r="C39" s="18" t="s">
        <v>194</v>
      </c>
      <c r="D39" s="18">
        <f>0.8*40.8</f>
        <v>32.64</v>
      </c>
      <c r="E39" s="18">
        <v>150</v>
      </c>
      <c r="F39" s="18">
        <v>360</v>
      </c>
      <c r="G39" s="18">
        <v>314</v>
      </c>
      <c r="H39" s="18">
        <v>360</v>
      </c>
      <c r="I39" s="18">
        <v>0</v>
      </c>
      <c r="J39" s="18" t="s">
        <v>36</v>
      </c>
      <c r="K39" s="48">
        <v>930</v>
      </c>
      <c r="L39" s="19">
        <f t="shared" si="5"/>
        <v>2.9617834394904459</v>
      </c>
      <c r="M39" s="18" t="s">
        <v>52</v>
      </c>
      <c r="N39" s="18">
        <v>6</v>
      </c>
      <c r="O39" s="18">
        <v>135</v>
      </c>
      <c r="P39" s="18">
        <v>205000</v>
      </c>
      <c r="Q39" s="18">
        <v>395</v>
      </c>
      <c r="R39" s="18">
        <f t="shared" si="7"/>
        <v>0.2792533333333333</v>
      </c>
      <c r="S39" s="18" t="s">
        <v>38</v>
      </c>
      <c r="T39" s="18" t="s">
        <v>39</v>
      </c>
      <c r="U39" s="18" t="s">
        <v>144</v>
      </c>
      <c r="V39" s="18">
        <v>235000</v>
      </c>
      <c r="W39" s="18">
        <v>0.22</v>
      </c>
      <c r="X39" s="18">
        <v>4200</v>
      </c>
      <c r="Y39" s="18">
        <v>1</v>
      </c>
      <c r="Z39" s="18">
        <v>1</v>
      </c>
      <c r="AA39" s="20">
        <f t="shared" si="6"/>
        <v>282.60000000000002</v>
      </c>
      <c r="AB39" s="18">
        <v>90</v>
      </c>
      <c r="AC39" s="18">
        <v>45</v>
      </c>
      <c r="AD39" s="18">
        <v>253</v>
      </c>
      <c r="AE39" s="18">
        <v>76.5</v>
      </c>
    </row>
    <row r="40" spans="1:31" x14ac:dyDescent="0.25">
      <c r="A40" s="2">
        <v>37</v>
      </c>
      <c r="B40" s="32" t="s">
        <v>195</v>
      </c>
      <c r="C40" s="18" t="s">
        <v>196</v>
      </c>
      <c r="D40" s="18">
        <f t="shared" ref="D40:D45" si="8">0.8*40.8</f>
        <v>32.64</v>
      </c>
      <c r="E40" s="18">
        <v>150</v>
      </c>
      <c r="F40" s="18">
        <v>360</v>
      </c>
      <c r="G40" s="18">
        <v>314</v>
      </c>
      <c r="H40" s="18">
        <v>360</v>
      </c>
      <c r="I40" s="18">
        <v>0</v>
      </c>
      <c r="J40" s="18" t="s">
        <v>36</v>
      </c>
      <c r="K40" s="48">
        <v>930</v>
      </c>
      <c r="L40" s="19">
        <f t="shared" si="5"/>
        <v>2.9617834394904459</v>
      </c>
      <c r="M40" s="18" t="s">
        <v>52</v>
      </c>
      <c r="N40" s="18">
        <v>6</v>
      </c>
      <c r="O40" s="18">
        <v>135</v>
      </c>
      <c r="P40" s="18">
        <v>205000</v>
      </c>
      <c r="Q40" s="18">
        <v>395</v>
      </c>
      <c r="R40" s="18">
        <f t="shared" si="7"/>
        <v>0.2792533333333333</v>
      </c>
      <c r="S40" s="18" t="s">
        <v>38</v>
      </c>
      <c r="T40" s="18" t="s">
        <v>43</v>
      </c>
      <c r="U40" s="18" t="s">
        <v>144</v>
      </c>
      <c r="V40" s="18">
        <v>235000</v>
      </c>
      <c r="W40" s="18">
        <v>0.22</v>
      </c>
      <c r="X40" s="18">
        <v>4200</v>
      </c>
      <c r="Y40" s="18">
        <v>40</v>
      </c>
      <c r="Z40" s="18">
        <v>120</v>
      </c>
      <c r="AA40" s="20">
        <f t="shared" si="6"/>
        <v>282.60000000000002</v>
      </c>
      <c r="AB40" s="18">
        <v>90</v>
      </c>
      <c r="AC40" s="18">
        <v>45</v>
      </c>
      <c r="AD40" s="18">
        <v>246</v>
      </c>
      <c r="AE40" s="18">
        <v>69.5</v>
      </c>
    </row>
    <row r="41" spans="1:31" x14ac:dyDescent="0.25">
      <c r="A41" s="2">
        <v>38</v>
      </c>
      <c r="B41" s="32"/>
      <c r="C41" s="18" t="s">
        <v>197</v>
      </c>
      <c r="D41" s="18">
        <f t="shared" si="8"/>
        <v>32.64</v>
      </c>
      <c r="E41" s="18">
        <v>150</v>
      </c>
      <c r="F41" s="18">
        <v>360</v>
      </c>
      <c r="G41" s="18">
        <v>314</v>
      </c>
      <c r="H41" s="18">
        <v>360</v>
      </c>
      <c r="I41" s="18">
        <v>0</v>
      </c>
      <c r="J41" s="18" t="s">
        <v>36</v>
      </c>
      <c r="K41" s="48">
        <v>930</v>
      </c>
      <c r="L41" s="19">
        <f t="shared" si="5"/>
        <v>2.9617834394904459</v>
      </c>
      <c r="M41" s="18" t="s">
        <v>52</v>
      </c>
      <c r="N41" s="18">
        <v>6</v>
      </c>
      <c r="O41" s="18">
        <v>135</v>
      </c>
      <c r="P41" s="18">
        <v>205000</v>
      </c>
      <c r="Q41" s="18">
        <v>395</v>
      </c>
      <c r="R41" s="18">
        <f t="shared" si="7"/>
        <v>0.2792533333333333</v>
      </c>
      <c r="S41" s="18" t="s">
        <v>38</v>
      </c>
      <c r="T41" s="18" t="s">
        <v>43</v>
      </c>
      <c r="U41" s="18" t="s">
        <v>144</v>
      </c>
      <c r="V41" s="18">
        <v>235000</v>
      </c>
      <c r="W41" s="18">
        <v>0.22</v>
      </c>
      <c r="X41" s="18">
        <v>4200</v>
      </c>
      <c r="Y41" s="18">
        <v>40</v>
      </c>
      <c r="Z41" s="18">
        <v>120</v>
      </c>
      <c r="AA41" s="20">
        <f t="shared" si="6"/>
        <v>282.60000000000002</v>
      </c>
      <c r="AB41" s="18">
        <v>90</v>
      </c>
      <c r="AC41" s="18">
        <v>45</v>
      </c>
      <c r="AD41" s="18">
        <v>230</v>
      </c>
      <c r="AE41" s="18">
        <v>53.5</v>
      </c>
    </row>
    <row r="42" spans="1:31" x14ac:dyDescent="0.25">
      <c r="A42" s="2">
        <v>39</v>
      </c>
      <c r="B42" s="32"/>
      <c r="C42" s="18" t="s">
        <v>198</v>
      </c>
      <c r="D42" s="18">
        <f t="shared" si="8"/>
        <v>32.64</v>
      </c>
      <c r="E42" s="18">
        <v>150</v>
      </c>
      <c r="F42" s="18">
        <v>360</v>
      </c>
      <c r="G42" s="18">
        <v>314</v>
      </c>
      <c r="H42" s="18">
        <v>360</v>
      </c>
      <c r="I42" s="18">
        <v>0</v>
      </c>
      <c r="J42" s="18" t="s">
        <v>36</v>
      </c>
      <c r="K42" s="48">
        <v>930</v>
      </c>
      <c r="L42" s="19">
        <f t="shared" si="5"/>
        <v>2.9617834394904459</v>
      </c>
      <c r="M42" s="18" t="s">
        <v>52</v>
      </c>
      <c r="N42" s="18">
        <v>6</v>
      </c>
      <c r="O42" s="18">
        <v>135</v>
      </c>
      <c r="P42" s="18">
        <v>205000</v>
      </c>
      <c r="Q42" s="18">
        <v>395</v>
      </c>
      <c r="R42" s="18">
        <f t="shared" si="7"/>
        <v>0.2792533333333333</v>
      </c>
      <c r="S42" s="18" t="s">
        <v>38</v>
      </c>
      <c r="T42" s="18" t="s">
        <v>43</v>
      </c>
      <c r="U42" s="18" t="s">
        <v>144</v>
      </c>
      <c r="V42" s="18">
        <v>235000</v>
      </c>
      <c r="W42" s="18">
        <v>0.44</v>
      </c>
      <c r="X42" s="18">
        <v>4200</v>
      </c>
      <c r="Y42" s="18">
        <v>40</v>
      </c>
      <c r="Z42" s="18">
        <v>120</v>
      </c>
      <c r="AA42" s="20">
        <f t="shared" si="6"/>
        <v>282.60000000000002</v>
      </c>
      <c r="AB42" s="18">
        <v>90</v>
      </c>
      <c r="AC42" s="18">
        <v>45</v>
      </c>
      <c r="AD42" s="18">
        <v>240</v>
      </c>
      <c r="AE42" s="18">
        <v>63.5</v>
      </c>
    </row>
    <row r="43" spans="1:31" x14ac:dyDescent="0.25">
      <c r="A43" s="2">
        <v>40</v>
      </c>
      <c r="B43" s="32"/>
      <c r="C43" s="18" t="s">
        <v>199</v>
      </c>
      <c r="D43" s="18">
        <f t="shared" si="8"/>
        <v>32.64</v>
      </c>
      <c r="E43" s="18">
        <v>150</v>
      </c>
      <c r="F43" s="18">
        <v>360</v>
      </c>
      <c r="G43" s="18">
        <v>314</v>
      </c>
      <c r="H43" s="18">
        <v>360</v>
      </c>
      <c r="I43" s="18">
        <v>0</v>
      </c>
      <c r="J43" s="18" t="s">
        <v>36</v>
      </c>
      <c r="K43" s="48">
        <v>930</v>
      </c>
      <c r="L43" s="19">
        <f t="shared" si="5"/>
        <v>2.9617834394904459</v>
      </c>
      <c r="M43" s="18" t="s">
        <v>52</v>
      </c>
      <c r="N43" s="18">
        <v>6</v>
      </c>
      <c r="O43" s="18">
        <v>135</v>
      </c>
      <c r="P43" s="18">
        <v>205000</v>
      </c>
      <c r="Q43" s="18">
        <v>395</v>
      </c>
      <c r="R43" s="18">
        <f t="shared" si="7"/>
        <v>0.2792533333333333</v>
      </c>
      <c r="S43" s="18" t="s">
        <v>38</v>
      </c>
      <c r="T43" s="18" t="s">
        <v>43</v>
      </c>
      <c r="U43" s="18" t="s">
        <v>144</v>
      </c>
      <c r="V43" s="18">
        <v>235000</v>
      </c>
      <c r="W43" s="18">
        <v>0.44</v>
      </c>
      <c r="X43" s="18">
        <v>4200</v>
      </c>
      <c r="Y43" s="18">
        <v>40</v>
      </c>
      <c r="Z43" s="18">
        <v>120</v>
      </c>
      <c r="AA43" s="20">
        <f t="shared" si="6"/>
        <v>282.60000000000002</v>
      </c>
      <c r="AB43" s="18">
        <v>90</v>
      </c>
      <c r="AC43" s="18">
        <v>45</v>
      </c>
      <c r="AD43" s="18">
        <v>243</v>
      </c>
      <c r="AE43" s="18">
        <v>66.5</v>
      </c>
    </row>
    <row r="44" spans="1:31" x14ac:dyDescent="0.25">
      <c r="A44" s="2">
        <v>41</v>
      </c>
      <c r="B44" s="32"/>
      <c r="C44" s="18" t="s">
        <v>200</v>
      </c>
      <c r="D44" s="18">
        <f t="shared" si="8"/>
        <v>32.64</v>
      </c>
      <c r="E44" s="18">
        <v>150</v>
      </c>
      <c r="F44" s="18">
        <v>360</v>
      </c>
      <c r="G44" s="18">
        <v>314</v>
      </c>
      <c r="H44" s="18">
        <v>360</v>
      </c>
      <c r="I44" s="18">
        <v>0</v>
      </c>
      <c r="J44" s="18" t="s">
        <v>36</v>
      </c>
      <c r="K44" s="48">
        <v>900</v>
      </c>
      <c r="L44" s="19">
        <f t="shared" si="5"/>
        <v>2.8662420382165603</v>
      </c>
      <c r="M44" s="18" t="s">
        <v>52</v>
      </c>
      <c r="N44" s="18">
        <v>6</v>
      </c>
      <c r="O44" s="18">
        <v>135</v>
      </c>
      <c r="P44" s="18">
        <v>205000</v>
      </c>
      <c r="Q44" s="18">
        <v>395</v>
      </c>
      <c r="R44" s="18">
        <f t="shared" si="7"/>
        <v>0.2792533333333333</v>
      </c>
      <c r="S44" s="18" t="s">
        <v>38</v>
      </c>
      <c r="T44" s="18" t="s">
        <v>43</v>
      </c>
      <c r="U44" s="18" t="s">
        <v>144</v>
      </c>
      <c r="V44" s="18">
        <v>235000</v>
      </c>
      <c r="W44" s="18">
        <v>0.22</v>
      </c>
      <c r="X44" s="18">
        <v>4200</v>
      </c>
      <c r="Y44" s="18">
        <v>40</v>
      </c>
      <c r="Z44" s="18">
        <v>120</v>
      </c>
      <c r="AA44" s="20">
        <f t="shared" si="6"/>
        <v>282.60000000000002</v>
      </c>
      <c r="AB44" s="18">
        <v>90</v>
      </c>
      <c r="AC44" s="18">
        <v>45</v>
      </c>
      <c r="AD44" s="18">
        <v>270</v>
      </c>
      <c r="AE44" s="18">
        <v>52</v>
      </c>
    </row>
    <row r="45" spans="1:31" x14ac:dyDescent="0.25">
      <c r="A45" s="2">
        <v>42</v>
      </c>
      <c r="B45" s="32"/>
      <c r="C45" s="18" t="s">
        <v>201</v>
      </c>
      <c r="D45" s="18">
        <f t="shared" si="8"/>
        <v>32.64</v>
      </c>
      <c r="E45" s="18">
        <v>150</v>
      </c>
      <c r="F45" s="18">
        <v>360</v>
      </c>
      <c r="G45" s="18">
        <v>314</v>
      </c>
      <c r="H45" s="18">
        <v>360</v>
      </c>
      <c r="I45" s="18">
        <v>0</v>
      </c>
      <c r="J45" s="18" t="s">
        <v>36</v>
      </c>
      <c r="K45" s="48">
        <v>720</v>
      </c>
      <c r="L45" s="19">
        <f t="shared" si="5"/>
        <v>2.2929936305732483</v>
      </c>
      <c r="M45" s="18" t="s">
        <v>52</v>
      </c>
      <c r="N45" s="18">
        <v>6</v>
      </c>
      <c r="O45" s="18">
        <v>135</v>
      </c>
      <c r="P45" s="18">
        <v>205000</v>
      </c>
      <c r="Q45" s="18">
        <v>395</v>
      </c>
      <c r="R45" s="18">
        <f t="shared" si="7"/>
        <v>0.2792533333333333</v>
      </c>
      <c r="S45" s="18" t="s">
        <v>38</v>
      </c>
      <c r="T45" s="18" t="s">
        <v>43</v>
      </c>
      <c r="U45" s="18" t="s">
        <v>144</v>
      </c>
      <c r="V45" s="18">
        <v>235000</v>
      </c>
      <c r="W45" s="18">
        <v>0.22</v>
      </c>
      <c r="X45" s="18">
        <v>4200</v>
      </c>
      <c r="Y45" s="18">
        <v>40</v>
      </c>
      <c r="Z45" s="18">
        <v>120</v>
      </c>
      <c r="AA45" s="20">
        <f t="shared" si="6"/>
        <v>282.60000000000002</v>
      </c>
      <c r="AB45" s="18">
        <v>90</v>
      </c>
      <c r="AC45" s="18">
        <v>45</v>
      </c>
      <c r="AD45" s="18">
        <v>310</v>
      </c>
      <c r="AE45" s="18">
        <v>35</v>
      </c>
    </row>
    <row r="46" spans="1:31" x14ac:dyDescent="0.25">
      <c r="A46" s="2">
        <v>43</v>
      </c>
      <c r="B46" s="20"/>
      <c r="C46" s="18" t="s">
        <v>202</v>
      </c>
      <c r="D46" s="18">
        <v>32.799999999999997</v>
      </c>
      <c r="E46" s="18">
        <v>150</v>
      </c>
      <c r="F46" s="18">
        <v>300</v>
      </c>
      <c r="G46" s="18">
        <v>261</v>
      </c>
      <c r="H46" s="18">
        <v>300</v>
      </c>
      <c r="I46" s="18">
        <v>0</v>
      </c>
      <c r="J46" s="18" t="s">
        <v>36</v>
      </c>
      <c r="K46" s="48">
        <v>740</v>
      </c>
      <c r="L46" s="19">
        <f t="shared" si="5"/>
        <v>2.8352490421455938</v>
      </c>
      <c r="M46" s="18" t="s">
        <v>37</v>
      </c>
      <c r="N46" s="18"/>
      <c r="O46" s="18"/>
      <c r="P46" s="18"/>
      <c r="Q46" s="18"/>
      <c r="R46" s="18"/>
      <c r="S46" s="18" t="s">
        <v>38</v>
      </c>
      <c r="T46" s="18" t="s">
        <v>43</v>
      </c>
      <c r="U46" s="18" t="s">
        <v>144</v>
      </c>
      <c r="V46" s="18">
        <v>230000</v>
      </c>
      <c r="W46" s="18">
        <v>0.111</v>
      </c>
      <c r="X46" s="18">
        <v>3400</v>
      </c>
      <c r="Y46" s="18">
        <v>50</v>
      </c>
      <c r="Z46" s="18">
        <v>100</v>
      </c>
      <c r="AA46" s="20">
        <f t="shared" si="6"/>
        <v>234.9</v>
      </c>
      <c r="AB46" s="18">
        <v>90</v>
      </c>
      <c r="AC46" s="18">
        <v>45</v>
      </c>
      <c r="AD46" s="18">
        <f>214.97/2</f>
        <v>107.485</v>
      </c>
      <c r="AE46" s="18">
        <v>82.4</v>
      </c>
    </row>
    <row r="47" spans="1:31" x14ac:dyDescent="0.25">
      <c r="A47" s="2">
        <v>44</v>
      </c>
      <c r="B47" s="20"/>
      <c r="C47" s="18" t="s">
        <v>203</v>
      </c>
      <c r="D47" s="18">
        <v>32.799999999999997</v>
      </c>
      <c r="E47" s="18">
        <v>150</v>
      </c>
      <c r="F47" s="18">
        <v>300</v>
      </c>
      <c r="G47" s="18">
        <v>261</v>
      </c>
      <c r="H47" s="18">
        <v>300</v>
      </c>
      <c r="I47" s="18">
        <v>0</v>
      </c>
      <c r="J47" s="18" t="s">
        <v>36</v>
      </c>
      <c r="K47" s="48">
        <v>740</v>
      </c>
      <c r="L47" s="19">
        <f t="shared" si="5"/>
        <v>2.8352490421455938</v>
      </c>
      <c r="M47" s="18" t="s">
        <v>37</v>
      </c>
      <c r="N47" s="18"/>
      <c r="O47" s="18"/>
      <c r="P47" s="18"/>
      <c r="Q47" s="18"/>
      <c r="R47" s="18"/>
      <c r="S47" s="18" t="s">
        <v>38</v>
      </c>
      <c r="T47" s="18" t="s">
        <v>43</v>
      </c>
      <c r="U47" s="18" t="s">
        <v>144</v>
      </c>
      <c r="V47" s="18">
        <v>230000</v>
      </c>
      <c r="W47" s="18">
        <v>0.111</v>
      </c>
      <c r="X47" s="18">
        <v>3400</v>
      </c>
      <c r="Y47" s="18">
        <v>50</v>
      </c>
      <c r="Z47" s="18">
        <v>100</v>
      </c>
      <c r="AA47" s="20">
        <f t="shared" si="6"/>
        <v>234.9</v>
      </c>
      <c r="AB47" s="18">
        <v>90</v>
      </c>
      <c r="AC47" s="18">
        <v>45</v>
      </c>
      <c r="AD47" s="18">
        <f>208.58/2</f>
        <v>104.29</v>
      </c>
      <c r="AE47" s="18">
        <v>94.74</v>
      </c>
    </row>
    <row r="48" spans="1:31" x14ac:dyDescent="0.25">
      <c r="A48" s="2">
        <v>45</v>
      </c>
      <c r="B48" s="20"/>
      <c r="C48" s="18" t="s">
        <v>204</v>
      </c>
      <c r="D48" s="18">
        <v>32.799999999999997</v>
      </c>
      <c r="E48" s="18">
        <v>150</v>
      </c>
      <c r="F48" s="18">
        <v>300</v>
      </c>
      <c r="G48" s="18">
        <v>261</v>
      </c>
      <c r="H48" s="18">
        <v>300</v>
      </c>
      <c r="I48" s="18">
        <v>0</v>
      </c>
      <c r="J48" s="18" t="s">
        <v>36</v>
      </c>
      <c r="K48" s="48">
        <v>740</v>
      </c>
      <c r="L48" s="19">
        <f t="shared" si="5"/>
        <v>2.8352490421455938</v>
      </c>
      <c r="M48" s="18" t="s">
        <v>37</v>
      </c>
      <c r="N48" s="18"/>
      <c r="O48" s="18"/>
      <c r="P48" s="18"/>
      <c r="Q48" s="18"/>
      <c r="R48" s="18"/>
      <c r="S48" s="18" t="s">
        <v>38</v>
      </c>
      <c r="T48" s="18" t="s">
        <v>43</v>
      </c>
      <c r="U48" s="18" t="s">
        <v>144</v>
      </c>
      <c r="V48" s="18">
        <v>230000</v>
      </c>
      <c r="W48" s="18">
        <v>0.111</v>
      </c>
      <c r="X48" s="18">
        <v>3400</v>
      </c>
      <c r="Y48" s="18">
        <v>50</v>
      </c>
      <c r="Z48" s="18">
        <v>100</v>
      </c>
      <c r="AA48" s="20">
        <f t="shared" si="6"/>
        <v>234.9</v>
      </c>
      <c r="AB48" s="18">
        <v>90</v>
      </c>
      <c r="AC48" s="18">
        <v>45</v>
      </c>
      <c r="AD48" s="18">
        <f>230.38/2</f>
        <v>115.19</v>
      </c>
      <c r="AE48" s="18">
        <v>116.54</v>
      </c>
    </row>
    <row r="49" spans="1:31" x14ac:dyDescent="0.25">
      <c r="A49" s="2">
        <v>46</v>
      </c>
      <c r="B49" s="20"/>
      <c r="C49" s="18" t="s">
        <v>205</v>
      </c>
      <c r="D49" s="18">
        <v>32.799999999999997</v>
      </c>
      <c r="E49" s="18">
        <v>150</v>
      </c>
      <c r="F49" s="18">
        <v>300</v>
      </c>
      <c r="G49" s="18">
        <v>261</v>
      </c>
      <c r="H49" s="18">
        <v>300</v>
      </c>
      <c r="I49" s="18">
        <v>0</v>
      </c>
      <c r="J49" s="18" t="s">
        <v>36</v>
      </c>
      <c r="K49" s="48">
        <v>741</v>
      </c>
      <c r="L49" s="19">
        <f t="shared" si="5"/>
        <v>2.8390804597701149</v>
      </c>
      <c r="M49" s="18" t="s">
        <v>37</v>
      </c>
      <c r="N49" s="18"/>
      <c r="O49" s="18"/>
      <c r="P49" s="18"/>
      <c r="Q49" s="18"/>
      <c r="R49" s="18"/>
      <c r="S49" s="18" t="s">
        <v>38</v>
      </c>
      <c r="T49" s="18" t="s">
        <v>43</v>
      </c>
      <c r="U49" s="18" t="s">
        <v>144</v>
      </c>
      <c r="V49" s="18">
        <v>230000</v>
      </c>
      <c r="W49" s="18">
        <v>0.111</v>
      </c>
      <c r="X49" s="18">
        <v>3400</v>
      </c>
      <c r="Y49" s="18">
        <v>50</v>
      </c>
      <c r="Z49" s="18">
        <v>100</v>
      </c>
      <c r="AA49" s="20">
        <f t="shared" si="6"/>
        <v>234.9</v>
      </c>
      <c r="AB49" s="18">
        <v>90</v>
      </c>
      <c r="AC49" s="18">
        <v>45</v>
      </c>
      <c r="AD49" s="18">
        <f>214.97/2</f>
        <v>107.485</v>
      </c>
      <c r="AE49" s="18">
        <v>101.13</v>
      </c>
    </row>
    <row r="50" spans="1:31" x14ac:dyDescent="0.25">
      <c r="A50" s="2">
        <v>47</v>
      </c>
      <c r="B50" s="20" t="s">
        <v>121</v>
      </c>
      <c r="C50" s="18" t="s">
        <v>206</v>
      </c>
      <c r="D50" s="18">
        <v>32.799999999999997</v>
      </c>
      <c r="E50" s="18">
        <v>150</v>
      </c>
      <c r="F50" s="18">
        <v>300</v>
      </c>
      <c r="G50" s="18">
        <v>261</v>
      </c>
      <c r="H50" s="18">
        <v>300</v>
      </c>
      <c r="I50" s="18">
        <v>0</v>
      </c>
      <c r="J50" s="18" t="s">
        <v>36</v>
      </c>
      <c r="K50" s="48">
        <v>742</v>
      </c>
      <c r="L50" s="19">
        <f t="shared" si="5"/>
        <v>2.842911877394636</v>
      </c>
      <c r="M50" s="18" t="s">
        <v>37</v>
      </c>
      <c r="N50" s="18"/>
      <c r="O50" s="18"/>
      <c r="P50" s="18"/>
      <c r="Q50" s="18"/>
      <c r="R50" s="18"/>
      <c r="S50" s="18" t="s">
        <v>38</v>
      </c>
      <c r="T50" s="18" t="s">
        <v>43</v>
      </c>
      <c r="U50" s="18" t="s">
        <v>144</v>
      </c>
      <c r="V50" s="18">
        <v>230000</v>
      </c>
      <c r="W50" s="18">
        <v>0.111</v>
      </c>
      <c r="X50" s="18">
        <v>3400</v>
      </c>
      <c r="Y50" s="18">
        <v>50</v>
      </c>
      <c r="Z50" s="18">
        <v>100</v>
      </c>
      <c r="AA50" s="20">
        <f t="shared" si="6"/>
        <v>234.9</v>
      </c>
      <c r="AB50" s="18">
        <v>90</v>
      </c>
      <c r="AC50" s="18">
        <v>45</v>
      </c>
      <c r="AD50" s="18">
        <f>211.98/2</f>
        <v>105.99</v>
      </c>
      <c r="AE50" s="18">
        <v>98.14</v>
      </c>
    </row>
    <row r="51" spans="1:31" x14ac:dyDescent="0.25">
      <c r="A51" s="2">
        <v>48</v>
      </c>
      <c r="B51" s="20"/>
      <c r="C51" s="18" t="s">
        <v>207</v>
      </c>
      <c r="D51" s="18">
        <v>32.799999999999997</v>
      </c>
      <c r="E51" s="18">
        <v>150</v>
      </c>
      <c r="F51" s="18">
        <v>300</v>
      </c>
      <c r="G51" s="18">
        <v>261</v>
      </c>
      <c r="H51" s="18">
        <v>300</v>
      </c>
      <c r="I51" s="18">
        <v>0</v>
      </c>
      <c r="J51" s="18" t="s">
        <v>36</v>
      </c>
      <c r="K51" s="48">
        <v>743</v>
      </c>
      <c r="L51" s="19">
        <f t="shared" si="5"/>
        <v>2.8467432950191571</v>
      </c>
      <c r="M51" s="18" t="s">
        <v>37</v>
      </c>
      <c r="N51" s="18"/>
      <c r="O51" s="18"/>
      <c r="P51" s="18"/>
      <c r="Q51" s="18"/>
      <c r="R51" s="18"/>
      <c r="S51" s="18" t="s">
        <v>38</v>
      </c>
      <c r="T51" s="18" t="s">
        <v>43</v>
      </c>
      <c r="U51" s="18" t="s">
        <v>144</v>
      </c>
      <c r="V51" s="18">
        <v>230000</v>
      </c>
      <c r="W51" s="18">
        <v>0.111</v>
      </c>
      <c r="X51" s="18">
        <v>3400</v>
      </c>
      <c r="Y51" s="18">
        <v>50</v>
      </c>
      <c r="Z51" s="18">
        <v>100</v>
      </c>
      <c r="AA51" s="20">
        <f t="shared" si="6"/>
        <v>234.9</v>
      </c>
      <c r="AB51" s="18">
        <v>90</v>
      </c>
      <c r="AC51" s="18">
        <v>45</v>
      </c>
      <c r="AD51" s="18">
        <f>205.57/2</f>
        <v>102.785</v>
      </c>
      <c r="AE51" s="18">
        <v>91.73</v>
      </c>
    </row>
    <row r="52" spans="1:31" x14ac:dyDescent="0.25">
      <c r="A52" s="2">
        <v>49</v>
      </c>
      <c r="B52" s="20"/>
      <c r="C52" s="18" t="s">
        <v>208</v>
      </c>
      <c r="D52" s="18">
        <v>32.799999999999997</v>
      </c>
      <c r="E52" s="18">
        <v>150</v>
      </c>
      <c r="F52" s="18">
        <v>300</v>
      </c>
      <c r="G52" s="18">
        <v>261</v>
      </c>
      <c r="H52" s="18">
        <v>300</v>
      </c>
      <c r="I52" s="18">
        <v>0</v>
      </c>
      <c r="J52" s="18" t="s">
        <v>36</v>
      </c>
      <c r="K52" s="48">
        <v>744</v>
      </c>
      <c r="L52" s="19">
        <f t="shared" si="5"/>
        <v>2.8505747126436782</v>
      </c>
      <c r="M52" s="18" t="s">
        <v>37</v>
      </c>
      <c r="N52" s="18"/>
      <c r="O52" s="18"/>
      <c r="P52" s="18"/>
      <c r="Q52" s="18"/>
      <c r="R52" s="18"/>
      <c r="S52" s="18" t="s">
        <v>38</v>
      </c>
      <c r="T52" s="18" t="s">
        <v>43</v>
      </c>
      <c r="U52" s="18" t="s">
        <v>144</v>
      </c>
      <c r="V52" s="18">
        <v>230000</v>
      </c>
      <c r="W52" s="18">
        <v>0.111</v>
      </c>
      <c r="X52" s="18">
        <v>3400</v>
      </c>
      <c r="Y52" s="18">
        <v>50</v>
      </c>
      <c r="Z52" s="18">
        <v>141.4</v>
      </c>
      <c r="AA52" s="20">
        <f t="shared" si="6"/>
        <v>234.9</v>
      </c>
      <c r="AB52" s="18">
        <v>45</v>
      </c>
      <c r="AC52" s="18">
        <v>45</v>
      </c>
      <c r="AD52" s="18">
        <f>236.83/2</f>
        <v>118.41500000000001</v>
      </c>
      <c r="AE52" s="18">
        <v>122.99</v>
      </c>
    </row>
    <row r="53" spans="1:31" x14ac:dyDescent="0.25">
      <c r="A53" s="2">
        <v>50</v>
      </c>
      <c r="B53" s="20"/>
      <c r="C53" s="18" t="s">
        <v>209</v>
      </c>
      <c r="D53" s="18">
        <v>32.799999999999997</v>
      </c>
      <c r="E53" s="18">
        <v>150</v>
      </c>
      <c r="F53" s="18">
        <v>300</v>
      </c>
      <c r="G53" s="18">
        <v>261</v>
      </c>
      <c r="H53" s="18">
        <v>300</v>
      </c>
      <c r="I53" s="18">
        <v>0</v>
      </c>
      <c r="J53" s="18" t="s">
        <v>36</v>
      </c>
      <c r="K53" s="48">
        <v>745</v>
      </c>
      <c r="L53" s="19">
        <f t="shared" si="5"/>
        <v>2.8544061302681993</v>
      </c>
      <c r="M53" s="18" t="s">
        <v>37</v>
      </c>
      <c r="N53" s="18"/>
      <c r="O53" s="18"/>
      <c r="P53" s="18"/>
      <c r="Q53" s="18"/>
      <c r="R53" s="18"/>
      <c r="S53" s="18" t="s">
        <v>38</v>
      </c>
      <c r="T53" s="18" t="s">
        <v>43</v>
      </c>
      <c r="U53" s="18" t="s">
        <v>144</v>
      </c>
      <c r="V53" s="18">
        <v>230000</v>
      </c>
      <c r="W53" s="18">
        <v>0.111</v>
      </c>
      <c r="X53" s="18">
        <v>3400</v>
      </c>
      <c r="Y53" s="18">
        <v>50</v>
      </c>
      <c r="Z53" s="18">
        <v>141.4</v>
      </c>
      <c r="AA53" s="20">
        <f t="shared" si="6"/>
        <v>234.9</v>
      </c>
      <c r="AB53" s="18">
        <v>45</v>
      </c>
      <c r="AC53" s="18">
        <v>45</v>
      </c>
      <c r="AD53" s="18">
        <f>230.26/2</f>
        <v>115.13</v>
      </c>
      <c r="AE53" s="18">
        <v>116.42</v>
      </c>
    </row>
    <row r="54" spans="1:31" x14ac:dyDescent="0.25">
      <c r="A54" s="2">
        <v>51</v>
      </c>
      <c r="B54" s="20"/>
      <c r="C54" s="18" t="s">
        <v>210</v>
      </c>
      <c r="D54" s="18">
        <v>32.799999999999997</v>
      </c>
      <c r="E54" s="18">
        <v>150</v>
      </c>
      <c r="F54" s="18">
        <v>300</v>
      </c>
      <c r="G54" s="18">
        <v>261</v>
      </c>
      <c r="H54" s="18">
        <v>300</v>
      </c>
      <c r="I54" s="18">
        <v>0</v>
      </c>
      <c r="J54" s="18" t="s">
        <v>36</v>
      </c>
      <c r="K54" s="48">
        <v>746</v>
      </c>
      <c r="L54" s="19">
        <f t="shared" si="5"/>
        <v>2.8582375478927204</v>
      </c>
      <c r="M54" s="18" t="s">
        <v>37</v>
      </c>
      <c r="N54" s="18"/>
      <c r="O54" s="18"/>
      <c r="P54" s="18"/>
      <c r="Q54" s="18"/>
      <c r="R54" s="18"/>
      <c r="S54" s="18" t="s">
        <v>38</v>
      </c>
      <c r="T54" s="18" t="s">
        <v>39</v>
      </c>
      <c r="U54" s="18" t="s">
        <v>144</v>
      </c>
      <c r="V54" s="18">
        <v>230000</v>
      </c>
      <c r="W54" s="18">
        <v>0.111</v>
      </c>
      <c r="X54" s="18">
        <v>3400</v>
      </c>
      <c r="Y54" s="18">
        <v>1</v>
      </c>
      <c r="Z54" s="18">
        <v>1</v>
      </c>
      <c r="AA54" s="20">
        <f t="shared" si="6"/>
        <v>234.9</v>
      </c>
      <c r="AB54" s="18">
        <v>90</v>
      </c>
      <c r="AC54" s="18">
        <v>45</v>
      </c>
      <c r="AD54" s="18">
        <f>276.74/2</f>
        <v>138.37</v>
      </c>
      <c r="AE54" s="18">
        <v>162.9</v>
      </c>
    </row>
    <row r="55" spans="1:31" x14ac:dyDescent="0.25">
      <c r="A55" s="2">
        <v>52</v>
      </c>
      <c r="B55" s="20"/>
      <c r="C55" s="18" t="s">
        <v>211</v>
      </c>
      <c r="D55" s="18">
        <v>32.799999999999997</v>
      </c>
      <c r="E55" s="18">
        <v>150</v>
      </c>
      <c r="F55" s="18">
        <v>300</v>
      </c>
      <c r="G55" s="18">
        <v>261</v>
      </c>
      <c r="H55" s="18">
        <v>300</v>
      </c>
      <c r="I55" s="18">
        <v>0</v>
      </c>
      <c r="J55" s="18" t="s">
        <v>36</v>
      </c>
      <c r="K55" s="48">
        <v>747</v>
      </c>
      <c r="L55" s="19">
        <f t="shared" si="5"/>
        <v>2.8620689655172415</v>
      </c>
      <c r="M55" s="18" t="s">
        <v>37</v>
      </c>
      <c r="N55" s="31"/>
      <c r="O55" s="31"/>
      <c r="P55" s="31"/>
      <c r="Q55" s="31"/>
      <c r="R55" s="18"/>
      <c r="S55" s="18" t="s">
        <v>38</v>
      </c>
      <c r="T55" s="18" t="s">
        <v>39</v>
      </c>
      <c r="U55" s="18" t="s">
        <v>144</v>
      </c>
      <c r="V55" s="18">
        <v>230000</v>
      </c>
      <c r="W55" s="18">
        <v>0.111</v>
      </c>
      <c r="X55" s="18">
        <v>3400</v>
      </c>
      <c r="Y55" s="18">
        <v>1</v>
      </c>
      <c r="Z55" s="18">
        <v>1</v>
      </c>
      <c r="AA55" s="20">
        <f t="shared" si="6"/>
        <v>234.9</v>
      </c>
      <c r="AB55" s="18">
        <v>90</v>
      </c>
      <c r="AC55" s="18">
        <v>45</v>
      </c>
      <c r="AD55" s="18">
        <f>224.85/2</f>
        <v>112.425</v>
      </c>
      <c r="AE55" s="18">
        <v>111.01</v>
      </c>
    </row>
    <row r="56" spans="1:31" x14ac:dyDescent="0.25">
      <c r="A56" s="2">
        <v>53</v>
      </c>
      <c r="B56" s="32"/>
      <c r="C56" s="18" t="s">
        <v>212</v>
      </c>
      <c r="D56" s="18">
        <v>44.1</v>
      </c>
      <c r="E56" s="18">
        <v>140</v>
      </c>
      <c r="F56" s="18">
        <v>600</v>
      </c>
      <c r="G56" s="17">
        <v>520</v>
      </c>
      <c r="H56" s="18">
        <v>600</v>
      </c>
      <c r="I56" s="18">
        <v>150</v>
      </c>
      <c r="J56" s="18" t="s">
        <v>86</v>
      </c>
      <c r="K56" s="48">
        <v>1550</v>
      </c>
      <c r="L56" s="19">
        <f t="shared" si="5"/>
        <v>2.9807692307692308</v>
      </c>
      <c r="M56" s="18" t="s">
        <v>37</v>
      </c>
      <c r="N56" s="31"/>
      <c r="O56" s="31"/>
      <c r="P56" s="31"/>
      <c r="Q56" s="31"/>
      <c r="R56" s="18"/>
      <c r="S56" s="18" t="s">
        <v>38</v>
      </c>
      <c r="T56" s="18" t="s">
        <v>43</v>
      </c>
      <c r="U56" s="18" t="s">
        <v>144</v>
      </c>
      <c r="V56" s="18">
        <v>230000</v>
      </c>
      <c r="W56" s="18">
        <v>0.11</v>
      </c>
      <c r="X56" s="18">
        <v>3400</v>
      </c>
      <c r="Y56" s="18">
        <v>50</v>
      </c>
      <c r="Z56" s="18">
        <v>141.4</v>
      </c>
      <c r="AA56" s="20">
        <f t="shared" si="6"/>
        <v>318</v>
      </c>
      <c r="AB56" s="18">
        <v>45</v>
      </c>
      <c r="AC56" s="18">
        <v>45</v>
      </c>
      <c r="AD56" s="18">
        <v>213.6</v>
      </c>
      <c r="AE56" s="18">
        <v>103.5</v>
      </c>
    </row>
    <row r="57" spans="1:31" x14ac:dyDescent="0.25">
      <c r="A57" s="2">
        <v>54</v>
      </c>
      <c r="B57" s="32" t="s">
        <v>213</v>
      </c>
      <c r="C57" s="18" t="s">
        <v>214</v>
      </c>
      <c r="D57" s="18">
        <v>44.1</v>
      </c>
      <c r="E57" s="18">
        <v>140</v>
      </c>
      <c r="F57" s="18">
        <v>600</v>
      </c>
      <c r="G57" s="17">
        <v>520</v>
      </c>
      <c r="H57" s="18">
        <v>600</v>
      </c>
      <c r="I57" s="18">
        <v>150</v>
      </c>
      <c r="J57" s="18" t="s">
        <v>86</v>
      </c>
      <c r="K57" s="48">
        <v>1550</v>
      </c>
      <c r="L57" s="19">
        <f t="shared" si="5"/>
        <v>2.9807692307692308</v>
      </c>
      <c r="M57" s="18" t="s">
        <v>52</v>
      </c>
      <c r="N57" s="18">
        <v>6</v>
      </c>
      <c r="O57" s="18">
        <v>400</v>
      </c>
      <c r="P57" s="18">
        <v>200000</v>
      </c>
      <c r="Q57" s="18">
        <v>520</v>
      </c>
      <c r="R57" s="18">
        <f>100*2*3.1416*N57^2/4/O57/E57</f>
        <v>0.10097999999999999</v>
      </c>
      <c r="S57" s="18" t="s">
        <v>38</v>
      </c>
      <c r="T57" s="18" t="s">
        <v>43</v>
      </c>
      <c r="U57" s="18" t="s">
        <v>144</v>
      </c>
      <c r="V57" s="18">
        <v>230000</v>
      </c>
      <c r="W57" s="18">
        <v>0.11</v>
      </c>
      <c r="X57" s="18">
        <v>3400</v>
      </c>
      <c r="Y57" s="18">
        <v>50</v>
      </c>
      <c r="Z57" s="18">
        <v>100</v>
      </c>
      <c r="AA57" s="20">
        <f t="shared" si="6"/>
        <v>318</v>
      </c>
      <c r="AB57" s="18">
        <v>90</v>
      </c>
      <c r="AC57" s="18">
        <v>45</v>
      </c>
      <c r="AD57" s="18">
        <v>272.8</v>
      </c>
      <c r="AE57" s="18">
        <v>85.25</v>
      </c>
    </row>
    <row r="58" spans="1:31" x14ac:dyDescent="0.25">
      <c r="A58" s="2">
        <v>55</v>
      </c>
      <c r="B58" s="32"/>
      <c r="C58" s="18" t="s">
        <v>215</v>
      </c>
      <c r="D58" s="18">
        <v>44.1</v>
      </c>
      <c r="E58" s="18">
        <v>140</v>
      </c>
      <c r="F58" s="18">
        <v>600</v>
      </c>
      <c r="G58" s="17">
        <v>520</v>
      </c>
      <c r="H58" s="18">
        <v>600</v>
      </c>
      <c r="I58" s="18">
        <v>150</v>
      </c>
      <c r="J58" s="18" t="s">
        <v>86</v>
      </c>
      <c r="K58" s="48">
        <v>1550</v>
      </c>
      <c r="L58" s="19">
        <f t="shared" si="5"/>
        <v>2.9807692307692308</v>
      </c>
      <c r="M58" s="18" t="s">
        <v>52</v>
      </c>
      <c r="N58" s="18">
        <v>6</v>
      </c>
      <c r="O58" s="18">
        <v>400</v>
      </c>
      <c r="P58" s="18">
        <v>200000</v>
      </c>
      <c r="Q58" s="18">
        <v>520</v>
      </c>
      <c r="R58" s="18">
        <f>100*2*3.1416*N58^2/4/O58/E58</f>
        <v>0.10097999999999999</v>
      </c>
      <c r="S58" s="18" t="s">
        <v>106</v>
      </c>
      <c r="T58" s="18" t="s">
        <v>39</v>
      </c>
      <c r="U58" s="18" t="s">
        <v>144</v>
      </c>
      <c r="V58" s="18">
        <v>17700</v>
      </c>
      <c r="W58" s="18">
        <v>1.8</v>
      </c>
      <c r="X58" s="18">
        <v>106</v>
      </c>
      <c r="Y58" s="18">
        <v>1</v>
      </c>
      <c r="Z58" s="18">
        <v>1</v>
      </c>
      <c r="AA58" s="20">
        <f t="shared" si="6"/>
        <v>318</v>
      </c>
      <c r="AB58" s="18">
        <v>90</v>
      </c>
      <c r="AC58" s="18">
        <v>45</v>
      </c>
      <c r="AD58" s="18">
        <v>297.45</v>
      </c>
      <c r="AE58" s="18">
        <v>109.9</v>
      </c>
    </row>
    <row r="59" spans="1:31" x14ac:dyDescent="0.25">
      <c r="A59" s="2">
        <v>56</v>
      </c>
      <c r="B59" s="20"/>
      <c r="C59" s="18" t="s">
        <v>216</v>
      </c>
      <c r="D59" s="18">
        <v>37.200000000000003</v>
      </c>
      <c r="E59" s="18">
        <v>300</v>
      </c>
      <c r="F59" s="18">
        <v>300</v>
      </c>
      <c r="G59" s="18">
        <v>245</v>
      </c>
      <c r="H59" s="18">
        <v>300</v>
      </c>
      <c r="I59" s="18">
        <v>55</v>
      </c>
      <c r="J59" s="18" t="s">
        <v>36</v>
      </c>
      <c r="K59" s="48">
        <v>1000</v>
      </c>
      <c r="L59" s="19">
        <f t="shared" si="5"/>
        <v>4.0816326530612246</v>
      </c>
      <c r="M59" s="18" t="s">
        <v>37</v>
      </c>
      <c r="N59" s="18"/>
      <c r="O59" s="18"/>
      <c r="P59" s="18"/>
      <c r="Q59" s="18"/>
      <c r="R59" s="18"/>
      <c r="S59" s="18" t="s">
        <v>38</v>
      </c>
      <c r="T59" s="18" t="s">
        <v>39</v>
      </c>
      <c r="U59" s="18" t="s">
        <v>144</v>
      </c>
      <c r="V59" s="18">
        <v>230000</v>
      </c>
      <c r="W59" s="18">
        <v>0.16700000000000001</v>
      </c>
      <c r="X59" s="18">
        <v>3400</v>
      </c>
      <c r="Y59" s="18">
        <v>1</v>
      </c>
      <c r="Z59" s="18">
        <v>1</v>
      </c>
      <c r="AA59" s="20">
        <f t="shared" si="6"/>
        <v>165.5</v>
      </c>
      <c r="AB59" s="18">
        <v>90</v>
      </c>
      <c r="AC59" s="18">
        <v>45</v>
      </c>
      <c r="AD59" s="18">
        <v>165</v>
      </c>
      <c r="AE59" s="18">
        <v>53</v>
      </c>
    </row>
    <row r="60" spans="1:31" x14ac:dyDescent="0.25">
      <c r="A60" s="2">
        <v>57</v>
      </c>
      <c r="B60" s="20" t="s">
        <v>217</v>
      </c>
      <c r="C60" s="18" t="s">
        <v>218</v>
      </c>
      <c r="D60" s="18">
        <v>39.6</v>
      </c>
      <c r="E60" s="18">
        <v>300</v>
      </c>
      <c r="F60" s="18">
        <v>300</v>
      </c>
      <c r="G60" s="18">
        <v>245</v>
      </c>
      <c r="H60" s="18">
        <v>300</v>
      </c>
      <c r="I60" s="18">
        <v>55</v>
      </c>
      <c r="J60" s="18" t="s">
        <v>36</v>
      </c>
      <c r="K60" s="48">
        <v>1000</v>
      </c>
      <c r="L60" s="19">
        <f t="shared" si="5"/>
        <v>4.0816326530612246</v>
      </c>
      <c r="M60" s="18" t="s">
        <v>37</v>
      </c>
      <c r="N60" s="18"/>
      <c r="O60" s="18"/>
      <c r="P60" s="18"/>
      <c r="Q60" s="18"/>
      <c r="R60" s="18"/>
      <c r="S60" s="18" t="s">
        <v>140</v>
      </c>
      <c r="T60" s="18" t="s">
        <v>39</v>
      </c>
      <c r="U60" s="18" t="s">
        <v>144</v>
      </c>
      <c r="V60" s="18">
        <v>120000</v>
      </c>
      <c r="W60" s="18">
        <v>0.28599999999999998</v>
      </c>
      <c r="X60" s="18">
        <v>2000</v>
      </c>
      <c r="Y60" s="18">
        <v>1</v>
      </c>
      <c r="Z60" s="18">
        <v>1</v>
      </c>
      <c r="AA60" s="20">
        <f t="shared" si="6"/>
        <v>165.5</v>
      </c>
      <c r="AB60" s="18">
        <v>90</v>
      </c>
      <c r="AC60" s="18">
        <v>45</v>
      </c>
      <c r="AD60" s="18">
        <v>155</v>
      </c>
      <c r="AE60" s="18">
        <v>43</v>
      </c>
    </row>
    <row r="61" spans="1:31" x14ac:dyDescent="0.25">
      <c r="A61" s="53">
        <v>58</v>
      </c>
      <c r="B61" s="54"/>
      <c r="C61" s="53" t="s">
        <v>284</v>
      </c>
      <c r="D61" s="53">
        <v>39.58</v>
      </c>
      <c r="E61" s="53">
        <v>100</v>
      </c>
      <c r="F61" s="53">
        <v>260</v>
      </c>
      <c r="G61" s="53">
        <v>225</v>
      </c>
      <c r="H61" s="53">
        <v>260</v>
      </c>
      <c r="I61" s="53">
        <v>60</v>
      </c>
      <c r="J61" s="53" t="s">
        <v>86</v>
      </c>
      <c r="K61" s="53">
        <v>733</v>
      </c>
      <c r="L61" s="55">
        <f t="shared" si="5"/>
        <v>3.2577777777777777</v>
      </c>
      <c r="M61" s="53" t="s">
        <v>37</v>
      </c>
      <c r="N61" s="53">
        <v>0</v>
      </c>
      <c r="O61" s="54"/>
      <c r="P61" s="54"/>
      <c r="Q61" s="54"/>
      <c r="R61" s="54"/>
      <c r="S61" s="53" t="s">
        <v>106</v>
      </c>
      <c r="T61" s="53" t="s">
        <v>39</v>
      </c>
      <c r="U61" s="53" t="s">
        <v>144</v>
      </c>
      <c r="V61" s="56">
        <v>13180</v>
      </c>
      <c r="W61" s="53">
        <v>0.36</v>
      </c>
      <c r="X61" s="53">
        <v>160</v>
      </c>
      <c r="Y61" s="53">
        <v>1</v>
      </c>
      <c r="Z61" s="53">
        <v>1</v>
      </c>
      <c r="AA61" s="53">
        <f t="shared" ref="AA61:AA119" si="9">0.9*G61-I61</f>
        <v>142.5</v>
      </c>
      <c r="AB61" s="53">
        <v>90</v>
      </c>
      <c r="AC61" s="57">
        <v>45</v>
      </c>
      <c r="AD61" s="53">
        <v>66</v>
      </c>
      <c r="AE61" s="53">
        <v>16</v>
      </c>
    </row>
    <row r="62" spans="1:31" x14ac:dyDescent="0.25">
      <c r="A62" s="58">
        <v>59</v>
      </c>
      <c r="B62" s="58" t="s">
        <v>280</v>
      </c>
      <c r="C62" s="58" t="s">
        <v>285</v>
      </c>
      <c r="D62" s="58">
        <v>40.380000000000003</v>
      </c>
      <c r="E62" s="58">
        <v>100</v>
      </c>
      <c r="F62" s="58">
        <v>260</v>
      </c>
      <c r="G62" s="58">
        <v>225</v>
      </c>
      <c r="H62" s="58">
        <v>260</v>
      </c>
      <c r="I62" s="58">
        <v>60</v>
      </c>
      <c r="J62" s="58" t="s">
        <v>86</v>
      </c>
      <c r="K62" s="58">
        <v>733</v>
      </c>
      <c r="L62" s="59">
        <f t="shared" si="5"/>
        <v>3.2577777777777777</v>
      </c>
      <c r="M62" s="58" t="s">
        <v>52</v>
      </c>
      <c r="N62" s="58">
        <v>6</v>
      </c>
      <c r="O62" s="58">
        <v>200</v>
      </c>
      <c r="P62" s="58">
        <v>200000</v>
      </c>
      <c r="Q62" s="58">
        <v>252</v>
      </c>
      <c r="R62" s="24">
        <f>100*2*3.1416*N62^2/4/O62/E62</f>
        <v>0.28274399999999994</v>
      </c>
      <c r="S62" s="58" t="s">
        <v>106</v>
      </c>
      <c r="T62" s="58" t="s">
        <v>39</v>
      </c>
      <c r="U62" s="58" t="s">
        <v>144</v>
      </c>
      <c r="V62" s="60">
        <v>13180</v>
      </c>
      <c r="W62" s="58">
        <v>0.36</v>
      </c>
      <c r="X62" s="58">
        <v>160</v>
      </c>
      <c r="Y62" s="58">
        <v>1</v>
      </c>
      <c r="Z62" s="58">
        <v>1</v>
      </c>
      <c r="AA62" s="58">
        <f t="shared" si="9"/>
        <v>142.5</v>
      </c>
      <c r="AB62" s="58">
        <v>90</v>
      </c>
      <c r="AC62" s="24">
        <v>45</v>
      </c>
      <c r="AD62" s="58">
        <v>94</v>
      </c>
      <c r="AE62" s="58">
        <v>19.5</v>
      </c>
    </row>
    <row r="63" spans="1:31" x14ac:dyDescent="0.25">
      <c r="A63" s="58">
        <v>60</v>
      </c>
      <c r="B63" s="61"/>
      <c r="C63" s="58" t="s">
        <v>286</v>
      </c>
      <c r="D63" s="58">
        <v>42.08</v>
      </c>
      <c r="E63" s="58">
        <v>100</v>
      </c>
      <c r="F63" s="58">
        <v>260</v>
      </c>
      <c r="G63" s="58">
        <v>225</v>
      </c>
      <c r="H63" s="58">
        <v>260</v>
      </c>
      <c r="I63" s="58">
        <v>60</v>
      </c>
      <c r="J63" s="58" t="s">
        <v>86</v>
      </c>
      <c r="K63" s="58">
        <v>733</v>
      </c>
      <c r="L63" s="59">
        <f t="shared" si="5"/>
        <v>3.2577777777777777</v>
      </c>
      <c r="M63" s="58" t="s">
        <v>52</v>
      </c>
      <c r="N63" s="58">
        <v>6</v>
      </c>
      <c r="O63" s="58">
        <v>300</v>
      </c>
      <c r="P63" s="58">
        <v>200000</v>
      </c>
      <c r="Q63" s="58">
        <v>252</v>
      </c>
      <c r="R63" s="24">
        <f>100*2*3.1416*N63^2/4/O63/E63</f>
        <v>0.188496</v>
      </c>
      <c r="S63" s="58" t="s">
        <v>106</v>
      </c>
      <c r="T63" s="58" t="s">
        <v>39</v>
      </c>
      <c r="U63" s="58" t="s">
        <v>144</v>
      </c>
      <c r="V63" s="60">
        <v>13180</v>
      </c>
      <c r="W63" s="58">
        <v>0.36</v>
      </c>
      <c r="X63" s="58">
        <v>160</v>
      </c>
      <c r="Y63" s="58">
        <v>1</v>
      </c>
      <c r="Z63" s="58">
        <v>1</v>
      </c>
      <c r="AA63" s="58">
        <f t="shared" si="9"/>
        <v>142.5</v>
      </c>
      <c r="AB63" s="58">
        <v>90</v>
      </c>
      <c r="AC63" s="24">
        <v>45</v>
      </c>
      <c r="AD63" s="58">
        <v>90</v>
      </c>
      <c r="AE63" s="58">
        <v>14</v>
      </c>
    </row>
    <row r="64" spans="1:31" ht="16.5" customHeight="1" x14ac:dyDescent="0.25">
      <c r="A64" s="57">
        <v>61</v>
      </c>
      <c r="B64" s="54" t="s">
        <v>296</v>
      </c>
      <c r="C64" s="57" t="s">
        <v>297</v>
      </c>
      <c r="D64" s="57">
        <v>22.7</v>
      </c>
      <c r="E64" s="57">
        <v>140</v>
      </c>
      <c r="F64" s="57">
        <v>300</v>
      </c>
      <c r="G64" s="57">
        <v>254</v>
      </c>
      <c r="H64" s="57">
        <v>300</v>
      </c>
      <c r="I64" s="57">
        <v>80</v>
      </c>
      <c r="J64" s="57" t="s">
        <v>86</v>
      </c>
      <c r="K64" s="57">
        <v>500</v>
      </c>
      <c r="L64" s="64">
        <f t="shared" ref="L64:L95" si="10">K64/G64</f>
        <v>1.9685039370078741</v>
      </c>
      <c r="M64" s="57" t="s">
        <v>37</v>
      </c>
      <c r="N64" s="57">
        <v>0</v>
      </c>
      <c r="O64" s="54"/>
      <c r="P64" s="57"/>
      <c r="Q64" s="53"/>
      <c r="R64" s="54"/>
      <c r="S64" s="57" t="s">
        <v>38</v>
      </c>
      <c r="T64" s="57" t="s">
        <v>39</v>
      </c>
      <c r="U64" s="57" t="s">
        <v>144</v>
      </c>
      <c r="V64" s="65">
        <v>230000</v>
      </c>
      <c r="W64" s="53">
        <f>0.115*2</f>
        <v>0.23</v>
      </c>
      <c r="X64" s="57">
        <v>3790</v>
      </c>
      <c r="Y64" s="57">
        <v>1</v>
      </c>
      <c r="Z64" s="57">
        <v>1</v>
      </c>
      <c r="AA64" s="53">
        <f t="shared" si="9"/>
        <v>148.6</v>
      </c>
      <c r="AB64" s="57">
        <v>90</v>
      </c>
      <c r="AC64" s="57">
        <v>45</v>
      </c>
      <c r="AD64" s="57">
        <v>103</v>
      </c>
      <c r="AE64" s="53">
        <f>AD64-74</f>
        <v>29</v>
      </c>
    </row>
    <row r="65" spans="1:31" x14ac:dyDescent="0.25">
      <c r="A65" s="57">
        <v>62</v>
      </c>
      <c r="B65" s="54"/>
      <c r="C65" s="57" t="s">
        <v>299</v>
      </c>
      <c r="D65" s="57">
        <v>37.9</v>
      </c>
      <c r="E65" s="57">
        <f t="shared" ref="E65:E74" si="11">(83+170)/2</f>
        <v>126.5</v>
      </c>
      <c r="F65" s="57">
        <v>446</v>
      </c>
      <c r="G65" s="57">
        <f t="shared" ref="G65:G74" si="12">(321+365)/2</f>
        <v>343</v>
      </c>
      <c r="H65" s="57">
        <v>446</v>
      </c>
      <c r="I65" s="57">
        <v>90</v>
      </c>
      <c r="J65" s="57" t="s">
        <v>86</v>
      </c>
      <c r="K65" s="57">
        <v>686</v>
      </c>
      <c r="L65" s="64">
        <f t="shared" si="10"/>
        <v>2</v>
      </c>
      <c r="M65" s="57" t="s">
        <v>18</v>
      </c>
      <c r="N65" s="57">
        <v>9.5</v>
      </c>
      <c r="O65" s="71">
        <v>140</v>
      </c>
      <c r="P65" s="53">
        <v>203000</v>
      </c>
      <c r="Q65" s="53">
        <v>441</v>
      </c>
      <c r="R65" s="57">
        <f t="shared" ref="R65:R106" si="13">100*2*3.1416*N65^2/4/O65/E65</f>
        <v>0.80047826086956519</v>
      </c>
      <c r="S65" s="57" t="s">
        <v>38</v>
      </c>
      <c r="T65" s="57" t="s">
        <v>39</v>
      </c>
      <c r="U65" s="57" t="s">
        <v>144</v>
      </c>
      <c r="V65" s="65">
        <v>231000</v>
      </c>
      <c r="W65" s="57">
        <v>2</v>
      </c>
      <c r="X65" s="57">
        <v>3650</v>
      </c>
      <c r="Y65" s="57">
        <v>1</v>
      </c>
      <c r="Z65" s="57">
        <v>1</v>
      </c>
      <c r="AA65" s="53">
        <f t="shared" si="9"/>
        <v>218.7</v>
      </c>
      <c r="AB65" s="57">
        <v>90</v>
      </c>
      <c r="AC65" s="57">
        <v>45</v>
      </c>
      <c r="AD65" s="53">
        <f>0.839*320</f>
        <v>268.48</v>
      </c>
      <c r="AE65" s="53">
        <f>31*0.839</f>
        <v>26.009</v>
      </c>
    </row>
    <row r="66" spans="1:31" x14ac:dyDescent="0.25">
      <c r="A66" s="24">
        <v>63</v>
      </c>
      <c r="C66" s="24" t="s">
        <v>300</v>
      </c>
      <c r="D66" s="24">
        <v>37.9</v>
      </c>
      <c r="E66" s="24">
        <f t="shared" si="11"/>
        <v>126.5</v>
      </c>
      <c r="F66" s="24">
        <v>446</v>
      </c>
      <c r="G66" s="24">
        <f t="shared" si="12"/>
        <v>343</v>
      </c>
      <c r="H66" s="24">
        <v>446</v>
      </c>
      <c r="I66" s="24">
        <v>90</v>
      </c>
      <c r="J66" s="24" t="s">
        <v>86</v>
      </c>
      <c r="K66" s="24">
        <v>686</v>
      </c>
      <c r="L66" s="62">
        <f t="shared" si="10"/>
        <v>2</v>
      </c>
      <c r="M66" s="24" t="s">
        <v>18</v>
      </c>
      <c r="N66" s="24">
        <v>9.5</v>
      </c>
      <c r="O66" s="70">
        <v>140</v>
      </c>
      <c r="P66" s="58">
        <v>203000</v>
      </c>
      <c r="Q66" s="58">
        <v>441</v>
      </c>
      <c r="R66" s="24">
        <f t="shared" si="13"/>
        <v>0.80047826086956519</v>
      </c>
      <c r="S66" s="24" t="s">
        <v>38</v>
      </c>
      <c r="T66" s="24" t="s">
        <v>39</v>
      </c>
      <c r="U66" s="24" t="s">
        <v>144</v>
      </c>
      <c r="V66" s="63">
        <v>231000</v>
      </c>
      <c r="W66" s="24">
        <f>2*2</f>
        <v>4</v>
      </c>
      <c r="X66" s="24">
        <v>3650</v>
      </c>
      <c r="Y66" s="24">
        <v>1</v>
      </c>
      <c r="Z66" s="24">
        <v>1</v>
      </c>
      <c r="AA66" s="58">
        <f t="shared" si="9"/>
        <v>218.7</v>
      </c>
      <c r="AB66" s="24">
        <v>90</v>
      </c>
      <c r="AC66" s="24">
        <v>45</v>
      </c>
      <c r="AD66" s="58">
        <f>0.839*343</f>
        <v>287.77699999999999</v>
      </c>
      <c r="AE66" s="58">
        <f>0.839*54</f>
        <v>45.305999999999997</v>
      </c>
    </row>
    <row r="67" spans="1:31" x14ac:dyDescent="0.25">
      <c r="A67" s="24">
        <v>64</v>
      </c>
      <c r="C67" s="24" t="s">
        <v>301</v>
      </c>
      <c r="D67" s="24">
        <v>37.9</v>
      </c>
      <c r="E67" s="24">
        <f t="shared" si="11"/>
        <v>126.5</v>
      </c>
      <c r="F67" s="24">
        <v>446</v>
      </c>
      <c r="G67" s="24">
        <f t="shared" si="12"/>
        <v>343</v>
      </c>
      <c r="H67" s="24">
        <v>446</v>
      </c>
      <c r="I67" s="24">
        <v>90</v>
      </c>
      <c r="J67" s="24" t="s">
        <v>86</v>
      </c>
      <c r="K67" s="24">
        <v>686</v>
      </c>
      <c r="L67" s="62">
        <f t="shared" si="10"/>
        <v>2</v>
      </c>
      <c r="M67" s="24" t="s">
        <v>18</v>
      </c>
      <c r="N67" s="24">
        <v>9.5</v>
      </c>
      <c r="O67" s="70">
        <v>203</v>
      </c>
      <c r="P67" s="58">
        <v>203000</v>
      </c>
      <c r="Q67" s="58">
        <v>441</v>
      </c>
      <c r="R67" s="24">
        <f t="shared" si="13"/>
        <v>0.55205397301349324</v>
      </c>
      <c r="S67" s="24" t="s">
        <v>38</v>
      </c>
      <c r="T67" s="24" t="s">
        <v>39</v>
      </c>
      <c r="U67" s="24" t="s">
        <v>144</v>
      </c>
      <c r="V67" s="63">
        <v>231000</v>
      </c>
      <c r="W67" s="24">
        <v>2</v>
      </c>
      <c r="X67" s="24">
        <v>3650</v>
      </c>
      <c r="Y67" s="24">
        <v>1</v>
      </c>
      <c r="Z67" s="24">
        <v>1</v>
      </c>
      <c r="AA67" s="58">
        <f t="shared" si="9"/>
        <v>218.7</v>
      </c>
      <c r="AB67" s="24">
        <v>90</v>
      </c>
      <c r="AC67" s="24">
        <v>45</v>
      </c>
      <c r="AD67" s="58">
        <f>0.839*298</f>
        <v>250.02199999999999</v>
      </c>
      <c r="AE67" s="58">
        <f>0.839*31</f>
        <v>26.009</v>
      </c>
    </row>
    <row r="68" spans="1:31" x14ac:dyDescent="0.25">
      <c r="A68" s="24">
        <v>65</v>
      </c>
      <c r="C68" s="24" t="s">
        <v>302</v>
      </c>
      <c r="D68" s="24">
        <v>37.9</v>
      </c>
      <c r="E68" s="24">
        <f t="shared" si="11"/>
        <v>126.5</v>
      </c>
      <c r="F68" s="24">
        <v>446</v>
      </c>
      <c r="G68" s="24">
        <f t="shared" si="12"/>
        <v>343</v>
      </c>
      <c r="H68" s="24">
        <v>446</v>
      </c>
      <c r="I68" s="24">
        <v>90</v>
      </c>
      <c r="J68" s="24" t="s">
        <v>86</v>
      </c>
      <c r="K68" s="24">
        <v>686</v>
      </c>
      <c r="L68" s="62">
        <f t="shared" si="10"/>
        <v>2</v>
      </c>
      <c r="M68" s="24" t="s">
        <v>18</v>
      </c>
      <c r="N68" s="24">
        <v>9.5</v>
      </c>
      <c r="O68" s="70">
        <v>203</v>
      </c>
      <c r="P68" s="58">
        <v>203000</v>
      </c>
      <c r="Q68" s="58">
        <v>441</v>
      </c>
      <c r="R68" s="24">
        <f t="shared" si="13"/>
        <v>0.55205397301349324</v>
      </c>
      <c r="S68" s="24" t="s">
        <v>38</v>
      </c>
      <c r="T68" s="24" t="s">
        <v>39</v>
      </c>
      <c r="U68" s="24" t="s">
        <v>144</v>
      </c>
      <c r="V68" s="63">
        <v>231000</v>
      </c>
      <c r="W68" s="24">
        <v>4</v>
      </c>
      <c r="X68" s="24">
        <v>3650</v>
      </c>
      <c r="Y68" s="24">
        <v>1</v>
      </c>
      <c r="Z68" s="24">
        <v>1</v>
      </c>
      <c r="AA68" s="58">
        <f t="shared" si="9"/>
        <v>218.7</v>
      </c>
      <c r="AB68" s="24">
        <v>90</v>
      </c>
      <c r="AC68" s="24">
        <v>45</v>
      </c>
      <c r="AD68" s="58">
        <f>0.839*329</f>
        <v>276.03100000000001</v>
      </c>
      <c r="AE68" s="58">
        <f>0.839*62</f>
        <v>52.018000000000001</v>
      </c>
    </row>
    <row r="69" spans="1:31" x14ac:dyDescent="0.25">
      <c r="A69" s="24">
        <v>66</v>
      </c>
      <c r="B69" s="66" t="s">
        <v>298</v>
      </c>
      <c r="C69" s="24" t="s">
        <v>303</v>
      </c>
      <c r="D69" s="24">
        <v>37.9</v>
      </c>
      <c r="E69" s="24">
        <f t="shared" si="11"/>
        <v>126.5</v>
      </c>
      <c r="F69" s="24">
        <v>446</v>
      </c>
      <c r="G69" s="24">
        <f t="shared" si="12"/>
        <v>343</v>
      </c>
      <c r="H69" s="24">
        <v>446</v>
      </c>
      <c r="I69" s="24">
        <v>90</v>
      </c>
      <c r="J69" s="24" t="s">
        <v>86</v>
      </c>
      <c r="K69" s="24">
        <v>686</v>
      </c>
      <c r="L69" s="62">
        <f t="shared" si="10"/>
        <v>2</v>
      </c>
      <c r="M69" s="24" t="s">
        <v>18</v>
      </c>
      <c r="N69" s="24">
        <v>9.5</v>
      </c>
      <c r="O69" s="70">
        <v>203</v>
      </c>
      <c r="P69" s="58">
        <v>203000</v>
      </c>
      <c r="Q69" s="58">
        <v>441</v>
      </c>
      <c r="R69" s="24">
        <f t="shared" si="13"/>
        <v>0.55205397301349324</v>
      </c>
      <c r="S69" s="24" t="s">
        <v>38</v>
      </c>
      <c r="T69" s="24" t="s">
        <v>39</v>
      </c>
      <c r="U69" s="24" t="s">
        <v>144</v>
      </c>
      <c r="V69" s="63">
        <v>231000</v>
      </c>
      <c r="W69" s="24">
        <v>6</v>
      </c>
      <c r="X69" s="24">
        <v>3650</v>
      </c>
      <c r="Y69" s="24">
        <v>1</v>
      </c>
      <c r="Z69" s="24">
        <v>1</v>
      </c>
      <c r="AA69" s="58">
        <f t="shared" si="9"/>
        <v>218.7</v>
      </c>
      <c r="AB69" s="24">
        <v>90</v>
      </c>
      <c r="AC69" s="24">
        <v>45</v>
      </c>
      <c r="AD69" s="58">
        <f>0.839*352</f>
        <v>295.32799999999997</v>
      </c>
      <c r="AE69" s="58">
        <f>0.839*85</f>
        <v>71.314999999999998</v>
      </c>
    </row>
    <row r="70" spans="1:31" x14ac:dyDescent="0.25">
      <c r="A70" s="24">
        <v>67</v>
      </c>
      <c r="C70" s="24" t="s">
        <v>304</v>
      </c>
      <c r="D70" s="24">
        <v>37.9</v>
      </c>
      <c r="E70" s="24">
        <f t="shared" si="11"/>
        <v>126.5</v>
      </c>
      <c r="F70" s="24">
        <v>446</v>
      </c>
      <c r="G70" s="24">
        <f t="shared" si="12"/>
        <v>343</v>
      </c>
      <c r="H70" s="24">
        <v>446</v>
      </c>
      <c r="I70" s="24">
        <v>90</v>
      </c>
      <c r="J70" s="24" t="s">
        <v>86</v>
      </c>
      <c r="K70" s="24">
        <v>686</v>
      </c>
      <c r="L70" s="62">
        <f t="shared" si="10"/>
        <v>2</v>
      </c>
      <c r="M70" s="24" t="s">
        <v>18</v>
      </c>
      <c r="N70" s="24">
        <v>9.5</v>
      </c>
      <c r="O70" s="70">
        <v>406</v>
      </c>
      <c r="P70" s="58">
        <v>203000</v>
      </c>
      <c r="Q70" s="58">
        <v>441</v>
      </c>
      <c r="R70" s="24">
        <f t="shared" si="13"/>
        <v>0.27602698650674662</v>
      </c>
      <c r="S70" s="24" t="s">
        <v>38</v>
      </c>
      <c r="T70" s="24" t="s">
        <v>39</v>
      </c>
      <c r="U70" s="24" t="s">
        <v>144</v>
      </c>
      <c r="V70" s="63">
        <v>231000</v>
      </c>
      <c r="W70" s="24">
        <v>2</v>
      </c>
      <c r="X70" s="24">
        <v>3650</v>
      </c>
      <c r="Y70" s="24">
        <v>1</v>
      </c>
      <c r="Z70" s="24">
        <v>1</v>
      </c>
      <c r="AA70" s="58">
        <f t="shared" si="9"/>
        <v>218.7</v>
      </c>
      <c r="AB70" s="24">
        <v>90</v>
      </c>
      <c r="AC70" s="24">
        <v>45</v>
      </c>
      <c r="AD70" s="58">
        <f>0.839*276</f>
        <v>231.56399999999999</v>
      </c>
      <c r="AE70" s="58">
        <f>0.839*40</f>
        <v>33.56</v>
      </c>
    </row>
    <row r="71" spans="1:31" x14ac:dyDescent="0.25">
      <c r="A71" s="24">
        <v>68</v>
      </c>
      <c r="C71" s="24" t="s">
        <v>305</v>
      </c>
      <c r="D71" s="24">
        <v>37.9</v>
      </c>
      <c r="E71" s="24">
        <f t="shared" si="11"/>
        <v>126.5</v>
      </c>
      <c r="F71" s="24">
        <v>446</v>
      </c>
      <c r="G71" s="24">
        <f t="shared" si="12"/>
        <v>343</v>
      </c>
      <c r="H71" s="24">
        <v>446</v>
      </c>
      <c r="I71" s="24">
        <v>90</v>
      </c>
      <c r="J71" s="24" t="s">
        <v>86</v>
      </c>
      <c r="K71" s="24">
        <v>686</v>
      </c>
      <c r="L71" s="62">
        <f t="shared" si="10"/>
        <v>2</v>
      </c>
      <c r="M71" s="24" t="s">
        <v>18</v>
      </c>
      <c r="N71" s="24">
        <v>9.5</v>
      </c>
      <c r="O71" s="70">
        <v>406</v>
      </c>
      <c r="P71" s="58">
        <v>203000</v>
      </c>
      <c r="Q71" s="58">
        <v>441</v>
      </c>
      <c r="R71" s="24">
        <f t="shared" si="13"/>
        <v>0.27602698650674662</v>
      </c>
      <c r="S71" s="24" t="s">
        <v>38</v>
      </c>
      <c r="T71" s="24" t="s">
        <v>39</v>
      </c>
      <c r="U71" s="24" t="s">
        <v>144</v>
      </c>
      <c r="V71" s="63">
        <v>231000</v>
      </c>
      <c r="W71" s="24">
        <v>4</v>
      </c>
      <c r="X71" s="24">
        <v>3650</v>
      </c>
      <c r="Y71" s="24">
        <v>1</v>
      </c>
      <c r="Z71" s="24">
        <v>1</v>
      </c>
      <c r="AA71" s="58">
        <f t="shared" si="9"/>
        <v>218.7</v>
      </c>
      <c r="AB71" s="24">
        <v>90</v>
      </c>
      <c r="AC71" s="24">
        <v>45</v>
      </c>
      <c r="AD71" s="58">
        <f>0.839*320</f>
        <v>268.48</v>
      </c>
      <c r="AE71" s="58">
        <f>0.839*84</f>
        <v>70.475999999999999</v>
      </c>
    </row>
    <row r="72" spans="1:31" x14ac:dyDescent="0.25">
      <c r="A72" s="24">
        <v>69</v>
      </c>
      <c r="C72" s="24" t="s">
        <v>306</v>
      </c>
      <c r="D72" s="24">
        <v>37.9</v>
      </c>
      <c r="E72" s="24">
        <f t="shared" si="11"/>
        <v>126.5</v>
      </c>
      <c r="F72" s="24">
        <v>446</v>
      </c>
      <c r="G72" s="24">
        <f t="shared" si="12"/>
        <v>343</v>
      </c>
      <c r="H72" s="24">
        <v>446</v>
      </c>
      <c r="I72" s="24">
        <v>90</v>
      </c>
      <c r="J72" s="24" t="s">
        <v>86</v>
      </c>
      <c r="K72" s="24">
        <v>686</v>
      </c>
      <c r="L72" s="62">
        <f t="shared" si="10"/>
        <v>2</v>
      </c>
      <c r="M72" s="24" t="s">
        <v>18</v>
      </c>
      <c r="N72" s="24">
        <v>9.5</v>
      </c>
      <c r="O72" s="70">
        <v>610</v>
      </c>
      <c r="P72" s="58">
        <v>203000</v>
      </c>
      <c r="Q72" s="58">
        <v>441</v>
      </c>
      <c r="R72" s="24">
        <f t="shared" si="13"/>
        <v>0.18371632216678546</v>
      </c>
      <c r="S72" s="24" t="s">
        <v>38</v>
      </c>
      <c r="T72" s="24" t="s">
        <v>39</v>
      </c>
      <c r="U72" s="24" t="s">
        <v>144</v>
      </c>
      <c r="V72" s="63">
        <v>231000</v>
      </c>
      <c r="W72" s="24">
        <v>2</v>
      </c>
      <c r="X72" s="24">
        <v>3650</v>
      </c>
      <c r="Y72" s="24">
        <v>1</v>
      </c>
      <c r="Z72" s="24">
        <v>1</v>
      </c>
      <c r="AA72" s="58">
        <f t="shared" si="9"/>
        <v>218.7</v>
      </c>
      <c r="AB72" s="24">
        <v>90</v>
      </c>
      <c r="AC72" s="24">
        <v>45</v>
      </c>
      <c r="AD72" s="58">
        <f>0.839*258</f>
        <v>216.46199999999999</v>
      </c>
      <c r="AE72" s="58">
        <f>0.839*53</f>
        <v>44.466999999999999</v>
      </c>
    </row>
    <row r="73" spans="1:31" x14ac:dyDescent="0.25">
      <c r="A73" s="24">
        <v>70</v>
      </c>
      <c r="C73" s="24" t="s">
        <v>307</v>
      </c>
      <c r="D73" s="24">
        <v>37.9</v>
      </c>
      <c r="E73" s="24">
        <f t="shared" si="11"/>
        <v>126.5</v>
      </c>
      <c r="F73" s="24">
        <v>446</v>
      </c>
      <c r="G73" s="24">
        <f t="shared" si="12"/>
        <v>343</v>
      </c>
      <c r="H73" s="24">
        <v>446</v>
      </c>
      <c r="I73" s="24">
        <v>90</v>
      </c>
      <c r="J73" s="24" t="s">
        <v>86</v>
      </c>
      <c r="K73" s="24">
        <v>686</v>
      </c>
      <c r="L73" s="62">
        <f t="shared" si="10"/>
        <v>2</v>
      </c>
      <c r="M73" s="24" t="s">
        <v>18</v>
      </c>
      <c r="N73" s="24">
        <v>9.5</v>
      </c>
      <c r="O73" s="70">
        <v>610</v>
      </c>
      <c r="P73" s="58">
        <v>203000</v>
      </c>
      <c r="Q73" s="58">
        <v>441</v>
      </c>
      <c r="R73" s="24">
        <f t="shared" si="13"/>
        <v>0.18371632216678546</v>
      </c>
      <c r="S73" s="24" t="s">
        <v>38</v>
      </c>
      <c r="T73" s="24" t="s">
        <v>39</v>
      </c>
      <c r="U73" s="24" t="s">
        <v>144</v>
      </c>
      <c r="V73" s="63">
        <v>231000</v>
      </c>
      <c r="W73" s="24">
        <v>4</v>
      </c>
      <c r="X73" s="24">
        <v>3650</v>
      </c>
      <c r="Y73" s="24">
        <v>1</v>
      </c>
      <c r="Z73" s="24">
        <v>1</v>
      </c>
      <c r="AA73" s="58">
        <f t="shared" si="9"/>
        <v>218.7</v>
      </c>
      <c r="AB73" s="24">
        <v>90</v>
      </c>
      <c r="AC73" s="24">
        <v>45</v>
      </c>
      <c r="AD73" s="58">
        <f>0.839*254</f>
        <v>213.10599999999999</v>
      </c>
      <c r="AE73" s="58">
        <f>0.839*49</f>
        <v>41.110999999999997</v>
      </c>
    </row>
    <row r="74" spans="1:31" x14ac:dyDescent="0.25">
      <c r="A74" s="24">
        <v>71</v>
      </c>
      <c r="C74" s="24" t="s">
        <v>308</v>
      </c>
      <c r="D74" s="24">
        <v>37.9</v>
      </c>
      <c r="E74" s="24">
        <f t="shared" si="11"/>
        <v>126.5</v>
      </c>
      <c r="F74" s="24">
        <v>446</v>
      </c>
      <c r="G74" s="24">
        <f t="shared" si="12"/>
        <v>343</v>
      </c>
      <c r="H74" s="24">
        <v>446</v>
      </c>
      <c r="I74" s="24">
        <v>90</v>
      </c>
      <c r="J74" s="24" t="s">
        <v>86</v>
      </c>
      <c r="K74" s="24">
        <v>686</v>
      </c>
      <c r="L74" s="62">
        <f t="shared" si="10"/>
        <v>2</v>
      </c>
      <c r="M74" s="24" t="s">
        <v>18</v>
      </c>
      <c r="N74" s="24">
        <v>9.5</v>
      </c>
      <c r="O74" s="70">
        <v>610</v>
      </c>
      <c r="P74" s="58">
        <v>203000</v>
      </c>
      <c r="Q74" s="58">
        <v>441</v>
      </c>
      <c r="R74" s="24">
        <f t="shared" si="13"/>
        <v>0.18371632216678546</v>
      </c>
      <c r="S74" s="24" t="s">
        <v>38</v>
      </c>
      <c r="T74" s="24" t="s">
        <v>39</v>
      </c>
      <c r="U74" s="24" t="s">
        <v>144</v>
      </c>
      <c r="V74" s="63">
        <v>231000</v>
      </c>
      <c r="W74" s="24">
        <v>6</v>
      </c>
      <c r="X74" s="24">
        <v>3650</v>
      </c>
      <c r="Y74" s="24">
        <v>1</v>
      </c>
      <c r="Z74" s="24">
        <v>1</v>
      </c>
      <c r="AA74" s="58">
        <f t="shared" si="9"/>
        <v>218.7</v>
      </c>
      <c r="AB74" s="24">
        <v>90</v>
      </c>
      <c r="AC74" s="24">
        <v>45</v>
      </c>
      <c r="AD74" s="58">
        <f>0.839*258</f>
        <v>216.46199999999999</v>
      </c>
      <c r="AE74" s="58">
        <f>0.839*53</f>
        <v>44.466999999999999</v>
      </c>
    </row>
    <row r="75" spans="1:31" x14ac:dyDescent="0.25">
      <c r="A75" s="57">
        <v>72</v>
      </c>
      <c r="B75" s="54"/>
      <c r="C75" s="57" t="s">
        <v>323</v>
      </c>
      <c r="D75" s="57">
        <v>20.7</v>
      </c>
      <c r="E75" s="57">
        <v>457</v>
      </c>
      <c r="F75" s="57">
        <v>934</v>
      </c>
      <c r="G75" s="57">
        <f>F75-25-9.5-36-0.5*30</f>
        <v>848.5</v>
      </c>
      <c r="H75" s="57">
        <v>934</v>
      </c>
      <c r="I75" s="57">
        <v>178</v>
      </c>
      <c r="J75" s="57" t="s">
        <v>326</v>
      </c>
      <c r="K75" s="57">
        <v>2734</v>
      </c>
      <c r="L75" s="64">
        <f t="shared" si="10"/>
        <v>3.2221567472009429</v>
      </c>
      <c r="M75" s="57" t="s">
        <v>327</v>
      </c>
      <c r="N75" s="57">
        <v>9.5</v>
      </c>
      <c r="O75" s="72">
        <v>204</v>
      </c>
      <c r="P75" s="57">
        <v>200000</v>
      </c>
      <c r="Q75" s="57">
        <v>414</v>
      </c>
      <c r="R75" s="57">
        <f t="shared" si="13"/>
        <v>0.15206236323851202</v>
      </c>
      <c r="S75" s="57" t="s">
        <v>313</v>
      </c>
      <c r="T75" s="57" t="s">
        <v>328</v>
      </c>
      <c r="U75" s="57" t="s">
        <v>329</v>
      </c>
      <c r="V75" s="65">
        <v>228000</v>
      </c>
      <c r="W75" s="57">
        <v>0.16500000000000001</v>
      </c>
      <c r="X75" s="57">
        <v>3792</v>
      </c>
      <c r="Y75" s="57">
        <v>254</v>
      </c>
      <c r="Z75" s="57">
        <f>254+127</f>
        <v>381</v>
      </c>
      <c r="AA75" s="57">
        <f t="shared" si="9"/>
        <v>585.65</v>
      </c>
      <c r="AB75" s="57">
        <v>90</v>
      </c>
      <c r="AC75" s="57">
        <v>45</v>
      </c>
      <c r="AD75" s="57">
        <v>851</v>
      </c>
      <c r="AE75" s="57">
        <v>182</v>
      </c>
    </row>
    <row r="76" spans="1:31" x14ac:dyDescent="0.25">
      <c r="A76" s="24">
        <v>73</v>
      </c>
      <c r="B76" t="s">
        <v>330</v>
      </c>
      <c r="C76" s="24" t="s">
        <v>324</v>
      </c>
      <c r="D76" s="24">
        <v>28.9</v>
      </c>
      <c r="E76" s="24">
        <v>457</v>
      </c>
      <c r="F76" s="24">
        <v>934</v>
      </c>
      <c r="G76" s="24">
        <f>F76-25-9.5-36-0.5*30</f>
        <v>848.5</v>
      </c>
      <c r="H76" s="24">
        <v>934</v>
      </c>
      <c r="I76" s="24">
        <v>178</v>
      </c>
      <c r="J76" s="24" t="s">
        <v>326</v>
      </c>
      <c r="K76" s="24">
        <v>2734</v>
      </c>
      <c r="L76" s="62">
        <f t="shared" si="10"/>
        <v>3.2221567472009429</v>
      </c>
      <c r="M76" s="24" t="s">
        <v>327</v>
      </c>
      <c r="N76" s="24">
        <v>9.5</v>
      </c>
      <c r="O76" s="70">
        <v>305</v>
      </c>
      <c r="P76" s="24">
        <v>200000</v>
      </c>
      <c r="Q76" s="24">
        <v>414</v>
      </c>
      <c r="R76" s="24">
        <f t="shared" si="13"/>
        <v>0.1017072855759228</v>
      </c>
      <c r="S76" s="24" t="s">
        <v>313</v>
      </c>
      <c r="T76" s="24" t="s">
        <v>328</v>
      </c>
      <c r="U76" s="24" t="s">
        <v>329</v>
      </c>
      <c r="V76" s="63">
        <v>228000</v>
      </c>
      <c r="W76" s="24">
        <v>0.16500000000000001</v>
      </c>
      <c r="X76" s="24">
        <v>3792</v>
      </c>
      <c r="Y76" s="24">
        <v>254</v>
      </c>
      <c r="Z76" s="24">
        <f>254+127</f>
        <v>381</v>
      </c>
      <c r="AA76" s="24">
        <f t="shared" si="9"/>
        <v>585.65</v>
      </c>
      <c r="AB76" s="24">
        <v>90</v>
      </c>
      <c r="AC76" s="24">
        <v>45</v>
      </c>
      <c r="AD76" s="24">
        <v>765</v>
      </c>
      <c r="AE76" s="24">
        <v>176</v>
      </c>
    </row>
    <row r="77" spans="1:31" x14ac:dyDescent="0.25">
      <c r="A77" s="24">
        <v>74</v>
      </c>
      <c r="C77" s="24" t="s">
        <v>325</v>
      </c>
      <c r="D77" s="24">
        <v>41.7</v>
      </c>
      <c r="E77" s="24">
        <v>457</v>
      </c>
      <c r="F77" s="24">
        <v>934</v>
      </c>
      <c r="G77" s="24">
        <f>F77-25-9.5-36-0.5*30</f>
        <v>848.5</v>
      </c>
      <c r="H77" s="24">
        <v>934</v>
      </c>
      <c r="I77" s="24">
        <v>178</v>
      </c>
      <c r="J77" s="24" t="s">
        <v>326</v>
      </c>
      <c r="K77" s="24">
        <v>2734</v>
      </c>
      <c r="L77" s="62">
        <f t="shared" si="10"/>
        <v>3.2221567472009429</v>
      </c>
      <c r="M77" s="24" t="s">
        <v>327</v>
      </c>
      <c r="N77" s="24">
        <v>9.5</v>
      </c>
      <c r="O77" s="70">
        <v>305</v>
      </c>
      <c r="P77" s="24">
        <v>200000</v>
      </c>
      <c r="Q77" s="24">
        <v>414</v>
      </c>
      <c r="R77" s="24">
        <f t="shared" si="13"/>
        <v>0.1017072855759228</v>
      </c>
      <c r="S77" s="24" t="s">
        <v>313</v>
      </c>
      <c r="T77" s="24" t="s">
        <v>328</v>
      </c>
      <c r="U77" s="24" t="s">
        <v>329</v>
      </c>
      <c r="V77" s="63">
        <v>228000</v>
      </c>
      <c r="W77" s="24">
        <v>0.16500000000000001</v>
      </c>
      <c r="X77" s="24">
        <v>3792</v>
      </c>
      <c r="Y77" s="24">
        <v>254</v>
      </c>
      <c r="Z77" s="24">
        <f>254+127</f>
        <v>381</v>
      </c>
      <c r="AA77" s="24">
        <f t="shared" si="9"/>
        <v>585.65</v>
      </c>
      <c r="AB77" s="24">
        <v>45</v>
      </c>
      <c r="AC77" s="24">
        <v>45</v>
      </c>
      <c r="AD77" s="24">
        <v>965</v>
      </c>
      <c r="AE77" s="24">
        <v>420</v>
      </c>
    </row>
    <row r="78" spans="1:31" x14ac:dyDescent="0.25">
      <c r="A78" s="57">
        <v>75</v>
      </c>
      <c r="B78" s="54"/>
      <c r="C78" s="57" t="s">
        <v>331</v>
      </c>
      <c r="D78" s="57">
        <v>24.47</v>
      </c>
      <c r="E78" s="57">
        <v>250</v>
      </c>
      <c r="F78" s="57">
        <v>420</v>
      </c>
      <c r="G78" s="57">
        <f t="shared" ref="G78:G101" si="14">F78-45-40*2/3</f>
        <v>348.33333333333331</v>
      </c>
      <c r="H78" s="57">
        <v>420</v>
      </c>
      <c r="I78" s="57">
        <f>F78*0.25</f>
        <v>105</v>
      </c>
      <c r="J78" s="57" t="s">
        <v>333</v>
      </c>
      <c r="K78" s="57">
        <v>1260</v>
      </c>
      <c r="L78" s="64">
        <f t="shared" si="10"/>
        <v>3.6172248803827753</v>
      </c>
      <c r="M78" s="57" t="s">
        <v>334</v>
      </c>
      <c r="N78" s="57">
        <v>8</v>
      </c>
      <c r="O78" s="72">
        <v>380</v>
      </c>
      <c r="P78" s="57">
        <v>200000</v>
      </c>
      <c r="Q78" s="57">
        <v>500</v>
      </c>
      <c r="R78" s="57">
        <f t="shared" si="13"/>
        <v>0.10582231578947368</v>
      </c>
      <c r="S78" s="57" t="s">
        <v>313</v>
      </c>
      <c r="T78" s="57" t="s">
        <v>335</v>
      </c>
      <c r="U78" s="57" t="s">
        <v>336</v>
      </c>
      <c r="V78" s="65">
        <v>240000</v>
      </c>
      <c r="W78" s="57">
        <v>0.29299999999999998</v>
      </c>
      <c r="X78" s="57">
        <v>4000</v>
      </c>
      <c r="Y78" s="57">
        <v>1</v>
      </c>
      <c r="Z78" s="57">
        <v>1</v>
      </c>
      <c r="AA78" s="57">
        <f t="shared" si="9"/>
        <v>208.5</v>
      </c>
      <c r="AB78" s="57">
        <v>90</v>
      </c>
      <c r="AC78" s="57">
        <v>45</v>
      </c>
      <c r="AD78" s="57">
        <v>217.04</v>
      </c>
      <c r="AE78" s="57">
        <f>AD78-148.99</f>
        <v>68.049999999999983</v>
      </c>
    </row>
    <row r="79" spans="1:31" x14ac:dyDescent="0.25">
      <c r="A79" s="24">
        <v>76</v>
      </c>
      <c r="C79" s="24" t="s">
        <v>332</v>
      </c>
      <c r="D79" s="24">
        <v>24.47</v>
      </c>
      <c r="E79" s="24">
        <v>250</v>
      </c>
      <c r="F79" s="24">
        <v>420</v>
      </c>
      <c r="G79" s="24">
        <f t="shared" si="14"/>
        <v>348.33333333333331</v>
      </c>
      <c r="H79" s="24">
        <v>420</v>
      </c>
      <c r="I79" s="24">
        <f t="shared" ref="I79:I85" si="15">F79*0.25</f>
        <v>105</v>
      </c>
      <c r="J79" s="24" t="s">
        <v>333</v>
      </c>
      <c r="K79" s="24">
        <v>1260</v>
      </c>
      <c r="L79" s="62">
        <f t="shared" si="10"/>
        <v>3.6172248803827753</v>
      </c>
      <c r="M79" s="24" t="s">
        <v>334</v>
      </c>
      <c r="N79" s="24">
        <v>8</v>
      </c>
      <c r="O79" s="70">
        <v>380</v>
      </c>
      <c r="P79" s="24">
        <v>200000</v>
      </c>
      <c r="Q79" s="24">
        <v>500</v>
      </c>
      <c r="R79" s="24">
        <f t="shared" si="13"/>
        <v>0.10582231578947368</v>
      </c>
      <c r="S79" s="24" t="s">
        <v>313</v>
      </c>
      <c r="T79" s="24" t="s">
        <v>335</v>
      </c>
      <c r="U79" s="24" t="s">
        <v>336</v>
      </c>
      <c r="V79" s="63">
        <v>240000</v>
      </c>
      <c r="W79" s="24">
        <v>0.29299999999999998</v>
      </c>
      <c r="X79" s="24">
        <v>4000</v>
      </c>
      <c r="Y79" s="24">
        <v>1</v>
      </c>
      <c r="Z79" s="24">
        <v>1</v>
      </c>
      <c r="AA79" s="24">
        <f t="shared" si="9"/>
        <v>208.5</v>
      </c>
      <c r="AB79" s="24">
        <v>90</v>
      </c>
      <c r="AC79" s="24">
        <v>45</v>
      </c>
      <c r="AD79" s="24">
        <v>194.49</v>
      </c>
      <c r="AE79" s="24">
        <f>AD79-158.24</f>
        <v>36.25</v>
      </c>
    </row>
    <row r="80" spans="1:31" x14ac:dyDescent="0.25">
      <c r="A80" s="24">
        <v>77</v>
      </c>
      <c r="C80" s="24" t="s">
        <v>337</v>
      </c>
      <c r="D80" s="24">
        <v>22.64</v>
      </c>
      <c r="E80" s="24">
        <v>250</v>
      </c>
      <c r="F80" s="24">
        <v>420</v>
      </c>
      <c r="G80" s="24">
        <f t="shared" si="14"/>
        <v>348.33333333333331</v>
      </c>
      <c r="H80" s="24">
        <v>420</v>
      </c>
      <c r="I80" s="24">
        <f t="shared" si="15"/>
        <v>105</v>
      </c>
      <c r="J80" s="24" t="s">
        <v>333</v>
      </c>
      <c r="K80" s="24">
        <v>1260</v>
      </c>
      <c r="L80" s="62">
        <f t="shared" si="10"/>
        <v>3.6172248803827753</v>
      </c>
      <c r="M80" s="24" t="s">
        <v>334</v>
      </c>
      <c r="N80" s="24">
        <v>8</v>
      </c>
      <c r="O80" s="70">
        <v>380</v>
      </c>
      <c r="P80" s="24">
        <v>200000</v>
      </c>
      <c r="Q80" s="24">
        <v>500</v>
      </c>
      <c r="R80" s="24">
        <f t="shared" si="13"/>
        <v>0.10582231578947368</v>
      </c>
      <c r="S80" s="24" t="s">
        <v>313</v>
      </c>
      <c r="T80" s="24" t="s">
        <v>335</v>
      </c>
      <c r="U80" s="24" t="s">
        <v>336</v>
      </c>
      <c r="V80" s="63">
        <v>240000</v>
      </c>
      <c r="W80" s="24">
        <v>0.29299999999999998</v>
      </c>
      <c r="X80" s="24">
        <v>4000</v>
      </c>
      <c r="Y80" s="24">
        <v>1</v>
      </c>
      <c r="Z80" s="24">
        <v>1</v>
      </c>
      <c r="AA80" s="24">
        <f t="shared" si="9"/>
        <v>208.5</v>
      </c>
      <c r="AB80" s="24">
        <v>90</v>
      </c>
      <c r="AC80" s="24">
        <v>45</v>
      </c>
      <c r="AD80" s="24">
        <v>243.37</v>
      </c>
      <c r="AE80" s="24">
        <f>AD80-148.99</f>
        <v>94.38</v>
      </c>
    </row>
    <row r="81" spans="1:31" x14ac:dyDescent="0.25">
      <c r="A81" s="24">
        <v>78</v>
      </c>
      <c r="C81" s="24" t="s">
        <v>338</v>
      </c>
      <c r="D81" s="24">
        <v>22.64</v>
      </c>
      <c r="E81" s="24">
        <v>250</v>
      </c>
      <c r="F81" s="24">
        <v>420</v>
      </c>
      <c r="G81" s="24">
        <f t="shared" si="14"/>
        <v>348.33333333333331</v>
      </c>
      <c r="H81" s="24">
        <v>420</v>
      </c>
      <c r="I81" s="24">
        <f t="shared" si="15"/>
        <v>105</v>
      </c>
      <c r="J81" s="24" t="s">
        <v>333</v>
      </c>
      <c r="K81" s="24">
        <v>1260</v>
      </c>
      <c r="L81" s="62">
        <f t="shared" si="10"/>
        <v>3.6172248803827753</v>
      </c>
      <c r="M81" s="24" t="s">
        <v>334</v>
      </c>
      <c r="N81" s="24">
        <v>8</v>
      </c>
      <c r="O81" s="70">
        <v>380</v>
      </c>
      <c r="P81" s="24">
        <v>200000</v>
      </c>
      <c r="Q81" s="24">
        <v>500</v>
      </c>
      <c r="R81" s="24">
        <f t="shared" si="13"/>
        <v>0.10582231578947368</v>
      </c>
      <c r="S81" s="24" t="s">
        <v>313</v>
      </c>
      <c r="T81" s="24" t="s">
        <v>335</v>
      </c>
      <c r="U81" s="24" t="s">
        <v>336</v>
      </c>
      <c r="V81" s="63">
        <v>240000</v>
      </c>
      <c r="W81" s="24">
        <v>0.29299999999999998</v>
      </c>
      <c r="X81" s="24">
        <v>4000</v>
      </c>
      <c r="Y81" s="24">
        <v>1</v>
      </c>
      <c r="Z81" s="24">
        <v>1</v>
      </c>
      <c r="AA81" s="24">
        <f t="shared" si="9"/>
        <v>208.5</v>
      </c>
      <c r="AB81" s="24">
        <v>90</v>
      </c>
      <c r="AC81" s="24">
        <v>45</v>
      </c>
      <c r="AD81" s="24">
        <v>221.93</v>
      </c>
      <c r="AE81" s="24">
        <f>AD81-158.24</f>
        <v>63.69</v>
      </c>
    </row>
    <row r="82" spans="1:31" x14ac:dyDescent="0.25">
      <c r="A82" s="24">
        <v>79</v>
      </c>
      <c r="C82" s="24" t="s">
        <v>339</v>
      </c>
      <c r="D82" s="24">
        <v>36.950000000000003</v>
      </c>
      <c r="E82" s="24">
        <v>250</v>
      </c>
      <c r="F82" s="24">
        <v>420</v>
      </c>
      <c r="G82" s="24">
        <f t="shared" si="14"/>
        <v>348.33333333333331</v>
      </c>
      <c r="H82" s="24">
        <v>420</v>
      </c>
      <c r="I82" s="24">
        <f t="shared" si="15"/>
        <v>105</v>
      </c>
      <c r="J82" s="24" t="s">
        <v>333</v>
      </c>
      <c r="K82" s="24">
        <v>1260</v>
      </c>
      <c r="L82" s="62">
        <f t="shared" si="10"/>
        <v>3.6172248803827753</v>
      </c>
      <c r="M82" s="24" t="s">
        <v>334</v>
      </c>
      <c r="N82" s="24">
        <v>8</v>
      </c>
      <c r="O82" s="70">
        <v>380</v>
      </c>
      <c r="P82" s="24">
        <v>200000</v>
      </c>
      <c r="Q82" s="24">
        <v>500</v>
      </c>
      <c r="R82" s="24">
        <f t="shared" si="13"/>
        <v>0.10582231578947368</v>
      </c>
      <c r="S82" s="24" t="s">
        <v>313</v>
      </c>
      <c r="T82" s="24" t="s">
        <v>335</v>
      </c>
      <c r="U82" s="24" t="s">
        <v>336</v>
      </c>
      <c r="V82" s="63">
        <v>240000</v>
      </c>
      <c r="W82" s="24">
        <v>0.29299999999999998</v>
      </c>
      <c r="X82" s="24">
        <v>4000</v>
      </c>
      <c r="Y82" s="24">
        <v>300</v>
      </c>
      <c r="Z82" s="24">
        <v>500</v>
      </c>
      <c r="AA82" s="24">
        <f t="shared" si="9"/>
        <v>208.5</v>
      </c>
      <c r="AB82" s="24">
        <v>90</v>
      </c>
      <c r="AC82" s="24">
        <v>45</v>
      </c>
      <c r="AD82" s="24">
        <v>246.73</v>
      </c>
      <c r="AE82" s="24">
        <f>AD82-148.99</f>
        <v>97.739999999999981</v>
      </c>
    </row>
    <row r="83" spans="1:31" x14ac:dyDescent="0.25">
      <c r="A83" s="24">
        <v>80</v>
      </c>
      <c r="C83" s="24" t="s">
        <v>340</v>
      </c>
      <c r="D83" s="24">
        <v>36.950000000000003</v>
      </c>
      <c r="E83" s="24">
        <v>250</v>
      </c>
      <c r="F83" s="24">
        <v>420</v>
      </c>
      <c r="G83" s="24">
        <f t="shared" si="14"/>
        <v>348.33333333333331</v>
      </c>
      <c r="H83" s="24">
        <v>420</v>
      </c>
      <c r="I83" s="24">
        <f t="shared" si="15"/>
        <v>105</v>
      </c>
      <c r="J83" s="24" t="s">
        <v>333</v>
      </c>
      <c r="K83" s="24">
        <v>1260</v>
      </c>
      <c r="L83" s="62">
        <f t="shared" si="10"/>
        <v>3.6172248803827753</v>
      </c>
      <c r="M83" s="24" t="s">
        <v>334</v>
      </c>
      <c r="N83" s="24">
        <v>8</v>
      </c>
      <c r="O83" s="70">
        <v>380</v>
      </c>
      <c r="P83" s="24">
        <v>200000</v>
      </c>
      <c r="Q83" s="24">
        <v>500</v>
      </c>
      <c r="R83" s="24">
        <f t="shared" si="13"/>
        <v>0.10582231578947368</v>
      </c>
      <c r="S83" s="24" t="s">
        <v>313</v>
      </c>
      <c r="T83" s="24" t="s">
        <v>335</v>
      </c>
      <c r="U83" s="24" t="s">
        <v>336</v>
      </c>
      <c r="V83" s="63">
        <v>240000</v>
      </c>
      <c r="W83" s="24">
        <v>0.29299999999999998</v>
      </c>
      <c r="X83" s="24">
        <v>4000</v>
      </c>
      <c r="Y83" s="24">
        <v>300</v>
      </c>
      <c r="Z83" s="24">
        <v>500</v>
      </c>
      <c r="AA83" s="24">
        <f t="shared" si="9"/>
        <v>208.5</v>
      </c>
      <c r="AB83" s="24">
        <v>90</v>
      </c>
      <c r="AC83" s="24">
        <v>45</v>
      </c>
      <c r="AD83" s="24">
        <v>218.14</v>
      </c>
      <c r="AE83" s="24">
        <f>AD83-158.24</f>
        <v>59.899999999999977</v>
      </c>
    </row>
    <row r="84" spans="1:31" x14ac:dyDescent="0.25">
      <c r="A84" s="24">
        <v>81</v>
      </c>
      <c r="C84" s="24" t="s">
        <v>341</v>
      </c>
      <c r="D84" s="24">
        <v>28.01</v>
      </c>
      <c r="E84" s="24">
        <v>250</v>
      </c>
      <c r="F84" s="24">
        <v>420</v>
      </c>
      <c r="G84" s="24">
        <f t="shared" si="14"/>
        <v>348.33333333333331</v>
      </c>
      <c r="H84" s="24">
        <v>420</v>
      </c>
      <c r="I84" s="24">
        <f t="shared" si="15"/>
        <v>105</v>
      </c>
      <c r="J84" s="24" t="s">
        <v>333</v>
      </c>
      <c r="K84" s="24">
        <v>1260</v>
      </c>
      <c r="L84" s="62">
        <f t="shared" si="10"/>
        <v>3.6172248803827753</v>
      </c>
      <c r="M84" s="24" t="s">
        <v>334</v>
      </c>
      <c r="N84" s="24">
        <v>8</v>
      </c>
      <c r="O84" s="70">
        <v>380</v>
      </c>
      <c r="P84" s="24">
        <v>200000</v>
      </c>
      <c r="Q84" s="24">
        <v>500</v>
      </c>
      <c r="R84" s="24">
        <f t="shared" si="13"/>
        <v>0.10582231578947368</v>
      </c>
      <c r="S84" s="24" t="s">
        <v>313</v>
      </c>
      <c r="T84" s="24" t="s">
        <v>335</v>
      </c>
      <c r="U84" s="24" t="s">
        <v>336</v>
      </c>
      <c r="V84" s="63">
        <v>240000</v>
      </c>
      <c r="W84" s="24">
        <v>0.29299999999999998</v>
      </c>
      <c r="X84" s="24">
        <v>4000</v>
      </c>
      <c r="Y84" s="24">
        <v>300</v>
      </c>
      <c r="Z84" s="24">
        <v>500</v>
      </c>
      <c r="AA84" s="24">
        <f t="shared" si="9"/>
        <v>208.5</v>
      </c>
      <c r="AB84" s="24">
        <v>90</v>
      </c>
      <c r="AC84" s="24">
        <v>45</v>
      </c>
      <c r="AD84" s="24">
        <v>235.92</v>
      </c>
      <c r="AE84" s="24">
        <f>AD84-148.99</f>
        <v>86.929999999999978</v>
      </c>
    </row>
    <row r="85" spans="1:31" x14ac:dyDescent="0.25">
      <c r="A85" s="24">
        <v>82</v>
      </c>
      <c r="C85" s="24" t="s">
        <v>342</v>
      </c>
      <c r="D85" s="24">
        <v>28.01</v>
      </c>
      <c r="E85" s="24">
        <v>250</v>
      </c>
      <c r="F85" s="24">
        <v>420</v>
      </c>
      <c r="G85" s="24">
        <f t="shared" si="14"/>
        <v>348.33333333333331</v>
      </c>
      <c r="H85" s="24">
        <v>420</v>
      </c>
      <c r="I85" s="24">
        <f t="shared" si="15"/>
        <v>105</v>
      </c>
      <c r="J85" s="24" t="s">
        <v>333</v>
      </c>
      <c r="K85" s="24">
        <v>1260</v>
      </c>
      <c r="L85" s="62">
        <f t="shared" si="10"/>
        <v>3.6172248803827753</v>
      </c>
      <c r="M85" s="24" t="s">
        <v>334</v>
      </c>
      <c r="N85" s="24">
        <v>8</v>
      </c>
      <c r="O85" s="70">
        <v>380</v>
      </c>
      <c r="P85" s="24">
        <v>200000</v>
      </c>
      <c r="Q85" s="24">
        <v>500</v>
      </c>
      <c r="R85" s="24">
        <f t="shared" si="13"/>
        <v>0.10582231578947368</v>
      </c>
      <c r="S85" s="24" t="s">
        <v>313</v>
      </c>
      <c r="T85" s="24" t="s">
        <v>335</v>
      </c>
      <c r="U85" s="24" t="s">
        <v>336</v>
      </c>
      <c r="V85" s="63">
        <v>240000</v>
      </c>
      <c r="W85" s="24">
        <v>0.29299999999999998</v>
      </c>
      <c r="X85" s="24">
        <v>4000</v>
      </c>
      <c r="Y85" s="24">
        <v>300</v>
      </c>
      <c r="Z85" s="24">
        <v>500</v>
      </c>
      <c r="AA85" s="24">
        <f t="shared" si="9"/>
        <v>208.5</v>
      </c>
      <c r="AB85" s="24">
        <v>90</v>
      </c>
      <c r="AC85" s="24">
        <v>45</v>
      </c>
      <c r="AD85" s="24">
        <v>225.62</v>
      </c>
      <c r="AE85" s="24">
        <f>AD85-158.24</f>
        <v>67.38</v>
      </c>
    </row>
    <row r="86" spans="1:31" x14ac:dyDescent="0.25">
      <c r="A86" s="24">
        <v>83</v>
      </c>
      <c r="C86" s="24" t="s">
        <v>344</v>
      </c>
      <c r="D86" s="24">
        <v>30.67</v>
      </c>
      <c r="E86" s="24">
        <v>250</v>
      </c>
      <c r="F86" s="24">
        <v>420</v>
      </c>
      <c r="G86" s="24">
        <f t="shared" si="14"/>
        <v>348.33333333333331</v>
      </c>
      <c r="H86" s="24">
        <v>420</v>
      </c>
      <c r="I86" s="24">
        <f t="shared" ref="I86" si="16">F86*0.25</f>
        <v>105</v>
      </c>
      <c r="J86" s="24" t="s">
        <v>333</v>
      </c>
      <c r="K86" s="24">
        <v>1260</v>
      </c>
      <c r="L86" s="62">
        <f t="shared" si="10"/>
        <v>3.6172248803827753</v>
      </c>
      <c r="M86" s="24" t="s">
        <v>334</v>
      </c>
      <c r="N86" s="24">
        <v>8</v>
      </c>
      <c r="O86" s="70">
        <v>380</v>
      </c>
      <c r="P86" s="24">
        <v>200000</v>
      </c>
      <c r="Q86" s="24">
        <v>500</v>
      </c>
      <c r="R86" s="24">
        <f t="shared" si="13"/>
        <v>0.10582231578947368</v>
      </c>
      <c r="S86" s="24" t="s">
        <v>313</v>
      </c>
      <c r="T86" s="24" t="s">
        <v>335</v>
      </c>
      <c r="U86" s="24" t="s">
        <v>336</v>
      </c>
      <c r="V86" s="63">
        <v>240000</v>
      </c>
      <c r="W86" s="24">
        <v>0.29299999999999998</v>
      </c>
      <c r="X86" s="24">
        <v>4000</v>
      </c>
      <c r="Y86" s="24">
        <v>300</v>
      </c>
      <c r="Z86" s="24">
        <v>500</v>
      </c>
      <c r="AA86" s="24">
        <f t="shared" si="9"/>
        <v>208.5</v>
      </c>
      <c r="AB86" s="24">
        <v>45</v>
      </c>
      <c r="AC86" s="24">
        <v>45</v>
      </c>
      <c r="AD86" s="24">
        <v>206.22</v>
      </c>
      <c r="AE86" s="24">
        <f>AD86-148.99</f>
        <v>57.22999999999999</v>
      </c>
    </row>
    <row r="87" spans="1:31" x14ac:dyDescent="0.25">
      <c r="A87" s="24">
        <v>84</v>
      </c>
      <c r="C87" s="24" t="s">
        <v>343</v>
      </c>
      <c r="D87" s="24">
        <v>30.67</v>
      </c>
      <c r="E87" s="24">
        <v>250</v>
      </c>
      <c r="F87" s="24">
        <v>420</v>
      </c>
      <c r="G87" s="24">
        <f t="shared" si="14"/>
        <v>348.33333333333331</v>
      </c>
      <c r="H87" s="24">
        <v>420</v>
      </c>
      <c r="I87" s="24">
        <f t="shared" ref="I87" si="17">F87*0.25</f>
        <v>105</v>
      </c>
      <c r="J87" s="24" t="s">
        <v>333</v>
      </c>
      <c r="K87" s="24">
        <v>1260</v>
      </c>
      <c r="L87" s="62">
        <f t="shared" si="10"/>
        <v>3.6172248803827753</v>
      </c>
      <c r="M87" s="24" t="s">
        <v>334</v>
      </c>
      <c r="N87" s="24">
        <v>8</v>
      </c>
      <c r="O87" s="70">
        <v>380</v>
      </c>
      <c r="P87" s="24">
        <v>200000</v>
      </c>
      <c r="Q87" s="24">
        <v>500</v>
      </c>
      <c r="R87" s="24">
        <f t="shared" si="13"/>
        <v>0.10582231578947368</v>
      </c>
      <c r="S87" s="24" t="s">
        <v>313</v>
      </c>
      <c r="T87" s="24" t="s">
        <v>335</v>
      </c>
      <c r="U87" s="24" t="s">
        <v>336</v>
      </c>
      <c r="V87" s="63">
        <v>240000</v>
      </c>
      <c r="W87" s="24">
        <v>0.29299999999999998</v>
      </c>
      <c r="X87" s="24">
        <v>4000</v>
      </c>
      <c r="Y87" s="24">
        <v>300</v>
      </c>
      <c r="Z87" s="24">
        <v>500</v>
      </c>
      <c r="AA87" s="24">
        <f t="shared" si="9"/>
        <v>208.5</v>
      </c>
      <c r="AB87" s="24">
        <v>45</v>
      </c>
      <c r="AC87" s="24">
        <v>45</v>
      </c>
      <c r="AD87" s="24">
        <v>221.4</v>
      </c>
      <c r="AE87" s="24">
        <f>AD87-158.24</f>
        <v>63.16</v>
      </c>
    </row>
    <row r="88" spans="1:31" x14ac:dyDescent="0.25">
      <c r="A88" s="24">
        <v>85</v>
      </c>
      <c r="C88" s="24" t="s">
        <v>345</v>
      </c>
      <c r="D88" s="24">
        <v>30.2</v>
      </c>
      <c r="E88" s="24">
        <v>250</v>
      </c>
      <c r="F88" s="24">
        <v>420</v>
      </c>
      <c r="G88" s="24">
        <f t="shared" si="14"/>
        <v>348.33333333333331</v>
      </c>
      <c r="H88" s="24">
        <v>420</v>
      </c>
      <c r="I88" s="24">
        <f>F88*0.25</f>
        <v>105</v>
      </c>
      <c r="J88" s="24" t="s">
        <v>333</v>
      </c>
      <c r="K88" s="24">
        <v>1260</v>
      </c>
      <c r="L88" s="62">
        <f t="shared" si="10"/>
        <v>3.6172248803827753</v>
      </c>
      <c r="M88" s="24" t="s">
        <v>334</v>
      </c>
      <c r="N88" s="24">
        <v>8</v>
      </c>
      <c r="O88" s="70">
        <v>380</v>
      </c>
      <c r="P88" s="24">
        <v>200000</v>
      </c>
      <c r="Q88" s="24">
        <v>500</v>
      </c>
      <c r="R88" s="24">
        <f t="shared" si="13"/>
        <v>0.10582231578947368</v>
      </c>
      <c r="S88" s="24" t="s">
        <v>313</v>
      </c>
      <c r="T88" s="24" t="s">
        <v>335</v>
      </c>
      <c r="U88" s="24" t="s">
        <v>336</v>
      </c>
      <c r="V88" s="63">
        <v>240000</v>
      </c>
      <c r="W88" s="24">
        <v>0.16500000000000001</v>
      </c>
      <c r="X88" s="24">
        <v>3800</v>
      </c>
      <c r="Y88" s="24">
        <v>1</v>
      </c>
      <c r="Z88" s="24">
        <v>1</v>
      </c>
      <c r="AA88" s="24">
        <f t="shared" si="9"/>
        <v>208.5</v>
      </c>
      <c r="AB88" s="24">
        <v>90</v>
      </c>
      <c r="AC88" s="24">
        <v>45</v>
      </c>
      <c r="AD88" s="24">
        <v>208.84</v>
      </c>
      <c r="AE88" s="24">
        <f>AD88-148.99</f>
        <v>59.849999999999994</v>
      </c>
    </row>
    <row r="89" spans="1:31" x14ac:dyDescent="0.25">
      <c r="A89" s="24">
        <v>86</v>
      </c>
      <c r="C89" s="24" t="s">
        <v>346</v>
      </c>
      <c r="D89" s="24">
        <v>30.2</v>
      </c>
      <c r="E89" s="24">
        <v>250</v>
      </c>
      <c r="F89" s="24">
        <v>420</v>
      </c>
      <c r="G89" s="24">
        <f t="shared" si="14"/>
        <v>348.33333333333331</v>
      </c>
      <c r="H89" s="24">
        <v>420</v>
      </c>
      <c r="I89" s="24">
        <f t="shared" ref="I89:I95" si="18">F89*0.25</f>
        <v>105</v>
      </c>
      <c r="J89" s="24" t="s">
        <v>333</v>
      </c>
      <c r="K89" s="24">
        <v>1260</v>
      </c>
      <c r="L89" s="62">
        <f t="shared" si="10"/>
        <v>3.6172248803827753</v>
      </c>
      <c r="M89" s="24" t="s">
        <v>334</v>
      </c>
      <c r="N89" s="24">
        <v>8</v>
      </c>
      <c r="O89" s="70">
        <v>380</v>
      </c>
      <c r="P89" s="24">
        <v>200000</v>
      </c>
      <c r="Q89" s="24">
        <v>500</v>
      </c>
      <c r="R89" s="24">
        <f t="shared" si="13"/>
        <v>0.10582231578947368</v>
      </c>
      <c r="S89" s="24" t="s">
        <v>313</v>
      </c>
      <c r="T89" s="24" t="s">
        <v>335</v>
      </c>
      <c r="U89" s="24" t="s">
        <v>336</v>
      </c>
      <c r="V89" s="63">
        <v>240000</v>
      </c>
      <c r="W89" s="24">
        <v>0.16500000000000001</v>
      </c>
      <c r="X89" s="24">
        <v>3800</v>
      </c>
      <c r="Y89" s="24">
        <v>1</v>
      </c>
      <c r="Z89" s="24">
        <v>1</v>
      </c>
      <c r="AA89" s="24">
        <f t="shared" si="9"/>
        <v>208.5</v>
      </c>
      <c r="AB89" s="24">
        <v>90</v>
      </c>
      <c r="AC89" s="24">
        <v>45</v>
      </c>
      <c r="AD89" s="24">
        <v>215.43</v>
      </c>
      <c r="AE89" s="24">
        <f>AD89-158.24</f>
        <v>57.19</v>
      </c>
    </row>
    <row r="90" spans="1:31" x14ac:dyDescent="0.25">
      <c r="A90" s="24">
        <v>87</v>
      </c>
      <c r="B90" t="s">
        <v>359</v>
      </c>
      <c r="C90" s="24" t="s">
        <v>347</v>
      </c>
      <c r="D90" s="24">
        <v>30.2</v>
      </c>
      <c r="E90" s="24">
        <v>250</v>
      </c>
      <c r="F90" s="24">
        <v>420</v>
      </c>
      <c r="G90" s="24">
        <f t="shared" si="14"/>
        <v>348.33333333333331</v>
      </c>
      <c r="H90" s="24">
        <v>420</v>
      </c>
      <c r="I90" s="24">
        <f t="shared" si="18"/>
        <v>105</v>
      </c>
      <c r="J90" s="24" t="s">
        <v>333</v>
      </c>
      <c r="K90" s="24">
        <v>1260</v>
      </c>
      <c r="L90" s="62">
        <f t="shared" si="10"/>
        <v>3.6172248803827753</v>
      </c>
      <c r="M90" s="24" t="s">
        <v>334</v>
      </c>
      <c r="N90" s="24">
        <v>8</v>
      </c>
      <c r="O90" s="70">
        <v>380</v>
      </c>
      <c r="P90" s="24">
        <v>200000</v>
      </c>
      <c r="Q90" s="24">
        <v>500</v>
      </c>
      <c r="R90" s="24">
        <f t="shared" si="13"/>
        <v>0.10582231578947368</v>
      </c>
      <c r="S90" s="24" t="s">
        <v>313</v>
      </c>
      <c r="T90" s="24" t="s">
        <v>335</v>
      </c>
      <c r="U90" s="24" t="s">
        <v>336</v>
      </c>
      <c r="V90" s="63">
        <v>240000</v>
      </c>
      <c r="W90" s="24">
        <v>0.16500000000000001</v>
      </c>
      <c r="X90" s="24">
        <v>3800</v>
      </c>
      <c r="Y90" s="24">
        <v>1</v>
      </c>
      <c r="Z90" s="24">
        <v>1</v>
      </c>
      <c r="AA90" s="24">
        <f t="shared" si="9"/>
        <v>208.5</v>
      </c>
      <c r="AB90" s="24">
        <v>90</v>
      </c>
      <c r="AC90" s="24">
        <v>45</v>
      </c>
      <c r="AD90" s="24">
        <v>201.77</v>
      </c>
      <c r="AE90" s="24">
        <f>AD90-148.99</f>
        <v>52.78</v>
      </c>
    </row>
    <row r="91" spans="1:31" x14ac:dyDescent="0.25">
      <c r="A91" s="24">
        <v>88</v>
      </c>
      <c r="C91" s="24" t="s">
        <v>348</v>
      </c>
      <c r="D91" s="24">
        <v>30.2</v>
      </c>
      <c r="E91" s="24">
        <v>250</v>
      </c>
      <c r="F91" s="24">
        <v>420</v>
      </c>
      <c r="G91" s="24">
        <f t="shared" si="14"/>
        <v>348.33333333333331</v>
      </c>
      <c r="H91" s="24">
        <v>420</v>
      </c>
      <c r="I91" s="24">
        <f t="shared" si="18"/>
        <v>105</v>
      </c>
      <c r="J91" s="24" t="s">
        <v>333</v>
      </c>
      <c r="K91" s="24">
        <v>1260</v>
      </c>
      <c r="L91" s="62">
        <f t="shared" si="10"/>
        <v>3.6172248803827753</v>
      </c>
      <c r="M91" s="24" t="s">
        <v>334</v>
      </c>
      <c r="N91" s="24">
        <v>8</v>
      </c>
      <c r="O91" s="70">
        <v>380</v>
      </c>
      <c r="P91" s="24">
        <v>200000</v>
      </c>
      <c r="Q91" s="24">
        <v>500</v>
      </c>
      <c r="R91" s="24">
        <f t="shared" si="13"/>
        <v>0.10582231578947368</v>
      </c>
      <c r="S91" s="24" t="s">
        <v>313</v>
      </c>
      <c r="T91" s="24" t="s">
        <v>335</v>
      </c>
      <c r="U91" s="24" t="s">
        <v>336</v>
      </c>
      <c r="V91" s="63">
        <v>240000</v>
      </c>
      <c r="W91" s="24">
        <v>0.16500000000000001</v>
      </c>
      <c r="X91" s="24">
        <v>3800</v>
      </c>
      <c r="Y91" s="24">
        <v>1</v>
      </c>
      <c r="Z91" s="24">
        <v>1</v>
      </c>
      <c r="AA91" s="24">
        <f t="shared" si="9"/>
        <v>208.5</v>
      </c>
      <c r="AB91" s="24">
        <v>90</v>
      </c>
      <c r="AC91" s="24">
        <v>45</v>
      </c>
      <c r="AD91" s="24">
        <v>203.95</v>
      </c>
      <c r="AE91" s="24">
        <f>AD91-158.24</f>
        <v>45.70999999999998</v>
      </c>
    </row>
    <row r="92" spans="1:31" x14ac:dyDescent="0.25">
      <c r="A92" s="24">
        <v>89</v>
      </c>
      <c r="C92" s="24" t="s">
        <v>349</v>
      </c>
      <c r="D92" s="24">
        <v>20.5</v>
      </c>
      <c r="E92" s="24">
        <v>250</v>
      </c>
      <c r="F92" s="24">
        <v>420</v>
      </c>
      <c r="G92" s="24">
        <f t="shared" si="14"/>
        <v>348.33333333333331</v>
      </c>
      <c r="H92" s="24">
        <v>420</v>
      </c>
      <c r="I92" s="24">
        <f t="shared" si="18"/>
        <v>105</v>
      </c>
      <c r="J92" s="24" t="s">
        <v>333</v>
      </c>
      <c r="K92" s="24">
        <v>1260</v>
      </c>
      <c r="L92" s="62">
        <f t="shared" si="10"/>
        <v>3.6172248803827753</v>
      </c>
      <c r="M92" s="24" t="s">
        <v>334</v>
      </c>
      <c r="N92" s="24">
        <v>8</v>
      </c>
      <c r="O92" s="70">
        <v>380</v>
      </c>
      <c r="P92" s="24">
        <v>200000</v>
      </c>
      <c r="Q92" s="24">
        <v>500</v>
      </c>
      <c r="R92" s="24">
        <f t="shared" si="13"/>
        <v>0.10582231578947368</v>
      </c>
      <c r="S92" s="24" t="s">
        <v>313</v>
      </c>
      <c r="T92" s="24" t="s">
        <v>335</v>
      </c>
      <c r="U92" s="24" t="s">
        <v>336</v>
      </c>
      <c r="V92" s="63">
        <v>240000</v>
      </c>
      <c r="W92" s="24">
        <v>0.16500000000000001</v>
      </c>
      <c r="X92" s="24">
        <v>3800</v>
      </c>
      <c r="Y92" s="24">
        <v>300</v>
      </c>
      <c r="Z92" s="24">
        <v>500</v>
      </c>
      <c r="AA92" s="24">
        <f t="shared" si="9"/>
        <v>208.5</v>
      </c>
      <c r="AB92" s="24">
        <v>90</v>
      </c>
      <c r="AC92" s="24">
        <v>45</v>
      </c>
      <c r="AD92" s="24">
        <v>207.43</v>
      </c>
      <c r="AE92" s="24">
        <f>AD92-148.99</f>
        <v>58.44</v>
      </c>
    </row>
    <row r="93" spans="1:31" x14ac:dyDescent="0.25">
      <c r="A93" s="24">
        <v>90</v>
      </c>
      <c r="C93" s="24" t="s">
        <v>350</v>
      </c>
      <c r="D93" s="24">
        <v>20.5</v>
      </c>
      <c r="E93" s="24">
        <v>250</v>
      </c>
      <c r="F93" s="24">
        <v>420</v>
      </c>
      <c r="G93" s="24">
        <f t="shared" si="14"/>
        <v>348.33333333333331</v>
      </c>
      <c r="H93" s="24">
        <v>420</v>
      </c>
      <c r="I93" s="24">
        <f t="shared" si="18"/>
        <v>105</v>
      </c>
      <c r="J93" s="24" t="s">
        <v>333</v>
      </c>
      <c r="K93" s="24">
        <v>1260</v>
      </c>
      <c r="L93" s="62">
        <f t="shared" si="10"/>
        <v>3.6172248803827753</v>
      </c>
      <c r="M93" s="24" t="s">
        <v>334</v>
      </c>
      <c r="N93" s="24">
        <v>8</v>
      </c>
      <c r="O93" s="70">
        <v>380</v>
      </c>
      <c r="P93" s="24">
        <v>200000</v>
      </c>
      <c r="Q93" s="24">
        <v>500</v>
      </c>
      <c r="R93" s="24">
        <f t="shared" si="13"/>
        <v>0.10582231578947368</v>
      </c>
      <c r="S93" s="24" t="s">
        <v>313</v>
      </c>
      <c r="T93" s="24" t="s">
        <v>335</v>
      </c>
      <c r="U93" s="24" t="s">
        <v>336</v>
      </c>
      <c r="V93" s="63">
        <v>240000</v>
      </c>
      <c r="W93" s="24">
        <v>0.16500000000000001</v>
      </c>
      <c r="X93" s="24">
        <v>3800</v>
      </c>
      <c r="Y93" s="24">
        <v>300</v>
      </c>
      <c r="Z93" s="24">
        <v>500</v>
      </c>
      <c r="AA93" s="24">
        <f t="shared" si="9"/>
        <v>208.5</v>
      </c>
      <c r="AB93" s="24">
        <v>90</v>
      </c>
      <c r="AC93" s="24">
        <v>45</v>
      </c>
      <c r="AD93" s="24">
        <v>195.64</v>
      </c>
      <c r="AE93" s="24">
        <f>AD93-158.24</f>
        <v>37.399999999999977</v>
      </c>
    </row>
    <row r="94" spans="1:31" x14ac:dyDescent="0.25">
      <c r="A94" s="24">
        <v>91</v>
      </c>
      <c r="C94" s="24" t="s">
        <v>351</v>
      </c>
      <c r="D94" s="24">
        <v>22.58</v>
      </c>
      <c r="E94" s="24">
        <v>250</v>
      </c>
      <c r="F94" s="24">
        <v>420</v>
      </c>
      <c r="G94" s="24">
        <f t="shared" si="14"/>
        <v>348.33333333333331</v>
      </c>
      <c r="H94" s="24">
        <v>420</v>
      </c>
      <c r="I94" s="24">
        <f t="shared" si="18"/>
        <v>105</v>
      </c>
      <c r="J94" s="24" t="s">
        <v>333</v>
      </c>
      <c r="K94" s="24">
        <v>1260</v>
      </c>
      <c r="L94" s="62">
        <f t="shared" si="10"/>
        <v>3.6172248803827753</v>
      </c>
      <c r="M94" s="24" t="s">
        <v>334</v>
      </c>
      <c r="N94" s="24">
        <v>8</v>
      </c>
      <c r="O94" s="70">
        <v>380</v>
      </c>
      <c r="P94" s="24">
        <v>200000</v>
      </c>
      <c r="Q94" s="24">
        <v>500</v>
      </c>
      <c r="R94" s="24">
        <f t="shared" si="13"/>
        <v>0.10582231578947368</v>
      </c>
      <c r="S94" s="24" t="s">
        <v>313</v>
      </c>
      <c r="T94" s="24" t="s">
        <v>335</v>
      </c>
      <c r="U94" s="24" t="s">
        <v>336</v>
      </c>
      <c r="V94" s="63">
        <v>240000</v>
      </c>
      <c r="W94" s="24">
        <v>0.16500000000000001</v>
      </c>
      <c r="X94" s="24">
        <v>3800</v>
      </c>
      <c r="Y94" s="24">
        <v>300</v>
      </c>
      <c r="Z94" s="24">
        <v>500</v>
      </c>
      <c r="AA94" s="24">
        <f t="shared" si="9"/>
        <v>208.5</v>
      </c>
      <c r="AB94" s="24">
        <v>90</v>
      </c>
      <c r="AC94" s="24">
        <v>45</v>
      </c>
      <c r="AD94" s="24">
        <v>203.61</v>
      </c>
      <c r="AE94" s="24">
        <f>AD94-148.99</f>
        <v>54.620000000000005</v>
      </c>
    </row>
    <row r="95" spans="1:31" x14ac:dyDescent="0.25">
      <c r="A95" s="24">
        <v>92</v>
      </c>
      <c r="C95" s="24" t="s">
        <v>352</v>
      </c>
      <c r="D95" s="24">
        <v>22.58</v>
      </c>
      <c r="E95" s="24">
        <v>250</v>
      </c>
      <c r="F95" s="24">
        <v>420</v>
      </c>
      <c r="G95" s="24">
        <f t="shared" si="14"/>
        <v>348.33333333333331</v>
      </c>
      <c r="H95" s="24">
        <v>420</v>
      </c>
      <c r="I95" s="24">
        <f t="shared" si="18"/>
        <v>105</v>
      </c>
      <c r="J95" s="24" t="s">
        <v>333</v>
      </c>
      <c r="K95" s="24">
        <v>1260</v>
      </c>
      <c r="L95" s="62">
        <f t="shared" si="10"/>
        <v>3.6172248803827753</v>
      </c>
      <c r="M95" s="24" t="s">
        <v>334</v>
      </c>
      <c r="N95" s="24">
        <v>8</v>
      </c>
      <c r="O95" s="70">
        <v>380</v>
      </c>
      <c r="P95" s="24">
        <v>200000</v>
      </c>
      <c r="Q95" s="24">
        <v>500</v>
      </c>
      <c r="R95" s="24">
        <f t="shared" si="13"/>
        <v>0.10582231578947368</v>
      </c>
      <c r="S95" s="24" t="s">
        <v>313</v>
      </c>
      <c r="T95" s="24" t="s">
        <v>335</v>
      </c>
      <c r="U95" s="24" t="s">
        <v>336</v>
      </c>
      <c r="V95" s="63">
        <v>240000</v>
      </c>
      <c r="W95" s="24">
        <v>0.16500000000000001</v>
      </c>
      <c r="X95" s="24">
        <v>3800</v>
      </c>
      <c r="Y95" s="24">
        <v>300</v>
      </c>
      <c r="Z95" s="24">
        <v>500</v>
      </c>
      <c r="AA95" s="24">
        <f t="shared" si="9"/>
        <v>208.5</v>
      </c>
      <c r="AB95" s="24">
        <v>90</v>
      </c>
      <c r="AC95" s="24">
        <v>45</v>
      </c>
      <c r="AD95" s="24">
        <v>223.86</v>
      </c>
      <c r="AE95" s="24">
        <f>AD95-158.24</f>
        <v>65.62</v>
      </c>
    </row>
    <row r="96" spans="1:31" x14ac:dyDescent="0.25">
      <c r="A96" s="24">
        <v>93</v>
      </c>
      <c r="C96" s="24" t="s">
        <v>353</v>
      </c>
      <c r="D96" s="24">
        <v>28.01</v>
      </c>
      <c r="E96" s="24">
        <v>250</v>
      </c>
      <c r="F96" s="24">
        <v>420</v>
      </c>
      <c r="G96" s="24">
        <f t="shared" si="14"/>
        <v>348.33333333333331</v>
      </c>
      <c r="H96" s="24">
        <v>420</v>
      </c>
      <c r="I96" s="24">
        <f t="shared" ref="I96:I97" si="19">F96*0.25</f>
        <v>105</v>
      </c>
      <c r="J96" s="24" t="s">
        <v>333</v>
      </c>
      <c r="K96" s="24">
        <v>1260</v>
      </c>
      <c r="L96" s="62">
        <f t="shared" ref="L96:L107" si="20">K96/G96</f>
        <v>3.6172248803827753</v>
      </c>
      <c r="M96" s="24" t="s">
        <v>334</v>
      </c>
      <c r="N96" s="24">
        <v>8</v>
      </c>
      <c r="O96" s="70">
        <v>380</v>
      </c>
      <c r="P96" s="24">
        <v>200000</v>
      </c>
      <c r="Q96" s="24">
        <v>500</v>
      </c>
      <c r="R96" s="24">
        <f t="shared" si="13"/>
        <v>0.10582231578947368</v>
      </c>
      <c r="S96" s="24" t="s">
        <v>313</v>
      </c>
      <c r="T96" s="24" t="s">
        <v>335</v>
      </c>
      <c r="U96" s="24" t="s">
        <v>336</v>
      </c>
      <c r="V96" s="63">
        <v>240000</v>
      </c>
      <c r="W96" s="24">
        <v>0.16500000000000001</v>
      </c>
      <c r="X96" s="24">
        <v>3800</v>
      </c>
      <c r="Y96" s="24">
        <v>300</v>
      </c>
      <c r="Z96" s="24">
        <v>500</v>
      </c>
      <c r="AA96" s="24">
        <f t="shared" si="9"/>
        <v>208.5</v>
      </c>
      <c r="AB96" s="24">
        <v>90</v>
      </c>
      <c r="AC96" s="24">
        <v>45</v>
      </c>
      <c r="AD96" s="24">
        <v>231.82</v>
      </c>
      <c r="AE96" s="24">
        <f>AD96-148.99</f>
        <v>82.829999999999984</v>
      </c>
    </row>
    <row r="97" spans="1:31" x14ac:dyDescent="0.25">
      <c r="A97" s="24">
        <v>94</v>
      </c>
      <c r="C97" s="24" t="s">
        <v>354</v>
      </c>
      <c r="D97" s="24">
        <v>28.01</v>
      </c>
      <c r="E97" s="24">
        <v>250</v>
      </c>
      <c r="F97" s="24">
        <v>420</v>
      </c>
      <c r="G97" s="24">
        <f t="shared" si="14"/>
        <v>348.33333333333331</v>
      </c>
      <c r="H97" s="24">
        <v>420</v>
      </c>
      <c r="I97" s="24">
        <f t="shared" si="19"/>
        <v>105</v>
      </c>
      <c r="J97" s="24" t="s">
        <v>333</v>
      </c>
      <c r="K97" s="24">
        <v>1260</v>
      </c>
      <c r="L97" s="62">
        <f t="shared" si="20"/>
        <v>3.6172248803827753</v>
      </c>
      <c r="M97" s="24" t="s">
        <v>334</v>
      </c>
      <c r="N97" s="24">
        <v>8</v>
      </c>
      <c r="O97" s="70">
        <v>380</v>
      </c>
      <c r="P97" s="24">
        <v>200000</v>
      </c>
      <c r="Q97" s="24">
        <v>500</v>
      </c>
      <c r="R97" s="24">
        <f t="shared" si="13"/>
        <v>0.10582231578947368</v>
      </c>
      <c r="S97" s="24" t="s">
        <v>313</v>
      </c>
      <c r="T97" s="24" t="s">
        <v>335</v>
      </c>
      <c r="U97" s="24" t="s">
        <v>336</v>
      </c>
      <c r="V97" s="63">
        <v>240000</v>
      </c>
      <c r="W97" s="24">
        <v>0.16500000000000001</v>
      </c>
      <c r="X97" s="24">
        <v>3800</v>
      </c>
      <c r="Y97" s="24">
        <v>300</v>
      </c>
      <c r="Z97" s="24">
        <v>500</v>
      </c>
      <c r="AA97" s="24">
        <f t="shared" si="9"/>
        <v>208.5</v>
      </c>
      <c r="AB97" s="24">
        <v>90</v>
      </c>
      <c r="AC97" s="24">
        <v>45</v>
      </c>
      <c r="AD97" s="24">
        <v>179.25</v>
      </c>
      <c r="AE97" s="24">
        <f>AD97-158.24</f>
        <v>21.009999999999991</v>
      </c>
    </row>
    <row r="98" spans="1:31" x14ac:dyDescent="0.25">
      <c r="A98" s="24">
        <v>95</v>
      </c>
      <c r="C98" s="24" t="s">
        <v>355</v>
      </c>
      <c r="D98" s="24">
        <v>20.5</v>
      </c>
      <c r="E98" s="24">
        <v>250</v>
      </c>
      <c r="F98" s="24">
        <v>420</v>
      </c>
      <c r="G98" s="24">
        <f t="shared" si="14"/>
        <v>348.33333333333331</v>
      </c>
      <c r="H98" s="24">
        <v>420</v>
      </c>
      <c r="I98" s="24">
        <f t="shared" ref="I98:I101" si="21">F98*0.25</f>
        <v>105</v>
      </c>
      <c r="J98" s="24" t="s">
        <v>333</v>
      </c>
      <c r="K98" s="24">
        <v>1260</v>
      </c>
      <c r="L98" s="62">
        <f t="shared" si="20"/>
        <v>3.6172248803827753</v>
      </c>
      <c r="M98" s="24" t="s">
        <v>334</v>
      </c>
      <c r="N98" s="24">
        <v>8</v>
      </c>
      <c r="O98" s="70">
        <v>380</v>
      </c>
      <c r="P98" s="24">
        <v>200000</v>
      </c>
      <c r="Q98" s="24">
        <v>500</v>
      </c>
      <c r="R98" s="24">
        <f t="shared" si="13"/>
        <v>0.10582231578947368</v>
      </c>
      <c r="S98" s="24" t="s">
        <v>313</v>
      </c>
      <c r="T98" s="24" t="s">
        <v>335</v>
      </c>
      <c r="U98" s="24" t="s">
        <v>336</v>
      </c>
      <c r="V98" s="63">
        <v>240000</v>
      </c>
      <c r="W98" s="24">
        <v>0.16500000000000001</v>
      </c>
      <c r="X98" s="24">
        <v>3800</v>
      </c>
      <c r="Y98" s="24">
        <v>300</v>
      </c>
      <c r="Z98" s="24">
        <v>500</v>
      </c>
      <c r="AA98" s="24">
        <f t="shared" si="9"/>
        <v>208.5</v>
      </c>
      <c r="AB98" s="24">
        <v>45</v>
      </c>
      <c r="AC98" s="24">
        <v>45</v>
      </c>
      <c r="AD98" s="24">
        <v>189.61</v>
      </c>
      <c r="AE98" s="24">
        <f>AD98-148.99</f>
        <v>40.620000000000005</v>
      </c>
    </row>
    <row r="99" spans="1:31" x14ac:dyDescent="0.25">
      <c r="A99" s="24">
        <v>96</v>
      </c>
      <c r="C99" s="24" t="s">
        <v>356</v>
      </c>
      <c r="D99" s="24">
        <v>20.5</v>
      </c>
      <c r="E99" s="24">
        <v>250</v>
      </c>
      <c r="F99" s="24">
        <v>420</v>
      </c>
      <c r="G99" s="24">
        <f t="shared" si="14"/>
        <v>348.33333333333331</v>
      </c>
      <c r="H99" s="24">
        <v>420</v>
      </c>
      <c r="I99" s="24">
        <f t="shared" si="21"/>
        <v>105</v>
      </c>
      <c r="J99" s="24" t="s">
        <v>333</v>
      </c>
      <c r="K99" s="24">
        <v>1260</v>
      </c>
      <c r="L99" s="62">
        <f t="shared" si="20"/>
        <v>3.6172248803827753</v>
      </c>
      <c r="M99" s="24" t="s">
        <v>334</v>
      </c>
      <c r="N99" s="24">
        <v>8</v>
      </c>
      <c r="O99" s="70">
        <v>380</v>
      </c>
      <c r="P99" s="24">
        <v>200000</v>
      </c>
      <c r="Q99" s="24">
        <v>500</v>
      </c>
      <c r="R99" s="24">
        <f t="shared" si="13"/>
        <v>0.10582231578947368</v>
      </c>
      <c r="S99" s="24" t="s">
        <v>313</v>
      </c>
      <c r="T99" s="24" t="s">
        <v>335</v>
      </c>
      <c r="U99" s="24" t="s">
        <v>336</v>
      </c>
      <c r="V99" s="63">
        <v>240000</v>
      </c>
      <c r="W99" s="24">
        <v>0.16500000000000001</v>
      </c>
      <c r="X99" s="24">
        <v>3800</v>
      </c>
      <c r="Y99" s="24">
        <v>300</v>
      </c>
      <c r="Z99" s="24">
        <v>500</v>
      </c>
      <c r="AA99" s="24">
        <f t="shared" si="9"/>
        <v>208.5</v>
      </c>
      <c r="AB99" s="24">
        <v>45</v>
      </c>
      <c r="AC99" s="24">
        <v>45</v>
      </c>
      <c r="AD99" s="24">
        <v>198.8</v>
      </c>
      <c r="AE99" s="24">
        <f>AD99-158.24</f>
        <v>40.56</v>
      </c>
    </row>
    <row r="100" spans="1:31" x14ac:dyDescent="0.25">
      <c r="A100" s="24">
        <v>97</v>
      </c>
      <c r="C100" s="24" t="s">
        <v>357</v>
      </c>
      <c r="D100" s="24">
        <v>30.67</v>
      </c>
      <c r="E100" s="24">
        <v>250</v>
      </c>
      <c r="F100" s="24">
        <v>420</v>
      </c>
      <c r="G100" s="24">
        <f t="shared" si="14"/>
        <v>348.33333333333331</v>
      </c>
      <c r="H100" s="24">
        <v>420</v>
      </c>
      <c r="I100" s="24">
        <f t="shared" si="21"/>
        <v>105</v>
      </c>
      <c r="J100" s="24" t="s">
        <v>333</v>
      </c>
      <c r="K100" s="24">
        <v>1260</v>
      </c>
      <c r="L100" s="62">
        <f t="shared" si="20"/>
        <v>3.6172248803827753</v>
      </c>
      <c r="M100" s="24" t="s">
        <v>334</v>
      </c>
      <c r="N100" s="24">
        <v>8</v>
      </c>
      <c r="O100" s="70">
        <v>380</v>
      </c>
      <c r="P100" s="24">
        <v>200000</v>
      </c>
      <c r="Q100" s="24">
        <v>500</v>
      </c>
      <c r="R100" s="24">
        <f t="shared" si="13"/>
        <v>0.10582231578947368</v>
      </c>
      <c r="S100" s="24" t="s">
        <v>313</v>
      </c>
      <c r="T100" s="24" t="s">
        <v>335</v>
      </c>
      <c r="U100" s="24" t="s">
        <v>336</v>
      </c>
      <c r="V100" s="63">
        <v>240000</v>
      </c>
      <c r="W100" s="24">
        <v>0.16500000000000001</v>
      </c>
      <c r="X100" s="24">
        <v>3800</v>
      </c>
      <c r="Y100" s="24">
        <v>300</v>
      </c>
      <c r="Z100" s="24">
        <v>500</v>
      </c>
      <c r="AA100" s="24">
        <f t="shared" si="9"/>
        <v>208.5</v>
      </c>
      <c r="AB100" s="24">
        <v>45</v>
      </c>
      <c r="AC100" s="24">
        <v>45</v>
      </c>
      <c r="AD100" s="24">
        <v>211.03</v>
      </c>
      <c r="AE100" s="24">
        <f>AD100-148.99</f>
        <v>62.039999999999992</v>
      </c>
    </row>
    <row r="101" spans="1:31" x14ac:dyDescent="0.25">
      <c r="A101" s="24">
        <v>98</v>
      </c>
      <c r="C101" s="24" t="s">
        <v>358</v>
      </c>
      <c r="D101" s="24">
        <v>30.67</v>
      </c>
      <c r="E101" s="24">
        <v>250</v>
      </c>
      <c r="F101" s="24">
        <v>420</v>
      </c>
      <c r="G101" s="24">
        <f t="shared" si="14"/>
        <v>348.33333333333331</v>
      </c>
      <c r="H101" s="24">
        <v>420</v>
      </c>
      <c r="I101" s="24">
        <f t="shared" si="21"/>
        <v>105</v>
      </c>
      <c r="J101" s="24" t="s">
        <v>333</v>
      </c>
      <c r="K101" s="24">
        <v>1260</v>
      </c>
      <c r="L101" s="62">
        <f t="shared" si="20"/>
        <v>3.6172248803827753</v>
      </c>
      <c r="M101" s="24" t="s">
        <v>334</v>
      </c>
      <c r="N101" s="24">
        <v>8</v>
      </c>
      <c r="O101" s="70">
        <v>380</v>
      </c>
      <c r="P101" s="24">
        <v>200000</v>
      </c>
      <c r="Q101" s="24">
        <v>500</v>
      </c>
      <c r="R101" s="24">
        <f t="shared" si="13"/>
        <v>0.10582231578947368</v>
      </c>
      <c r="S101" s="24" t="s">
        <v>313</v>
      </c>
      <c r="T101" s="24" t="s">
        <v>335</v>
      </c>
      <c r="U101" s="24" t="s">
        <v>336</v>
      </c>
      <c r="V101" s="63">
        <v>240000</v>
      </c>
      <c r="W101" s="24">
        <v>0.16500000000000001</v>
      </c>
      <c r="X101" s="24">
        <v>3800</v>
      </c>
      <c r="Y101" s="24">
        <v>300</v>
      </c>
      <c r="Z101" s="24">
        <v>500</v>
      </c>
      <c r="AA101" s="24">
        <f t="shared" si="9"/>
        <v>208.5</v>
      </c>
      <c r="AB101" s="24">
        <v>45</v>
      </c>
      <c r="AC101" s="24">
        <v>45</v>
      </c>
      <c r="AD101" s="24">
        <v>207.64</v>
      </c>
      <c r="AE101" s="24">
        <f>AD101-158.24</f>
        <v>49.399999999999977</v>
      </c>
    </row>
    <row r="102" spans="1:31" x14ac:dyDescent="0.25">
      <c r="A102" s="57">
        <v>99</v>
      </c>
      <c r="B102" s="54" t="s">
        <v>379</v>
      </c>
      <c r="C102" s="57" t="s">
        <v>378</v>
      </c>
      <c r="D102" s="57">
        <v>20</v>
      </c>
      <c r="E102" s="57">
        <v>160</v>
      </c>
      <c r="F102" s="57">
        <v>300</v>
      </c>
      <c r="G102" s="57">
        <f>F102-25-6-22-15</f>
        <v>232</v>
      </c>
      <c r="H102" s="57">
        <v>300</v>
      </c>
      <c r="I102" s="57">
        <v>0</v>
      </c>
      <c r="J102" s="57" t="s">
        <v>36</v>
      </c>
      <c r="K102" s="57">
        <v>700</v>
      </c>
      <c r="L102" s="64">
        <f t="shared" si="20"/>
        <v>3.0172413793103448</v>
      </c>
      <c r="M102" s="57" t="s">
        <v>52</v>
      </c>
      <c r="N102" s="57">
        <v>6</v>
      </c>
      <c r="O102" s="72">
        <v>150</v>
      </c>
      <c r="P102" s="57">
        <v>200000</v>
      </c>
      <c r="Q102" s="57">
        <v>240</v>
      </c>
      <c r="R102" s="57">
        <f t="shared" si="13"/>
        <v>0.23562</v>
      </c>
      <c r="S102" s="57" t="s">
        <v>38</v>
      </c>
      <c r="T102" s="57" t="s">
        <v>43</v>
      </c>
      <c r="U102" s="57" t="s">
        <v>144</v>
      </c>
      <c r="V102" s="65">
        <v>238000</v>
      </c>
      <c r="W102" s="57">
        <v>0.13100000000000001</v>
      </c>
      <c r="X102" s="57">
        <v>4300</v>
      </c>
      <c r="Y102" s="57">
        <v>60</v>
      </c>
      <c r="Z102" s="57">
        <v>150</v>
      </c>
      <c r="AA102" s="57">
        <f t="shared" si="9"/>
        <v>208.8</v>
      </c>
      <c r="AB102" s="57">
        <v>90</v>
      </c>
      <c r="AC102" s="57">
        <v>45</v>
      </c>
      <c r="AD102" s="53">
        <f>130</f>
        <v>130</v>
      </c>
      <c r="AE102" s="53">
        <f>AD102-100</f>
        <v>30</v>
      </c>
    </row>
    <row r="103" spans="1:31" x14ac:dyDescent="0.25">
      <c r="A103" s="57">
        <v>100</v>
      </c>
      <c r="B103" s="54" t="s">
        <v>381</v>
      </c>
      <c r="C103" s="57" t="s">
        <v>380</v>
      </c>
      <c r="D103" s="57">
        <v>29.6</v>
      </c>
      <c r="E103" s="57">
        <v>152</v>
      </c>
      <c r="F103" s="57">
        <v>406</v>
      </c>
      <c r="G103" s="57">
        <v>350</v>
      </c>
      <c r="H103" s="57">
        <v>406</v>
      </c>
      <c r="I103" s="57">
        <v>102</v>
      </c>
      <c r="J103" s="57" t="s">
        <v>86</v>
      </c>
      <c r="K103" s="57">
        <v>1050</v>
      </c>
      <c r="L103" s="64">
        <f t="shared" si="20"/>
        <v>3</v>
      </c>
      <c r="M103" s="57" t="s">
        <v>18</v>
      </c>
      <c r="N103" s="57">
        <v>8</v>
      </c>
      <c r="O103" s="72">
        <v>350</v>
      </c>
      <c r="P103" s="57">
        <v>200000</v>
      </c>
      <c r="Q103" s="57">
        <v>650</v>
      </c>
      <c r="R103" s="57">
        <f t="shared" si="13"/>
        <v>0.18896842105263156</v>
      </c>
      <c r="S103" s="57" t="s">
        <v>38</v>
      </c>
      <c r="T103" s="57" t="s">
        <v>39</v>
      </c>
      <c r="U103" s="57" t="s">
        <v>144</v>
      </c>
      <c r="V103" s="65">
        <v>231000</v>
      </c>
      <c r="W103" s="57">
        <v>0.12</v>
      </c>
      <c r="X103" s="57">
        <v>3650</v>
      </c>
      <c r="Y103" s="57">
        <v>1</v>
      </c>
      <c r="Z103" s="57">
        <v>1</v>
      </c>
      <c r="AA103" s="57">
        <f t="shared" si="9"/>
        <v>213</v>
      </c>
      <c r="AB103" s="57">
        <v>90</v>
      </c>
      <c r="AC103" s="57">
        <v>45</v>
      </c>
      <c r="AD103" s="57">
        <v>243.2</v>
      </c>
      <c r="AE103" s="53">
        <v>48.5</v>
      </c>
    </row>
    <row r="104" spans="1:31" x14ac:dyDescent="0.25">
      <c r="A104" s="57">
        <v>101</v>
      </c>
      <c r="B104" s="54"/>
      <c r="C104" s="57" t="s">
        <v>391</v>
      </c>
      <c r="D104" s="57">
        <v>31.8</v>
      </c>
      <c r="E104" s="57">
        <v>356</v>
      </c>
      <c r="F104" s="57">
        <v>1219</v>
      </c>
      <c r="G104" s="53">
        <v>1024</v>
      </c>
      <c r="H104" s="53">
        <f>1219-152</f>
        <v>1067</v>
      </c>
      <c r="I104" s="53">
        <v>0</v>
      </c>
      <c r="J104" s="57" t="s">
        <v>394</v>
      </c>
      <c r="K104" s="53">
        <f>3302-305</f>
        <v>2997</v>
      </c>
      <c r="L104" s="64">
        <f t="shared" si="20"/>
        <v>2.9267578125</v>
      </c>
      <c r="M104" s="57" t="s">
        <v>18</v>
      </c>
      <c r="N104" s="57">
        <v>12.7</v>
      </c>
      <c r="O104" s="72">
        <v>305</v>
      </c>
      <c r="P104" s="57">
        <v>200000</v>
      </c>
      <c r="Q104" s="57">
        <v>350</v>
      </c>
      <c r="R104" s="57">
        <f t="shared" si="13"/>
        <v>0.23333425308528269</v>
      </c>
      <c r="S104" s="57" t="s">
        <v>38</v>
      </c>
      <c r="T104" s="57" t="s">
        <v>43</v>
      </c>
      <c r="U104" s="57" t="s">
        <v>144</v>
      </c>
      <c r="V104" s="68">
        <v>227000</v>
      </c>
      <c r="W104" s="57">
        <v>0.16500000000000001</v>
      </c>
      <c r="X104" s="57">
        <v>3800</v>
      </c>
      <c r="Y104" s="57">
        <v>254</v>
      </c>
      <c r="Z104" s="57">
        <v>610</v>
      </c>
      <c r="AA104" s="57">
        <f t="shared" si="9"/>
        <v>921.6</v>
      </c>
      <c r="AB104" s="57">
        <v>90</v>
      </c>
      <c r="AC104" s="57">
        <v>45</v>
      </c>
      <c r="AD104" s="73">
        <v>1201</v>
      </c>
      <c r="AE104" s="57">
        <v>231</v>
      </c>
    </row>
    <row r="105" spans="1:31" x14ac:dyDescent="0.25">
      <c r="A105" s="24">
        <v>102</v>
      </c>
      <c r="B105" t="s">
        <v>395</v>
      </c>
      <c r="C105" s="24" t="s">
        <v>392</v>
      </c>
      <c r="D105" s="24">
        <v>27.4</v>
      </c>
      <c r="E105" s="24">
        <v>356</v>
      </c>
      <c r="F105" s="24">
        <v>1219</v>
      </c>
      <c r="G105" s="2">
        <v>1024</v>
      </c>
      <c r="H105" s="24">
        <v>1067</v>
      </c>
      <c r="I105" s="2">
        <v>0</v>
      </c>
      <c r="J105" s="24" t="s">
        <v>394</v>
      </c>
      <c r="K105" s="2">
        <f>3302-305</f>
        <v>2997</v>
      </c>
      <c r="L105" s="62">
        <f t="shared" si="20"/>
        <v>2.9267578125</v>
      </c>
      <c r="M105" s="24" t="s">
        <v>18</v>
      </c>
      <c r="N105" s="24">
        <v>12.7</v>
      </c>
      <c r="O105" s="70">
        <v>457</v>
      </c>
      <c r="P105" s="24">
        <v>200000</v>
      </c>
      <c r="Q105" s="24">
        <v>350</v>
      </c>
      <c r="R105" s="24">
        <f t="shared" si="13"/>
        <v>0.15572636146829591</v>
      </c>
      <c r="S105" s="24" t="s">
        <v>38</v>
      </c>
      <c r="T105" s="24" t="s">
        <v>43</v>
      </c>
      <c r="U105" s="24" t="s">
        <v>144</v>
      </c>
      <c r="V105" s="67">
        <v>227000</v>
      </c>
      <c r="W105" s="24">
        <v>0.16500000000000001</v>
      </c>
      <c r="X105" s="24">
        <v>3800</v>
      </c>
      <c r="Y105" s="24">
        <v>254</v>
      </c>
      <c r="Z105" s="24">
        <v>305</v>
      </c>
      <c r="AA105" s="24">
        <f t="shared" si="9"/>
        <v>921.6</v>
      </c>
      <c r="AB105" s="24">
        <v>90</v>
      </c>
      <c r="AC105" s="24">
        <v>45</v>
      </c>
      <c r="AD105" s="74">
        <v>947</v>
      </c>
      <c r="AE105" s="24">
        <v>209</v>
      </c>
    </row>
    <row r="106" spans="1:31" x14ac:dyDescent="0.25">
      <c r="A106" s="24">
        <v>103</v>
      </c>
      <c r="C106" s="24" t="s">
        <v>393</v>
      </c>
      <c r="D106" s="24">
        <v>29.8</v>
      </c>
      <c r="E106" s="24">
        <v>356</v>
      </c>
      <c r="F106" s="24">
        <v>1219</v>
      </c>
      <c r="G106" s="24">
        <v>996</v>
      </c>
      <c r="H106" s="24">
        <v>1219</v>
      </c>
      <c r="I106" s="2">
        <v>152</v>
      </c>
      <c r="J106" s="2" t="s">
        <v>86</v>
      </c>
      <c r="K106" s="2">
        <f>3658-305</f>
        <v>3353</v>
      </c>
      <c r="L106" s="62">
        <f t="shared" si="20"/>
        <v>3.3664658634538154</v>
      </c>
      <c r="M106" s="24" t="s">
        <v>18</v>
      </c>
      <c r="N106" s="24">
        <v>12.7</v>
      </c>
      <c r="O106" s="70">
        <v>457</v>
      </c>
      <c r="P106" s="24">
        <v>200000</v>
      </c>
      <c r="Q106" s="24">
        <v>350</v>
      </c>
      <c r="R106" s="24">
        <f t="shared" si="13"/>
        <v>0.15572636146829591</v>
      </c>
      <c r="S106" s="24" t="s">
        <v>38</v>
      </c>
      <c r="T106" s="24" t="s">
        <v>43</v>
      </c>
      <c r="U106" s="24" t="s">
        <v>144</v>
      </c>
      <c r="V106" s="67">
        <v>227000</v>
      </c>
      <c r="W106" s="24">
        <v>0.16500000000000001</v>
      </c>
      <c r="X106" s="24">
        <v>3800</v>
      </c>
      <c r="Y106" s="24">
        <v>254</v>
      </c>
      <c r="Z106" s="24">
        <v>508</v>
      </c>
      <c r="AA106" s="24">
        <f t="shared" si="9"/>
        <v>744.4</v>
      </c>
      <c r="AB106" s="24">
        <v>90</v>
      </c>
      <c r="AC106" s="24">
        <v>45</v>
      </c>
      <c r="AD106" s="74">
        <v>1010</v>
      </c>
      <c r="AE106" s="24">
        <v>258</v>
      </c>
    </row>
    <row r="107" spans="1:31" x14ac:dyDescent="0.25">
      <c r="A107" s="57">
        <v>104</v>
      </c>
      <c r="B107" s="54"/>
      <c r="C107" s="57" t="s">
        <v>409</v>
      </c>
      <c r="D107" s="57">
        <v>29</v>
      </c>
      <c r="E107" s="57">
        <v>152</v>
      </c>
      <c r="F107" s="57">
        <v>406</v>
      </c>
      <c r="G107" s="57">
        <v>350</v>
      </c>
      <c r="H107" s="57">
        <v>406</v>
      </c>
      <c r="I107" s="57">
        <v>122</v>
      </c>
      <c r="J107" s="57" t="s">
        <v>422</v>
      </c>
      <c r="K107" s="57">
        <v>1050</v>
      </c>
      <c r="L107" s="64">
        <f t="shared" si="20"/>
        <v>3</v>
      </c>
      <c r="M107" s="57" t="s">
        <v>423</v>
      </c>
      <c r="N107" s="57">
        <v>0</v>
      </c>
      <c r="O107" s="54"/>
      <c r="P107" s="57"/>
      <c r="Q107" s="57"/>
      <c r="R107" s="57"/>
      <c r="S107" s="57" t="s">
        <v>38</v>
      </c>
      <c r="T107" s="57" t="s">
        <v>421</v>
      </c>
      <c r="U107" s="57" t="s">
        <v>144</v>
      </c>
      <c r="V107" s="65">
        <v>230000</v>
      </c>
      <c r="W107" s="57">
        <v>0.11</v>
      </c>
      <c r="X107" s="57">
        <v>3450</v>
      </c>
      <c r="Y107" s="57">
        <v>40</v>
      </c>
      <c r="Z107" s="57">
        <v>115</v>
      </c>
      <c r="AA107" s="57">
        <f t="shared" si="9"/>
        <v>193</v>
      </c>
      <c r="AB107" s="57">
        <v>90</v>
      </c>
      <c r="AC107" s="57">
        <v>45</v>
      </c>
      <c r="AD107" s="53">
        <v>120.9</v>
      </c>
      <c r="AE107" s="57">
        <v>39.700000000000003</v>
      </c>
    </row>
    <row r="108" spans="1:31" x14ac:dyDescent="0.25">
      <c r="A108" s="24">
        <v>105</v>
      </c>
      <c r="C108" s="24" t="s">
        <v>410</v>
      </c>
      <c r="D108" s="24">
        <v>29</v>
      </c>
      <c r="E108" s="24">
        <v>152</v>
      </c>
      <c r="F108" s="24">
        <v>406</v>
      </c>
      <c r="G108" s="24">
        <v>350</v>
      </c>
      <c r="H108" s="24">
        <v>406</v>
      </c>
      <c r="I108" s="24">
        <v>122</v>
      </c>
      <c r="J108" s="24" t="s">
        <v>422</v>
      </c>
      <c r="K108" s="24">
        <v>1051</v>
      </c>
      <c r="L108" s="62">
        <f t="shared" ref="L108:L119" si="22">K108/G108</f>
        <v>3.0028571428571427</v>
      </c>
      <c r="M108" s="24" t="s">
        <v>423</v>
      </c>
      <c r="N108" s="24">
        <v>0</v>
      </c>
      <c r="S108" s="24" t="s">
        <v>38</v>
      </c>
      <c r="T108" s="24" t="s">
        <v>421</v>
      </c>
      <c r="U108" s="24" t="s">
        <v>144</v>
      </c>
      <c r="V108" s="63">
        <v>230000</v>
      </c>
      <c r="W108" s="24">
        <v>0.11</v>
      </c>
      <c r="X108" s="24">
        <v>3450</v>
      </c>
      <c r="Y108" s="24">
        <v>87.5</v>
      </c>
      <c r="Z108" s="24">
        <v>175</v>
      </c>
      <c r="AA108" s="24">
        <f t="shared" si="9"/>
        <v>193</v>
      </c>
      <c r="AB108" s="24">
        <v>90</v>
      </c>
      <c r="AC108" s="24">
        <v>45</v>
      </c>
      <c r="AD108" s="2">
        <v>134.5</v>
      </c>
      <c r="AE108" s="24">
        <v>53.3</v>
      </c>
    </row>
    <row r="109" spans="1:31" x14ac:dyDescent="0.25">
      <c r="A109" s="24">
        <v>106</v>
      </c>
      <c r="C109" s="24" t="s">
        <v>411</v>
      </c>
      <c r="D109" s="24">
        <v>29</v>
      </c>
      <c r="E109" s="24">
        <v>152</v>
      </c>
      <c r="F109" s="24">
        <v>406</v>
      </c>
      <c r="G109" s="24">
        <v>350</v>
      </c>
      <c r="H109" s="24">
        <v>406</v>
      </c>
      <c r="I109" s="24">
        <v>122</v>
      </c>
      <c r="J109" s="24" t="s">
        <v>422</v>
      </c>
      <c r="K109" s="24">
        <v>1052</v>
      </c>
      <c r="L109" s="62">
        <f t="shared" si="22"/>
        <v>3.0057142857142858</v>
      </c>
      <c r="M109" s="24" t="s">
        <v>423</v>
      </c>
      <c r="N109" s="24">
        <v>0</v>
      </c>
      <c r="S109" s="24" t="s">
        <v>38</v>
      </c>
      <c r="T109" s="24" t="s">
        <v>424</v>
      </c>
      <c r="U109" s="24" t="s">
        <v>144</v>
      </c>
      <c r="V109" s="63">
        <v>230000</v>
      </c>
      <c r="W109" s="24">
        <v>0.11</v>
      </c>
      <c r="X109" s="24">
        <v>3450</v>
      </c>
      <c r="Y109" s="24">
        <v>1</v>
      </c>
      <c r="Z109" s="24">
        <v>2</v>
      </c>
      <c r="AA109" s="24">
        <f t="shared" si="9"/>
        <v>193</v>
      </c>
      <c r="AB109" s="24">
        <v>90</v>
      </c>
      <c r="AC109" s="24">
        <v>45</v>
      </c>
      <c r="AD109" s="24">
        <v>102.4</v>
      </c>
      <c r="AE109" s="24">
        <v>21.2</v>
      </c>
    </row>
    <row r="110" spans="1:31" x14ac:dyDescent="0.25">
      <c r="A110" s="24">
        <v>107</v>
      </c>
      <c r="C110" s="24" t="s">
        <v>412</v>
      </c>
      <c r="D110" s="24">
        <v>29</v>
      </c>
      <c r="E110" s="24">
        <v>152</v>
      </c>
      <c r="F110" s="24">
        <v>406</v>
      </c>
      <c r="G110" s="24">
        <v>350</v>
      </c>
      <c r="H110" s="24">
        <v>406</v>
      </c>
      <c r="I110" s="24">
        <v>122</v>
      </c>
      <c r="J110" s="24" t="s">
        <v>422</v>
      </c>
      <c r="K110" s="24">
        <v>1053</v>
      </c>
      <c r="L110" s="62">
        <f t="shared" si="22"/>
        <v>3.0085714285714285</v>
      </c>
      <c r="M110" s="24" t="s">
        <v>423</v>
      </c>
      <c r="N110" s="24">
        <v>0</v>
      </c>
      <c r="S110" s="24" t="s">
        <v>38</v>
      </c>
      <c r="T110" s="24" t="s">
        <v>421</v>
      </c>
      <c r="U110" s="24" t="s">
        <v>144</v>
      </c>
      <c r="V110" s="63">
        <v>230000</v>
      </c>
      <c r="W110" s="24">
        <v>0.11</v>
      </c>
      <c r="X110" s="24">
        <v>3450</v>
      </c>
      <c r="Y110" s="24">
        <v>53</v>
      </c>
      <c r="Z110" s="24">
        <v>87.5</v>
      </c>
      <c r="AA110" s="24">
        <f t="shared" si="9"/>
        <v>193</v>
      </c>
      <c r="AB110" s="24">
        <v>90</v>
      </c>
      <c r="AC110" s="24">
        <v>45</v>
      </c>
      <c r="AD110" s="24">
        <v>135.69999999999999</v>
      </c>
      <c r="AE110" s="24">
        <v>54.5</v>
      </c>
    </row>
    <row r="111" spans="1:31" x14ac:dyDescent="0.25">
      <c r="A111" s="24">
        <v>108</v>
      </c>
      <c r="C111" s="24" t="s">
        <v>413</v>
      </c>
      <c r="D111" s="24">
        <v>29</v>
      </c>
      <c r="E111" s="24">
        <v>152</v>
      </c>
      <c r="F111" s="24">
        <v>406</v>
      </c>
      <c r="G111" s="24">
        <v>350</v>
      </c>
      <c r="H111" s="24">
        <v>406</v>
      </c>
      <c r="I111" s="24">
        <v>122</v>
      </c>
      <c r="J111" s="24" t="s">
        <v>422</v>
      </c>
      <c r="K111" s="24">
        <v>1054</v>
      </c>
      <c r="L111" s="62">
        <f t="shared" si="22"/>
        <v>3.0114285714285716</v>
      </c>
      <c r="M111" s="24" t="s">
        <v>423</v>
      </c>
      <c r="N111" s="24">
        <v>0</v>
      </c>
      <c r="S111" s="24" t="s">
        <v>38</v>
      </c>
      <c r="T111" s="24" t="s">
        <v>421</v>
      </c>
      <c r="U111" s="24" t="s">
        <v>144</v>
      </c>
      <c r="V111" s="63">
        <v>230000</v>
      </c>
      <c r="W111" s="24">
        <v>0.11</v>
      </c>
      <c r="X111" s="24">
        <v>3450</v>
      </c>
      <c r="Y111" s="24">
        <v>30</v>
      </c>
      <c r="Z111" s="24">
        <v>50</v>
      </c>
      <c r="AA111" s="24">
        <f t="shared" si="9"/>
        <v>193</v>
      </c>
      <c r="AB111" s="24">
        <v>90</v>
      </c>
      <c r="AC111" s="24">
        <v>45</v>
      </c>
      <c r="AD111" s="24">
        <v>131.1</v>
      </c>
      <c r="AE111" s="24">
        <v>49.9</v>
      </c>
    </row>
    <row r="112" spans="1:31" x14ac:dyDescent="0.25">
      <c r="A112" s="24">
        <v>109</v>
      </c>
      <c r="B112" t="s">
        <v>429</v>
      </c>
      <c r="C112" s="24" t="s">
        <v>414</v>
      </c>
      <c r="D112" s="24">
        <v>29</v>
      </c>
      <c r="E112" s="24">
        <v>152</v>
      </c>
      <c r="F112" s="24">
        <v>406</v>
      </c>
      <c r="G112" s="24">
        <v>350</v>
      </c>
      <c r="H112" s="24">
        <v>406</v>
      </c>
      <c r="I112" s="24">
        <v>122</v>
      </c>
      <c r="J112" s="24" t="s">
        <v>422</v>
      </c>
      <c r="K112" s="24">
        <v>1055</v>
      </c>
      <c r="L112" s="62">
        <f t="shared" si="22"/>
        <v>3.0142857142857142</v>
      </c>
      <c r="M112" s="24" t="s">
        <v>423</v>
      </c>
      <c r="N112" s="24">
        <v>0</v>
      </c>
      <c r="S112" s="24" t="s">
        <v>38</v>
      </c>
      <c r="T112" s="24" t="s">
        <v>421</v>
      </c>
      <c r="U112" s="24" t="s">
        <v>144</v>
      </c>
      <c r="V112" s="63">
        <v>230000</v>
      </c>
      <c r="W112" s="24">
        <v>0.11</v>
      </c>
      <c r="X112" s="24">
        <v>3450</v>
      </c>
      <c r="Y112" s="24">
        <v>87.5</v>
      </c>
      <c r="Z112" s="24">
        <v>125</v>
      </c>
      <c r="AA112" s="24">
        <f t="shared" si="9"/>
        <v>193</v>
      </c>
      <c r="AB112" s="24">
        <v>90</v>
      </c>
      <c r="AC112" s="24">
        <v>45</v>
      </c>
      <c r="AD112" s="24">
        <v>150.6</v>
      </c>
      <c r="AE112" s="24">
        <v>69.3</v>
      </c>
    </row>
    <row r="113" spans="1:31" x14ac:dyDescent="0.25">
      <c r="A113" s="24">
        <v>110</v>
      </c>
      <c r="C113" s="24" t="s">
        <v>415</v>
      </c>
      <c r="D113" s="24">
        <v>29</v>
      </c>
      <c r="E113" s="24">
        <v>152</v>
      </c>
      <c r="F113" s="24">
        <v>406</v>
      </c>
      <c r="G113" s="24">
        <v>350</v>
      </c>
      <c r="H113" s="24">
        <v>406</v>
      </c>
      <c r="I113" s="24">
        <v>122</v>
      </c>
      <c r="J113" s="24" t="s">
        <v>422</v>
      </c>
      <c r="K113" s="24">
        <v>1056</v>
      </c>
      <c r="L113" s="62">
        <f t="shared" si="22"/>
        <v>3.0171428571428573</v>
      </c>
      <c r="M113" s="24" t="s">
        <v>423</v>
      </c>
      <c r="N113" s="24">
        <v>0</v>
      </c>
      <c r="S113" s="24" t="s">
        <v>38</v>
      </c>
      <c r="T113" s="24" t="s">
        <v>424</v>
      </c>
      <c r="U113" s="24" t="s">
        <v>144</v>
      </c>
      <c r="V113" s="63">
        <v>230000</v>
      </c>
      <c r="W113" s="24">
        <v>0.11</v>
      </c>
      <c r="X113" s="24">
        <v>3450</v>
      </c>
      <c r="Y113" s="24">
        <v>1</v>
      </c>
      <c r="Z113" s="24">
        <v>1</v>
      </c>
      <c r="AA113" s="24">
        <f t="shared" si="9"/>
        <v>193</v>
      </c>
      <c r="AB113" s="24">
        <v>90</v>
      </c>
      <c r="AC113" s="24">
        <v>45</v>
      </c>
      <c r="AD113" s="24">
        <v>120</v>
      </c>
      <c r="AE113" s="24">
        <v>38.700000000000003</v>
      </c>
    </row>
    <row r="114" spans="1:31" x14ac:dyDescent="0.25">
      <c r="A114" s="24">
        <v>111</v>
      </c>
      <c r="C114" s="24" t="s">
        <v>416</v>
      </c>
      <c r="D114" s="24">
        <v>29</v>
      </c>
      <c r="E114" s="24">
        <v>152</v>
      </c>
      <c r="F114" s="24">
        <v>406</v>
      </c>
      <c r="G114" s="24">
        <v>350</v>
      </c>
      <c r="H114" s="24">
        <v>406</v>
      </c>
      <c r="I114" s="24">
        <v>122</v>
      </c>
      <c r="J114" s="24" t="s">
        <v>422</v>
      </c>
      <c r="K114" s="24">
        <v>1057</v>
      </c>
      <c r="L114" s="62">
        <f t="shared" si="22"/>
        <v>3.02</v>
      </c>
      <c r="M114" s="24" t="s">
        <v>423</v>
      </c>
      <c r="N114" s="24">
        <v>0</v>
      </c>
      <c r="S114" s="24" t="s">
        <v>38</v>
      </c>
      <c r="T114" s="24" t="s">
        <v>424</v>
      </c>
      <c r="U114" s="24" t="s">
        <v>144</v>
      </c>
      <c r="V114" s="63">
        <v>230000</v>
      </c>
      <c r="W114" s="24">
        <v>0.11</v>
      </c>
      <c r="X114" s="24">
        <v>3450</v>
      </c>
      <c r="Y114" s="24">
        <v>1</v>
      </c>
      <c r="Z114" s="24">
        <v>1</v>
      </c>
      <c r="AA114" s="24">
        <f t="shared" si="9"/>
        <v>193</v>
      </c>
      <c r="AB114" s="24">
        <v>90</v>
      </c>
      <c r="AC114" s="24">
        <v>45</v>
      </c>
      <c r="AD114" s="24">
        <v>121.7</v>
      </c>
      <c r="AE114" s="24">
        <v>40.4</v>
      </c>
    </row>
    <row r="115" spans="1:31" x14ac:dyDescent="0.25">
      <c r="A115" s="24">
        <v>112</v>
      </c>
      <c r="C115" s="24" t="s">
        <v>417</v>
      </c>
      <c r="D115" s="24">
        <v>29</v>
      </c>
      <c r="E115" s="24">
        <v>152</v>
      </c>
      <c r="F115" s="24">
        <v>406</v>
      </c>
      <c r="G115" s="24">
        <v>350</v>
      </c>
      <c r="H115" s="24">
        <v>406</v>
      </c>
      <c r="I115" s="24">
        <v>122</v>
      </c>
      <c r="J115" s="24" t="s">
        <v>422</v>
      </c>
      <c r="K115" s="24">
        <v>1058</v>
      </c>
      <c r="L115" s="62">
        <f t="shared" si="22"/>
        <v>3.0228571428571427</v>
      </c>
      <c r="M115" s="2" t="s">
        <v>426</v>
      </c>
      <c r="N115" s="2">
        <v>8</v>
      </c>
      <c r="O115">
        <v>175</v>
      </c>
      <c r="P115">
        <v>206000</v>
      </c>
      <c r="Q115" s="2">
        <v>540</v>
      </c>
      <c r="R115" s="24">
        <f t="shared" ref="R115:R119" si="23">100*2*3.1416*N115^2/4/O115/E115</f>
        <v>0.37793684210526313</v>
      </c>
      <c r="S115" s="24" t="s">
        <v>38</v>
      </c>
      <c r="T115" s="24" t="s">
        <v>421</v>
      </c>
      <c r="U115" s="24" t="s">
        <v>144</v>
      </c>
      <c r="V115" s="63">
        <v>230000</v>
      </c>
      <c r="W115" s="24">
        <v>0.11</v>
      </c>
      <c r="X115" s="24">
        <v>3450</v>
      </c>
      <c r="Y115" s="24">
        <v>87.5</v>
      </c>
      <c r="Z115" s="24">
        <v>175</v>
      </c>
      <c r="AA115" s="24">
        <f t="shared" si="9"/>
        <v>193</v>
      </c>
      <c r="AB115" s="24">
        <v>90</v>
      </c>
      <c r="AC115" s="24">
        <v>45</v>
      </c>
      <c r="AD115" s="24">
        <v>242.3</v>
      </c>
      <c r="AE115" s="24">
        <v>10.1</v>
      </c>
    </row>
    <row r="116" spans="1:31" x14ac:dyDescent="0.25">
      <c r="A116" s="24">
        <v>113</v>
      </c>
      <c r="C116" s="24" t="s">
        <v>418</v>
      </c>
      <c r="D116" s="24">
        <v>29</v>
      </c>
      <c r="E116" s="24">
        <v>152</v>
      </c>
      <c r="F116" s="24">
        <v>406</v>
      </c>
      <c r="G116" s="24">
        <v>350</v>
      </c>
      <c r="H116" s="24">
        <v>406</v>
      </c>
      <c r="I116" s="24">
        <v>122</v>
      </c>
      <c r="J116" s="24" t="s">
        <v>422</v>
      </c>
      <c r="K116" s="24">
        <v>1059</v>
      </c>
      <c r="L116" s="62">
        <f t="shared" si="22"/>
        <v>3.0257142857142858</v>
      </c>
      <c r="M116" s="2" t="s">
        <v>427</v>
      </c>
      <c r="N116" s="2">
        <v>8</v>
      </c>
      <c r="O116">
        <v>175</v>
      </c>
      <c r="P116">
        <v>206000</v>
      </c>
      <c r="Q116" s="2">
        <v>540</v>
      </c>
      <c r="R116" s="24">
        <f t="shared" si="23"/>
        <v>0.37793684210526313</v>
      </c>
      <c r="S116" s="24" t="s">
        <v>38</v>
      </c>
      <c r="T116" s="24" t="s">
        <v>421</v>
      </c>
      <c r="U116" s="24" t="s">
        <v>144</v>
      </c>
      <c r="V116" s="63">
        <v>230000</v>
      </c>
      <c r="W116" s="24">
        <v>0.11</v>
      </c>
      <c r="X116" s="24">
        <v>3450</v>
      </c>
      <c r="Y116" s="24">
        <v>87.5</v>
      </c>
      <c r="Z116" s="24">
        <v>175</v>
      </c>
      <c r="AA116" s="24">
        <f t="shared" si="9"/>
        <v>193</v>
      </c>
      <c r="AB116" s="24">
        <v>90</v>
      </c>
      <c r="AC116" s="24">
        <v>45</v>
      </c>
      <c r="AD116" s="24">
        <v>246.7</v>
      </c>
      <c r="AE116" s="24">
        <v>14.5</v>
      </c>
    </row>
    <row r="117" spans="1:31" x14ac:dyDescent="0.25">
      <c r="A117" s="24">
        <v>114</v>
      </c>
      <c r="C117" s="24" t="s">
        <v>419</v>
      </c>
      <c r="D117" s="24">
        <v>29</v>
      </c>
      <c r="E117" s="24">
        <v>152</v>
      </c>
      <c r="F117" s="24">
        <v>406</v>
      </c>
      <c r="G117" s="24">
        <v>350</v>
      </c>
      <c r="H117" s="24">
        <v>406</v>
      </c>
      <c r="I117" s="24">
        <v>122</v>
      </c>
      <c r="J117" s="24" t="s">
        <v>422</v>
      </c>
      <c r="K117" s="24">
        <v>1060</v>
      </c>
      <c r="L117" s="62">
        <f t="shared" si="22"/>
        <v>3.0285714285714285</v>
      </c>
      <c r="M117" s="2" t="s">
        <v>428</v>
      </c>
      <c r="N117" s="2">
        <v>8</v>
      </c>
      <c r="O117">
        <v>175</v>
      </c>
      <c r="P117">
        <v>206000</v>
      </c>
      <c r="Q117" s="2">
        <v>540</v>
      </c>
      <c r="R117" s="24">
        <f t="shared" si="23"/>
        <v>0.37793684210526313</v>
      </c>
      <c r="S117" s="24" t="s">
        <v>38</v>
      </c>
      <c r="T117" s="24" t="s">
        <v>421</v>
      </c>
      <c r="U117" s="24" t="s">
        <v>144</v>
      </c>
      <c r="V117" s="63">
        <v>230000</v>
      </c>
      <c r="W117" s="24">
        <v>0.11</v>
      </c>
      <c r="X117" s="24">
        <v>3450</v>
      </c>
      <c r="Y117" s="24">
        <v>87.5</v>
      </c>
      <c r="Z117" s="24">
        <v>125</v>
      </c>
      <c r="AA117" s="24">
        <f t="shared" si="9"/>
        <v>193</v>
      </c>
      <c r="AB117" s="24">
        <v>90</v>
      </c>
      <c r="AC117" s="24">
        <v>45</v>
      </c>
      <c r="AD117" s="24">
        <v>253.9</v>
      </c>
      <c r="AE117" s="24">
        <v>21.7</v>
      </c>
    </row>
    <row r="118" spans="1:31" x14ac:dyDescent="0.25">
      <c r="A118" s="24">
        <v>115</v>
      </c>
      <c r="C118" s="24" t="s">
        <v>420</v>
      </c>
      <c r="D118" s="24">
        <v>29</v>
      </c>
      <c r="E118" s="24">
        <v>152</v>
      </c>
      <c r="F118" s="24">
        <v>406</v>
      </c>
      <c r="G118" s="24">
        <v>350</v>
      </c>
      <c r="H118" s="24">
        <v>406</v>
      </c>
      <c r="I118" s="24">
        <v>122</v>
      </c>
      <c r="J118" s="24" t="s">
        <v>422</v>
      </c>
      <c r="K118" s="24">
        <v>1061</v>
      </c>
      <c r="L118" s="62">
        <f t="shared" si="22"/>
        <v>3.0314285714285716</v>
      </c>
      <c r="M118" s="2" t="s">
        <v>426</v>
      </c>
      <c r="N118" s="2">
        <v>8</v>
      </c>
      <c r="O118">
        <v>175</v>
      </c>
      <c r="P118">
        <v>206000</v>
      </c>
      <c r="Q118" s="2">
        <v>540</v>
      </c>
      <c r="R118" s="24">
        <f t="shared" si="23"/>
        <v>0.37793684210526313</v>
      </c>
      <c r="S118" s="24" t="s">
        <v>38</v>
      </c>
      <c r="T118" s="24" t="s">
        <v>424</v>
      </c>
      <c r="U118" s="24" t="s">
        <v>144</v>
      </c>
      <c r="V118" s="63">
        <v>230000</v>
      </c>
      <c r="W118" s="24">
        <v>0.11</v>
      </c>
      <c r="X118" s="24">
        <v>3450</v>
      </c>
      <c r="Y118" s="24">
        <v>1</v>
      </c>
      <c r="Z118" s="24">
        <v>1</v>
      </c>
      <c r="AA118" s="24">
        <f t="shared" si="9"/>
        <v>193</v>
      </c>
      <c r="AB118" s="24">
        <v>90</v>
      </c>
      <c r="AC118" s="24">
        <v>45</v>
      </c>
      <c r="AD118" s="24">
        <v>250.6</v>
      </c>
      <c r="AE118" s="24">
        <v>18.399999999999999</v>
      </c>
    </row>
    <row r="119" spans="1:31" x14ac:dyDescent="0.25">
      <c r="A119" s="57">
        <v>116</v>
      </c>
      <c r="B119" s="54" t="s">
        <v>434</v>
      </c>
      <c r="C119" s="57" t="s">
        <v>430</v>
      </c>
      <c r="D119" s="57">
        <v>39.5</v>
      </c>
      <c r="E119" s="57">
        <v>120</v>
      </c>
      <c r="F119" s="57">
        <v>300</v>
      </c>
      <c r="G119" s="53">
        <f>F119-25-6-18-15</f>
        <v>236</v>
      </c>
      <c r="H119" s="57">
        <v>300</v>
      </c>
      <c r="I119" s="57">
        <v>40</v>
      </c>
      <c r="J119" s="57" t="s">
        <v>431</v>
      </c>
      <c r="K119" s="57">
        <v>900</v>
      </c>
      <c r="L119" s="64">
        <f t="shared" si="22"/>
        <v>3.8135593220338984</v>
      </c>
      <c r="M119" s="53" t="s">
        <v>425</v>
      </c>
      <c r="N119" s="53">
        <v>6</v>
      </c>
      <c r="O119" s="54">
        <v>200</v>
      </c>
      <c r="P119" s="53">
        <v>200000</v>
      </c>
      <c r="Q119" s="53">
        <v>290</v>
      </c>
      <c r="R119" s="57">
        <f t="shared" si="23"/>
        <v>0.23561999999999997</v>
      </c>
      <c r="S119" s="57" t="s">
        <v>432</v>
      </c>
      <c r="T119" s="57" t="s">
        <v>421</v>
      </c>
      <c r="U119" s="57" t="s">
        <v>433</v>
      </c>
      <c r="V119" s="65">
        <v>240000</v>
      </c>
      <c r="W119" s="57">
        <v>0.17599999999999999</v>
      </c>
      <c r="X119" s="57">
        <v>3800</v>
      </c>
      <c r="Y119" s="57">
        <v>50</v>
      </c>
      <c r="Z119" s="57">
        <v>187.5</v>
      </c>
      <c r="AA119" s="57">
        <f t="shared" si="9"/>
        <v>172.4</v>
      </c>
      <c r="AB119" s="57">
        <v>90</v>
      </c>
      <c r="AC119" s="57">
        <v>45</v>
      </c>
      <c r="AD119" s="53">
        <f>225/2</f>
        <v>112.5</v>
      </c>
      <c r="AE119" s="53">
        <f>AD119-170/2</f>
        <v>27.5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ignoredErrors>
    <ignoredError sqref="AD73:AE73 AE79 AE82 AE84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tabSelected="1" topLeftCell="H1" workbookViewId="0">
      <pane ySplit="3" topLeftCell="A4" activePane="bottomLeft" state="frozen"/>
      <selection pane="bottomLeft" activeCell="Z18" sqref="Z18"/>
    </sheetView>
  </sheetViews>
  <sheetFormatPr defaultColWidth="8.85546875" defaultRowHeight="15" x14ac:dyDescent="0.25"/>
  <cols>
    <col min="2" max="2" width="20.42578125" customWidth="1"/>
  </cols>
  <sheetData>
    <row r="1" spans="1:32" x14ac:dyDescent="0.25">
      <c r="A1" s="1" t="s">
        <v>0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</row>
    <row r="2" spans="1:32" ht="15.75" customHeight="1" x14ac:dyDescent="0.25">
      <c r="D2" s="3" t="s">
        <v>1</v>
      </c>
      <c r="E2" s="4"/>
      <c r="F2" s="4" t="s">
        <v>2</v>
      </c>
      <c r="G2" s="4"/>
      <c r="H2" s="4"/>
      <c r="I2" s="4"/>
      <c r="J2" s="4"/>
      <c r="K2" s="4"/>
      <c r="L2" s="4"/>
      <c r="M2" s="5"/>
      <c r="N2" s="5" t="s">
        <v>3</v>
      </c>
      <c r="O2" s="5"/>
      <c r="P2" s="5"/>
      <c r="Q2" s="5"/>
      <c r="R2" s="5"/>
      <c r="S2" s="6"/>
      <c r="T2" s="7" t="s">
        <v>4</v>
      </c>
      <c r="U2" s="7"/>
      <c r="V2" s="6"/>
      <c r="W2" s="6"/>
      <c r="X2" s="6"/>
      <c r="Y2" s="6"/>
      <c r="Z2" s="6"/>
      <c r="AA2" s="6"/>
      <c r="AB2" s="6"/>
      <c r="AC2" s="4" t="s">
        <v>5</v>
      </c>
      <c r="AD2" s="8"/>
      <c r="AE2" s="8"/>
    </row>
    <row r="3" spans="1:32" ht="20.25" x14ac:dyDescent="0.35">
      <c r="B3" s="9" t="s">
        <v>6</v>
      </c>
      <c r="C3" s="9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1" t="s">
        <v>14</v>
      </c>
      <c r="K3" s="10" t="s">
        <v>15</v>
      </c>
      <c r="L3" s="10" t="s">
        <v>16</v>
      </c>
      <c r="M3" s="11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2" t="s">
        <v>22</v>
      </c>
      <c r="S3" s="11" t="s">
        <v>23</v>
      </c>
      <c r="T3" s="11" t="s">
        <v>24</v>
      </c>
      <c r="U3" s="11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3" t="s">
        <v>31</v>
      </c>
      <c r="AB3" s="14" t="s">
        <v>32</v>
      </c>
      <c r="AC3" s="15" t="s">
        <v>33</v>
      </c>
      <c r="AD3" s="8" t="s">
        <v>34</v>
      </c>
      <c r="AE3" s="8" t="s">
        <v>35</v>
      </c>
      <c r="AF3" t="s">
        <v>279</v>
      </c>
    </row>
    <row r="4" spans="1:32" x14ac:dyDescent="0.25">
      <c r="A4" s="2">
        <v>1</v>
      </c>
      <c r="B4" s="26"/>
      <c r="C4" s="26" t="s">
        <v>219</v>
      </c>
      <c r="D4" s="2">
        <v>40</v>
      </c>
      <c r="E4" s="2">
        <v>130</v>
      </c>
      <c r="F4" s="2">
        <v>450</v>
      </c>
      <c r="G4" s="2">
        <v>425</v>
      </c>
      <c r="H4" s="2">
        <v>450</v>
      </c>
      <c r="I4" s="2">
        <v>0</v>
      </c>
      <c r="J4" s="2" t="s">
        <v>36</v>
      </c>
      <c r="K4" s="2">
        <v>900</v>
      </c>
      <c r="L4" s="43">
        <f>K4/G4</f>
        <v>2.1176470588235294</v>
      </c>
      <c r="M4" s="2" t="s">
        <v>52</v>
      </c>
      <c r="N4" s="2">
        <v>6</v>
      </c>
      <c r="O4" s="2">
        <v>300</v>
      </c>
      <c r="P4" s="2">
        <v>210000</v>
      </c>
      <c r="Q4" s="2">
        <v>240</v>
      </c>
      <c r="R4" s="2">
        <f>100*2*3.1416*N4^2/4/O4/E4</f>
        <v>0.14499692307692308</v>
      </c>
      <c r="S4" s="2" t="s">
        <v>38</v>
      </c>
      <c r="T4" s="2" t="s">
        <v>43</v>
      </c>
      <c r="U4" s="2" t="s">
        <v>220</v>
      </c>
      <c r="V4" s="2">
        <v>105000</v>
      </c>
      <c r="W4" s="2">
        <v>0.43</v>
      </c>
      <c r="X4" s="2">
        <v>1400</v>
      </c>
      <c r="Y4" s="2">
        <v>40</v>
      </c>
      <c r="Z4" s="2">
        <v>200</v>
      </c>
      <c r="AA4" s="2">
        <f>0.9*G4-(F4-H4)-I4</f>
        <v>382.5</v>
      </c>
      <c r="AB4" s="2">
        <v>90</v>
      </c>
      <c r="AC4" s="2">
        <v>45</v>
      </c>
      <c r="AD4" s="49">
        <v>177.5</v>
      </c>
      <c r="AE4" s="2">
        <v>67.5</v>
      </c>
    </row>
    <row r="5" spans="1:32" x14ac:dyDescent="0.25">
      <c r="A5" s="2">
        <v>2</v>
      </c>
      <c r="B5" s="26" t="s">
        <v>156</v>
      </c>
      <c r="C5" s="26" t="s">
        <v>221</v>
      </c>
      <c r="D5" s="2">
        <v>40</v>
      </c>
      <c r="E5" s="2">
        <v>130</v>
      </c>
      <c r="F5" s="2">
        <v>450</v>
      </c>
      <c r="G5" s="2">
        <v>425</v>
      </c>
      <c r="H5" s="2">
        <v>450</v>
      </c>
      <c r="I5" s="2">
        <v>0</v>
      </c>
      <c r="J5" s="2" t="s">
        <v>36</v>
      </c>
      <c r="K5" s="2">
        <v>900</v>
      </c>
      <c r="L5" s="43">
        <f t="shared" ref="L5:L10" si="1">K5/G5</f>
        <v>2.1176470588235294</v>
      </c>
      <c r="M5" s="2" t="s">
        <v>52</v>
      </c>
      <c r="N5" s="2">
        <v>6</v>
      </c>
      <c r="O5" s="2">
        <v>300</v>
      </c>
      <c r="P5" s="2">
        <v>210000</v>
      </c>
      <c r="Q5" s="2">
        <v>240</v>
      </c>
      <c r="R5" s="2">
        <f t="shared" ref="R5:R7" si="2">100*2*3.1416*N5^2/4/O5/E5</f>
        <v>0.14499692307692308</v>
      </c>
      <c r="S5" s="2" t="s">
        <v>38</v>
      </c>
      <c r="T5" s="2" t="s">
        <v>43</v>
      </c>
      <c r="U5" s="2" t="s">
        <v>220</v>
      </c>
      <c r="V5" s="2">
        <v>105000</v>
      </c>
      <c r="W5" s="2">
        <v>0.43</v>
      </c>
      <c r="X5" s="2">
        <v>1400</v>
      </c>
      <c r="Y5" s="2">
        <v>40</v>
      </c>
      <c r="Z5" s="2">
        <v>250</v>
      </c>
      <c r="AA5" s="2">
        <f t="shared" ref="AA5:AA10" si="3">0.9*G5-(F5-H5)-I5</f>
        <v>382.5</v>
      </c>
      <c r="AB5" s="2">
        <v>90</v>
      </c>
      <c r="AC5" s="2">
        <v>45</v>
      </c>
      <c r="AD5" s="49">
        <v>155</v>
      </c>
      <c r="AE5" s="2">
        <v>45</v>
      </c>
    </row>
    <row r="6" spans="1:32" x14ac:dyDescent="0.25">
      <c r="A6" s="2">
        <v>3</v>
      </c>
      <c r="B6" s="26"/>
      <c r="C6" s="26" t="s">
        <v>222</v>
      </c>
      <c r="D6" s="2">
        <v>40</v>
      </c>
      <c r="E6" s="2">
        <v>130</v>
      </c>
      <c r="F6" s="2">
        <v>450</v>
      </c>
      <c r="G6" s="2">
        <v>425</v>
      </c>
      <c r="H6" s="2">
        <v>450</v>
      </c>
      <c r="I6" s="2">
        <v>0</v>
      </c>
      <c r="J6" s="2" t="s">
        <v>36</v>
      </c>
      <c r="K6" s="2">
        <v>900</v>
      </c>
      <c r="L6" s="43">
        <f t="shared" si="1"/>
        <v>2.1176470588235294</v>
      </c>
      <c r="M6" s="2" t="s">
        <v>52</v>
      </c>
      <c r="N6" s="2">
        <v>6</v>
      </c>
      <c r="O6" s="2">
        <v>300</v>
      </c>
      <c r="P6" s="2">
        <v>210000</v>
      </c>
      <c r="Q6" s="2">
        <v>240</v>
      </c>
      <c r="R6" s="2">
        <f t="shared" si="2"/>
        <v>0.14499692307692308</v>
      </c>
      <c r="S6" s="2" t="s">
        <v>38</v>
      </c>
      <c r="T6" s="2" t="s">
        <v>43</v>
      </c>
      <c r="U6" s="2" t="s">
        <v>220</v>
      </c>
      <c r="V6" s="2">
        <v>105000</v>
      </c>
      <c r="W6" s="2">
        <v>0.43</v>
      </c>
      <c r="X6" s="2">
        <v>1400</v>
      </c>
      <c r="Y6" s="2">
        <v>40</v>
      </c>
      <c r="Z6" s="2">
        <v>300</v>
      </c>
      <c r="AA6" s="2">
        <f t="shared" si="3"/>
        <v>382.5</v>
      </c>
      <c r="AB6" s="2">
        <v>45</v>
      </c>
      <c r="AC6" s="2">
        <v>45</v>
      </c>
      <c r="AD6" s="49">
        <v>145.5</v>
      </c>
      <c r="AE6" s="2">
        <v>35.5</v>
      </c>
    </row>
    <row r="7" spans="1:32" x14ac:dyDescent="0.25">
      <c r="A7" s="2">
        <v>4</v>
      </c>
      <c r="B7" s="26"/>
      <c r="C7" s="26" t="s">
        <v>223</v>
      </c>
      <c r="D7" s="2">
        <v>40</v>
      </c>
      <c r="E7" s="2">
        <v>130</v>
      </c>
      <c r="F7" s="2">
        <v>450</v>
      </c>
      <c r="G7" s="2">
        <v>425</v>
      </c>
      <c r="H7" s="2">
        <v>450</v>
      </c>
      <c r="I7" s="2">
        <v>0</v>
      </c>
      <c r="J7" s="2" t="s">
        <v>36</v>
      </c>
      <c r="K7" s="2">
        <v>900</v>
      </c>
      <c r="L7" s="43">
        <f t="shared" si="1"/>
        <v>2.1176470588235294</v>
      </c>
      <c r="M7" s="2" t="s">
        <v>52</v>
      </c>
      <c r="N7" s="2">
        <v>6</v>
      </c>
      <c r="O7" s="2">
        <v>300</v>
      </c>
      <c r="P7" s="2">
        <v>210000</v>
      </c>
      <c r="Q7" s="2">
        <v>240</v>
      </c>
      <c r="R7" s="2">
        <f t="shared" si="2"/>
        <v>0.14499692307692308</v>
      </c>
      <c r="S7" s="2" t="s">
        <v>38</v>
      </c>
      <c r="T7" s="2" t="s">
        <v>43</v>
      </c>
      <c r="U7" s="2" t="s">
        <v>220</v>
      </c>
      <c r="V7" s="2">
        <v>105000</v>
      </c>
      <c r="W7" s="2">
        <v>0.43</v>
      </c>
      <c r="X7" s="2">
        <v>1400</v>
      </c>
      <c r="Y7" s="2">
        <v>40</v>
      </c>
      <c r="Z7" s="2">
        <v>350</v>
      </c>
      <c r="AA7" s="2">
        <f t="shared" si="3"/>
        <v>382.5</v>
      </c>
      <c r="AB7" s="2">
        <v>45</v>
      </c>
      <c r="AC7" s="2">
        <v>45</v>
      </c>
      <c r="AD7" s="49">
        <v>132</v>
      </c>
      <c r="AE7" s="2">
        <v>22</v>
      </c>
    </row>
    <row r="8" spans="1:32" x14ac:dyDescent="0.25">
      <c r="A8" s="2">
        <v>5</v>
      </c>
      <c r="B8" s="2"/>
      <c r="C8" s="2" t="s">
        <v>224</v>
      </c>
      <c r="D8" s="2">
        <v>41</v>
      </c>
      <c r="E8" s="2">
        <v>300</v>
      </c>
      <c r="F8" s="2">
        <v>300</v>
      </c>
      <c r="G8" s="2">
        <v>245</v>
      </c>
      <c r="H8" s="2">
        <v>300</v>
      </c>
      <c r="I8" s="2">
        <v>0</v>
      </c>
      <c r="J8" s="2" t="s">
        <v>36</v>
      </c>
      <c r="K8" s="2">
        <v>1000</v>
      </c>
      <c r="L8" s="43">
        <f t="shared" si="1"/>
        <v>4.0816326530612246</v>
      </c>
      <c r="M8" s="2" t="s">
        <v>37</v>
      </c>
      <c r="N8" s="2">
        <v>0</v>
      </c>
      <c r="O8" s="2"/>
      <c r="P8" s="2"/>
      <c r="Q8" s="2"/>
      <c r="R8" s="2"/>
      <c r="S8" s="2" t="s">
        <v>38</v>
      </c>
      <c r="T8" s="2" t="s">
        <v>225</v>
      </c>
      <c r="U8" s="2" t="s">
        <v>220</v>
      </c>
      <c r="V8" s="2">
        <v>230000</v>
      </c>
      <c r="W8" s="2">
        <v>0.16700000000000001</v>
      </c>
      <c r="X8" s="2">
        <v>3400</v>
      </c>
      <c r="Y8" s="2">
        <v>1</v>
      </c>
      <c r="Z8" s="2">
        <v>1</v>
      </c>
      <c r="AA8" s="2">
        <f t="shared" si="3"/>
        <v>220.5</v>
      </c>
      <c r="AB8" s="2">
        <v>90</v>
      </c>
      <c r="AC8" s="2">
        <v>45</v>
      </c>
      <c r="AD8" s="49">
        <f>457/2</f>
        <v>228.5</v>
      </c>
      <c r="AE8" s="2">
        <f>116.5/2</f>
        <v>58.25</v>
      </c>
    </row>
    <row r="9" spans="1:32" x14ac:dyDescent="0.25">
      <c r="A9" s="2">
        <v>6</v>
      </c>
      <c r="B9" s="2"/>
      <c r="C9" s="2" t="s">
        <v>226</v>
      </c>
      <c r="D9" s="2">
        <v>41.1</v>
      </c>
      <c r="E9" s="2">
        <v>300</v>
      </c>
      <c r="F9" s="2">
        <v>300</v>
      </c>
      <c r="G9" s="2">
        <v>245</v>
      </c>
      <c r="H9" s="2">
        <v>300</v>
      </c>
      <c r="I9" s="2">
        <v>0</v>
      </c>
      <c r="J9" s="2" t="s">
        <v>36</v>
      </c>
      <c r="K9" s="2">
        <v>1000</v>
      </c>
      <c r="L9" s="43">
        <f t="shared" si="1"/>
        <v>4.0816326530612246</v>
      </c>
      <c r="M9" s="2" t="s">
        <v>37</v>
      </c>
      <c r="N9" s="2">
        <v>0</v>
      </c>
      <c r="O9" s="2"/>
      <c r="P9" s="2"/>
      <c r="Q9" s="2"/>
      <c r="R9" s="2"/>
      <c r="S9" s="2" t="s">
        <v>38</v>
      </c>
      <c r="T9" s="2" t="s">
        <v>225</v>
      </c>
      <c r="U9" s="2" t="s">
        <v>220</v>
      </c>
      <c r="V9" s="2">
        <v>230000</v>
      </c>
      <c r="W9" s="2">
        <v>0.16700000000000001</v>
      </c>
      <c r="X9" s="2">
        <v>3400</v>
      </c>
      <c r="Y9" s="2">
        <v>1</v>
      </c>
      <c r="Z9" s="2">
        <v>1</v>
      </c>
      <c r="AA9" s="2">
        <f t="shared" si="3"/>
        <v>220.5</v>
      </c>
      <c r="AB9" s="2">
        <v>90</v>
      </c>
      <c r="AC9" s="2">
        <v>45</v>
      </c>
      <c r="AD9" s="49">
        <f>475/2</f>
        <v>237.5</v>
      </c>
      <c r="AE9" s="2">
        <f>125.5/2</f>
        <v>62.75</v>
      </c>
    </row>
    <row r="10" spans="1:32" x14ac:dyDescent="0.25">
      <c r="A10" s="2">
        <v>7</v>
      </c>
      <c r="B10" s="2" t="s">
        <v>217</v>
      </c>
      <c r="C10" s="2" t="s">
        <v>227</v>
      </c>
      <c r="D10" s="2">
        <v>42.4</v>
      </c>
      <c r="E10" s="2">
        <v>300</v>
      </c>
      <c r="F10" s="2">
        <v>300</v>
      </c>
      <c r="G10" s="2">
        <v>245</v>
      </c>
      <c r="H10" s="2">
        <v>300</v>
      </c>
      <c r="I10" s="2">
        <v>0</v>
      </c>
      <c r="J10" s="2" t="s">
        <v>36</v>
      </c>
      <c r="K10" s="2">
        <v>1000</v>
      </c>
      <c r="L10" s="43">
        <f t="shared" si="1"/>
        <v>4.0816326530612246</v>
      </c>
      <c r="M10" s="2" t="s">
        <v>37</v>
      </c>
      <c r="N10" s="2">
        <v>0</v>
      </c>
      <c r="O10" s="2"/>
      <c r="P10" s="2"/>
      <c r="Q10" s="2"/>
      <c r="R10" s="2"/>
      <c r="S10" s="2" t="s">
        <v>38</v>
      </c>
      <c r="T10" s="2" t="s">
        <v>225</v>
      </c>
      <c r="U10" s="2" t="s">
        <v>220</v>
      </c>
      <c r="V10" s="2">
        <v>230000</v>
      </c>
      <c r="W10" s="2">
        <v>0.16700000000000001</v>
      </c>
      <c r="X10" s="2">
        <v>3400</v>
      </c>
      <c r="Y10" s="2">
        <v>1</v>
      </c>
      <c r="Z10" s="2">
        <v>1</v>
      </c>
      <c r="AA10" s="2">
        <f t="shared" si="3"/>
        <v>220.5</v>
      </c>
      <c r="AB10" s="2">
        <v>90</v>
      </c>
      <c r="AC10" s="2">
        <v>45</v>
      </c>
      <c r="AD10" s="49">
        <f>500/2</f>
        <v>250</v>
      </c>
      <c r="AE10" s="2">
        <f>138/2</f>
        <v>69</v>
      </c>
    </row>
    <row r="11" spans="1:32" x14ac:dyDescent="0.25">
      <c r="A11" s="2">
        <v>8</v>
      </c>
      <c r="B11" s="2"/>
      <c r="C11" s="2" t="s">
        <v>228</v>
      </c>
      <c r="D11" s="2">
        <v>41.8</v>
      </c>
      <c r="E11" s="2">
        <v>300</v>
      </c>
      <c r="F11" s="2">
        <v>300</v>
      </c>
      <c r="G11" s="2">
        <v>245</v>
      </c>
      <c r="H11" s="2">
        <v>300</v>
      </c>
      <c r="I11" s="2">
        <v>0</v>
      </c>
      <c r="J11" s="2" t="s">
        <v>36</v>
      </c>
      <c r="K11" s="2">
        <v>1000</v>
      </c>
      <c r="L11" s="43">
        <f>K11/G11</f>
        <v>4.0816326530612246</v>
      </c>
      <c r="M11" s="2" t="s">
        <v>37</v>
      </c>
      <c r="N11" s="2">
        <v>0</v>
      </c>
      <c r="O11" s="2"/>
      <c r="P11" s="2"/>
      <c r="Q11" s="2"/>
      <c r="R11" s="2"/>
      <c r="S11" s="2" t="s">
        <v>140</v>
      </c>
      <c r="T11" s="2" t="s">
        <v>225</v>
      </c>
      <c r="U11" s="2" t="s">
        <v>220</v>
      </c>
      <c r="V11" s="2">
        <v>120000</v>
      </c>
      <c r="W11" s="2">
        <v>0.28599999999999998</v>
      </c>
      <c r="X11" s="2">
        <v>2000</v>
      </c>
      <c r="Y11" s="2">
        <v>1</v>
      </c>
      <c r="Z11" s="2">
        <v>1</v>
      </c>
      <c r="AA11" s="2">
        <f>0.9*G11-(F11-H11)-I11</f>
        <v>220.5</v>
      </c>
      <c r="AB11" s="2">
        <v>90</v>
      </c>
      <c r="AC11" s="2">
        <v>45</v>
      </c>
      <c r="AD11" s="49">
        <f>400/2</f>
        <v>200</v>
      </c>
      <c r="AE11" s="2">
        <f>88/2</f>
        <v>44</v>
      </c>
    </row>
    <row r="12" spans="1:32" x14ac:dyDescent="0.25">
      <c r="A12" s="2">
        <v>9</v>
      </c>
      <c r="B12" s="2"/>
      <c r="C12" s="2" t="s">
        <v>229</v>
      </c>
      <c r="D12" s="2">
        <v>43.9</v>
      </c>
      <c r="E12" s="2">
        <v>300</v>
      </c>
      <c r="F12" s="2">
        <v>300</v>
      </c>
      <c r="G12" s="2">
        <v>245</v>
      </c>
      <c r="H12" s="2">
        <v>300</v>
      </c>
      <c r="I12" s="2">
        <v>0</v>
      </c>
      <c r="J12" s="2" t="s">
        <v>36</v>
      </c>
      <c r="K12" s="2">
        <v>1000</v>
      </c>
      <c r="L12" s="43">
        <f>K12/G12</f>
        <v>4.0816326530612246</v>
      </c>
      <c r="M12" s="2" t="s">
        <v>37</v>
      </c>
      <c r="N12" s="2">
        <v>0</v>
      </c>
      <c r="O12" s="2"/>
      <c r="P12" s="2"/>
      <c r="Q12" s="2"/>
      <c r="R12" s="2"/>
      <c r="S12" s="2" t="s">
        <v>140</v>
      </c>
      <c r="T12" s="2" t="s">
        <v>225</v>
      </c>
      <c r="U12" s="2" t="s">
        <v>220</v>
      </c>
      <c r="V12" s="2">
        <v>120000</v>
      </c>
      <c r="W12" s="2">
        <v>0.28599999999999998</v>
      </c>
      <c r="X12" s="2">
        <v>2000</v>
      </c>
      <c r="Y12" s="2">
        <v>1</v>
      </c>
      <c r="Z12" s="2">
        <v>1</v>
      </c>
      <c r="AA12" s="2">
        <f>0.9*G12-(F12-H12)-I12</f>
        <v>220.5</v>
      </c>
      <c r="AB12" s="2">
        <v>90</v>
      </c>
      <c r="AC12" s="2">
        <v>45</v>
      </c>
      <c r="AD12" s="49">
        <f>490/2</f>
        <v>245</v>
      </c>
      <c r="AE12" s="2">
        <f>133/2</f>
        <v>66.5</v>
      </c>
    </row>
    <row r="13" spans="1:32" x14ac:dyDescent="0.25">
      <c r="A13" s="2">
        <v>10</v>
      </c>
      <c r="B13" s="2"/>
      <c r="C13" s="2" t="s">
        <v>230</v>
      </c>
      <c r="D13" s="2">
        <v>43.5</v>
      </c>
      <c r="E13" s="2">
        <v>300</v>
      </c>
      <c r="F13" s="2">
        <v>300</v>
      </c>
      <c r="G13" s="2">
        <v>245</v>
      </c>
      <c r="H13" s="2">
        <v>300</v>
      </c>
      <c r="I13" s="2">
        <v>0</v>
      </c>
      <c r="J13" s="2" t="s">
        <v>36</v>
      </c>
      <c r="K13" s="2">
        <v>1000</v>
      </c>
      <c r="L13" s="43">
        <f>K13/G13</f>
        <v>4.0816326530612246</v>
      </c>
      <c r="M13" s="2" t="s">
        <v>37</v>
      </c>
      <c r="N13" s="2">
        <v>0</v>
      </c>
      <c r="O13" s="2"/>
      <c r="P13" s="2"/>
      <c r="Q13" s="2"/>
      <c r="R13" s="2"/>
      <c r="S13" s="2" t="s">
        <v>140</v>
      </c>
      <c r="T13" s="2" t="s">
        <v>225</v>
      </c>
      <c r="U13" s="2" t="s">
        <v>220</v>
      </c>
      <c r="V13" s="2">
        <v>120000</v>
      </c>
      <c r="W13" s="2">
        <v>0.28599999999999998</v>
      </c>
      <c r="X13" s="2">
        <v>2000</v>
      </c>
      <c r="Y13" s="2">
        <v>1</v>
      </c>
      <c r="Z13" s="2">
        <v>1</v>
      </c>
      <c r="AA13" s="2">
        <f>0.9*G13-(F13-H13)-I13</f>
        <v>220.5</v>
      </c>
      <c r="AB13" s="2">
        <v>90</v>
      </c>
      <c r="AC13" s="2">
        <v>45</v>
      </c>
      <c r="AD13" s="49">
        <f>488/2</f>
        <v>244</v>
      </c>
      <c r="AE13" s="2">
        <f>132/2</f>
        <v>66</v>
      </c>
    </row>
    <row r="14" spans="1:32" x14ac:dyDescent="0.25">
      <c r="A14" s="2">
        <v>11</v>
      </c>
      <c r="B14" s="2"/>
      <c r="C14" s="16" t="s">
        <v>231</v>
      </c>
      <c r="D14" s="2">
        <v>46</v>
      </c>
      <c r="E14" s="2">
        <v>180</v>
      </c>
      <c r="F14" s="2">
        <v>500</v>
      </c>
      <c r="G14" s="2">
        <f>F14-84</f>
        <v>416</v>
      </c>
      <c r="H14" s="2">
        <v>500</v>
      </c>
      <c r="I14" s="2">
        <v>0</v>
      </c>
      <c r="J14" s="2" t="s">
        <v>36</v>
      </c>
      <c r="K14" s="2">
        <v>1250</v>
      </c>
      <c r="L14" s="43">
        <f t="shared" ref="L14:L34" si="4">K14/G14</f>
        <v>3.0048076923076925</v>
      </c>
      <c r="M14" s="2" t="s">
        <v>37</v>
      </c>
      <c r="N14" s="2">
        <v>0</v>
      </c>
      <c r="O14" s="2"/>
      <c r="P14" s="2"/>
      <c r="Q14" s="2"/>
      <c r="R14" s="2"/>
      <c r="S14" s="2" t="s">
        <v>38</v>
      </c>
      <c r="T14" s="2" t="s">
        <v>225</v>
      </c>
      <c r="U14" s="2" t="s">
        <v>220</v>
      </c>
      <c r="V14" s="2">
        <v>234000</v>
      </c>
      <c r="W14" s="16">
        <f>200/1100</f>
        <v>0.18181818181818182</v>
      </c>
      <c r="X14" s="2">
        <v>4500</v>
      </c>
      <c r="Y14" s="2">
        <v>1</v>
      </c>
      <c r="Z14" s="2">
        <f>Y14/SIN(AB14/180*PI())</f>
        <v>1.4142135623730951</v>
      </c>
      <c r="AA14" s="2">
        <f t="shared" ref="AA14:AA56" si="5">0.9*G14-(F14-H14)-I14</f>
        <v>374.40000000000003</v>
      </c>
      <c r="AB14" s="2">
        <v>45</v>
      </c>
      <c r="AC14" s="2">
        <v>30</v>
      </c>
      <c r="AD14" s="49">
        <v>338</v>
      </c>
      <c r="AE14" s="2" t="s">
        <v>37</v>
      </c>
    </row>
    <row r="15" spans="1:32" x14ac:dyDescent="0.25">
      <c r="A15" s="2">
        <v>12</v>
      </c>
      <c r="B15" s="2" t="s">
        <v>116</v>
      </c>
      <c r="C15" s="2" t="s">
        <v>232</v>
      </c>
      <c r="D15" s="2">
        <v>52</v>
      </c>
      <c r="E15" s="2">
        <v>180</v>
      </c>
      <c r="F15" s="2">
        <v>500</v>
      </c>
      <c r="G15" s="2">
        <f>F15-84</f>
        <v>416</v>
      </c>
      <c r="H15" s="2">
        <v>500</v>
      </c>
      <c r="I15" s="2">
        <v>0</v>
      </c>
      <c r="J15" s="2" t="s">
        <v>36</v>
      </c>
      <c r="K15" s="2">
        <v>1250</v>
      </c>
      <c r="L15" s="43">
        <f t="shared" si="4"/>
        <v>3.0048076923076925</v>
      </c>
      <c r="M15" s="2" t="s">
        <v>37</v>
      </c>
      <c r="N15" s="2">
        <v>0</v>
      </c>
      <c r="O15" s="2"/>
      <c r="P15" s="2"/>
      <c r="Q15" s="2"/>
      <c r="R15" s="2"/>
      <c r="S15" s="2" t="s">
        <v>38</v>
      </c>
      <c r="T15" s="2" t="s">
        <v>225</v>
      </c>
      <c r="U15" s="2" t="s">
        <v>220</v>
      </c>
      <c r="V15" s="2">
        <v>234000</v>
      </c>
      <c r="W15" s="16">
        <f t="shared" ref="W15:W16" si="6">200/1100</f>
        <v>0.18181818181818182</v>
      </c>
      <c r="X15" s="2">
        <v>4500</v>
      </c>
      <c r="Y15" s="2">
        <v>1</v>
      </c>
      <c r="Z15" s="2">
        <f>Y15/SIN(AB15/180*PI())</f>
        <v>1</v>
      </c>
      <c r="AA15" s="2">
        <f t="shared" si="5"/>
        <v>374.40000000000003</v>
      </c>
      <c r="AB15" s="2">
        <v>90</v>
      </c>
      <c r="AC15" s="2">
        <v>30</v>
      </c>
      <c r="AD15" s="49">
        <v>367</v>
      </c>
      <c r="AE15" s="2" t="s">
        <v>37</v>
      </c>
    </row>
    <row r="16" spans="1:32" x14ac:dyDescent="0.25">
      <c r="A16" s="2">
        <v>13</v>
      </c>
      <c r="B16" s="2"/>
      <c r="C16" s="16" t="s">
        <v>233</v>
      </c>
      <c r="D16" s="2">
        <v>46</v>
      </c>
      <c r="E16" s="2">
        <v>180</v>
      </c>
      <c r="F16" s="2">
        <v>500</v>
      </c>
      <c r="G16" s="2">
        <f>F16-84</f>
        <v>416</v>
      </c>
      <c r="H16" s="2">
        <v>500</v>
      </c>
      <c r="I16" s="2">
        <v>0</v>
      </c>
      <c r="J16" s="2" t="s">
        <v>36</v>
      </c>
      <c r="K16" s="2">
        <v>1250</v>
      </c>
      <c r="L16" s="43">
        <f t="shared" si="4"/>
        <v>3.0048076923076925</v>
      </c>
      <c r="M16" s="2" t="s">
        <v>37</v>
      </c>
      <c r="N16" s="2">
        <v>0</v>
      </c>
      <c r="O16" s="2"/>
      <c r="P16" s="2"/>
      <c r="Q16" s="2"/>
      <c r="R16" s="2"/>
      <c r="S16" s="2" t="s">
        <v>38</v>
      </c>
      <c r="T16" s="2" t="s">
        <v>225</v>
      </c>
      <c r="U16" s="2" t="s">
        <v>220</v>
      </c>
      <c r="V16" s="2">
        <v>234000</v>
      </c>
      <c r="W16" s="16">
        <f t="shared" si="6"/>
        <v>0.18181818181818182</v>
      </c>
      <c r="X16" s="2">
        <v>4500</v>
      </c>
      <c r="Y16" s="2">
        <v>1</v>
      </c>
      <c r="Z16" s="2">
        <f>Y16/SIN(AB16/180*PI())</f>
        <v>1</v>
      </c>
      <c r="AA16" s="2">
        <f t="shared" si="5"/>
        <v>374.40000000000003</v>
      </c>
      <c r="AB16" s="2">
        <v>90</v>
      </c>
      <c r="AC16" s="2">
        <v>30</v>
      </c>
      <c r="AD16" s="49">
        <v>388</v>
      </c>
      <c r="AE16" s="2" t="s">
        <v>37</v>
      </c>
    </row>
    <row r="17" spans="1:31" x14ac:dyDescent="0.25">
      <c r="A17" s="2">
        <v>14</v>
      </c>
      <c r="B17" s="26" t="s">
        <v>161</v>
      </c>
      <c r="C17" s="26" t="s">
        <v>234</v>
      </c>
      <c r="D17" s="2">
        <v>13.3</v>
      </c>
      <c r="E17" s="2">
        <v>250</v>
      </c>
      <c r="F17" s="2">
        <v>450</v>
      </c>
      <c r="G17" s="16">
        <v>400</v>
      </c>
      <c r="H17" s="2">
        <v>450</v>
      </c>
      <c r="I17" s="2">
        <v>0</v>
      </c>
      <c r="J17" s="2" t="s">
        <v>36</v>
      </c>
      <c r="K17" s="2">
        <v>1400</v>
      </c>
      <c r="L17" s="43">
        <f t="shared" si="4"/>
        <v>3.5</v>
      </c>
      <c r="M17" s="2" t="s">
        <v>18</v>
      </c>
      <c r="N17" s="2">
        <v>8</v>
      </c>
      <c r="O17" s="2">
        <v>400</v>
      </c>
      <c r="P17" s="16">
        <v>200000</v>
      </c>
      <c r="Q17" s="2">
        <v>500</v>
      </c>
      <c r="R17" s="2">
        <f t="shared" ref="R17:R37" si="7">100*2*3.1416*N17^2/4/O17/E17</f>
        <v>0.10053119999999999</v>
      </c>
      <c r="S17" s="2" t="s">
        <v>38</v>
      </c>
      <c r="T17" s="2" t="s">
        <v>43</v>
      </c>
      <c r="U17" s="2" t="s">
        <v>220</v>
      </c>
      <c r="V17" s="2">
        <v>390000</v>
      </c>
      <c r="W17" s="2">
        <v>0.22</v>
      </c>
      <c r="X17" s="2">
        <v>3000</v>
      </c>
      <c r="Y17" s="2">
        <v>50</v>
      </c>
      <c r="Z17" s="2">
        <f>150/SIN(PI()/4)</f>
        <v>212.13203435596427</v>
      </c>
      <c r="AA17" s="2">
        <f t="shared" si="5"/>
        <v>360</v>
      </c>
      <c r="AB17" s="2">
        <v>45</v>
      </c>
      <c r="AC17" s="2">
        <v>45</v>
      </c>
      <c r="AD17" s="49">
        <v>158.5</v>
      </c>
      <c r="AE17" s="2" t="s">
        <v>37</v>
      </c>
    </row>
    <row r="18" spans="1:31" x14ac:dyDescent="0.25">
      <c r="A18" s="2">
        <v>15</v>
      </c>
      <c r="B18" s="2"/>
      <c r="C18" s="2" t="s">
        <v>235</v>
      </c>
      <c r="D18" s="2">
        <v>30.9</v>
      </c>
      <c r="E18" s="2">
        <v>76</v>
      </c>
      <c r="F18" s="2">
        <v>180</v>
      </c>
      <c r="G18" s="2">
        <v>155</v>
      </c>
      <c r="H18" s="2">
        <v>180</v>
      </c>
      <c r="I18" s="2">
        <v>0</v>
      </c>
      <c r="J18" s="2" t="s">
        <v>36</v>
      </c>
      <c r="K18" s="2">
        <v>450</v>
      </c>
      <c r="L18" s="43">
        <f t="shared" si="4"/>
        <v>2.903225806451613</v>
      </c>
      <c r="M18" s="2" t="s">
        <v>52</v>
      </c>
      <c r="N18" s="2">
        <v>4</v>
      </c>
      <c r="O18" s="2">
        <v>120</v>
      </c>
      <c r="P18" s="16">
        <v>200000</v>
      </c>
      <c r="Q18" s="16">
        <v>500</v>
      </c>
      <c r="R18" s="2">
        <f t="shared" si="7"/>
        <v>0.27557894736842103</v>
      </c>
      <c r="S18" s="2" t="s">
        <v>38</v>
      </c>
      <c r="T18" s="2" t="s">
        <v>43</v>
      </c>
      <c r="U18" s="2" t="s">
        <v>220</v>
      </c>
      <c r="V18" s="2">
        <v>235000</v>
      </c>
      <c r="W18" s="2">
        <v>0.11</v>
      </c>
      <c r="X18" s="2">
        <v>4200</v>
      </c>
      <c r="Y18" s="2">
        <v>20</v>
      </c>
      <c r="Z18" s="2">
        <v>60</v>
      </c>
      <c r="AA18" s="2">
        <f t="shared" si="5"/>
        <v>139.5</v>
      </c>
      <c r="AB18" s="2">
        <v>90</v>
      </c>
      <c r="AC18" s="2">
        <v>45</v>
      </c>
      <c r="AD18" s="49">
        <f>132.2/2</f>
        <v>66.099999999999994</v>
      </c>
      <c r="AE18" s="2">
        <f>50.7/2</f>
        <v>25.35</v>
      </c>
    </row>
    <row r="19" spans="1:31" x14ac:dyDescent="0.25">
      <c r="A19" s="2">
        <v>16</v>
      </c>
      <c r="B19" s="2"/>
      <c r="C19" s="2" t="s">
        <v>236</v>
      </c>
      <c r="D19" s="2">
        <v>30.9</v>
      </c>
      <c r="E19" s="2">
        <v>76</v>
      </c>
      <c r="F19" s="2">
        <v>180</v>
      </c>
      <c r="G19" s="2">
        <v>155</v>
      </c>
      <c r="H19" s="2">
        <v>180</v>
      </c>
      <c r="I19" s="2">
        <v>0</v>
      </c>
      <c r="J19" s="2" t="s">
        <v>36</v>
      </c>
      <c r="K19" s="2">
        <v>450</v>
      </c>
      <c r="L19" s="43">
        <f t="shared" si="4"/>
        <v>2.903225806451613</v>
      </c>
      <c r="M19" s="2" t="s">
        <v>52</v>
      </c>
      <c r="N19" s="2">
        <v>4</v>
      </c>
      <c r="O19" s="2">
        <v>120</v>
      </c>
      <c r="P19" s="16">
        <v>200000</v>
      </c>
      <c r="Q19" s="16">
        <v>500</v>
      </c>
      <c r="R19" s="2">
        <f t="shared" si="7"/>
        <v>0.27557894736842103</v>
      </c>
      <c r="S19" s="2" t="s">
        <v>38</v>
      </c>
      <c r="T19" s="2" t="s">
        <v>43</v>
      </c>
      <c r="U19" s="2" t="s">
        <v>220</v>
      </c>
      <c r="V19" s="2">
        <v>235000</v>
      </c>
      <c r="W19" s="2">
        <v>0.11</v>
      </c>
      <c r="X19" s="2">
        <v>4200</v>
      </c>
      <c r="Y19" s="2">
        <v>20</v>
      </c>
      <c r="Z19" s="2">
        <v>60</v>
      </c>
      <c r="AA19" s="2">
        <f t="shared" si="5"/>
        <v>139.5</v>
      </c>
      <c r="AB19" s="2">
        <v>90</v>
      </c>
      <c r="AC19" s="2">
        <v>45</v>
      </c>
      <c r="AD19" s="49">
        <f>133.3/2</f>
        <v>66.650000000000006</v>
      </c>
      <c r="AE19" s="2">
        <f>51.8/2</f>
        <v>25.9</v>
      </c>
    </row>
    <row r="20" spans="1:31" x14ac:dyDescent="0.25">
      <c r="A20" s="2">
        <v>17</v>
      </c>
      <c r="B20" s="2" t="s">
        <v>237</v>
      </c>
      <c r="C20" s="2" t="s">
        <v>238</v>
      </c>
      <c r="D20" s="2">
        <v>30.9</v>
      </c>
      <c r="E20" s="2">
        <v>150</v>
      </c>
      <c r="F20" s="2">
        <v>360</v>
      </c>
      <c r="G20" s="2">
        <v>305</v>
      </c>
      <c r="H20" s="2">
        <v>360</v>
      </c>
      <c r="I20" s="2">
        <v>0</v>
      </c>
      <c r="J20" s="2" t="s">
        <v>36</v>
      </c>
      <c r="K20" s="2">
        <v>900</v>
      </c>
      <c r="L20" s="43">
        <f t="shared" si="4"/>
        <v>2.9508196721311477</v>
      </c>
      <c r="M20" s="2" t="s">
        <v>52</v>
      </c>
      <c r="N20" s="2">
        <v>6</v>
      </c>
      <c r="O20" s="2">
        <v>135</v>
      </c>
      <c r="P20" s="16">
        <v>200000</v>
      </c>
      <c r="Q20" s="16">
        <v>500</v>
      </c>
      <c r="R20" s="2">
        <f t="shared" si="7"/>
        <v>0.2792533333333333</v>
      </c>
      <c r="S20" s="2" t="s">
        <v>38</v>
      </c>
      <c r="T20" s="2" t="s">
        <v>43</v>
      </c>
      <c r="U20" s="2" t="s">
        <v>220</v>
      </c>
      <c r="V20" s="2">
        <v>235000</v>
      </c>
      <c r="W20" s="2">
        <v>0.22</v>
      </c>
      <c r="X20" s="2">
        <v>4200</v>
      </c>
      <c r="Y20" s="2">
        <v>40</v>
      </c>
      <c r="Z20" s="2">
        <v>120</v>
      </c>
      <c r="AA20" s="2">
        <f t="shared" si="5"/>
        <v>274.5</v>
      </c>
      <c r="AB20" s="2">
        <v>90</v>
      </c>
      <c r="AC20" s="2">
        <v>45</v>
      </c>
      <c r="AD20" s="49">
        <f>472.7/2</f>
        <v>236.35</v>
      </c>
      <c r="AE20" s="2">
        <f>173/2</f>
        <v>86.5</v>
      </c>
    </row>
    <row r="21" spans="1:31" x14ac:dyDescent="0.25">
      <c r="A21" s="2">
        <v>18</v>
      </c>
      <c r="B21" s="2"/>
      <c r="C21" s="2" t="s">
        <v>239</v>
      </c>
      <c r="D21" s="2">
        <v>30.9</v>
      </c>
      <c r="E21" s="2">
        <v>150</v>
      </c>
      <c r="F21" s="2">
        <v>360</v>
      </c>
      <c r="G21" s="2">
        <v>305</v>
      </c>
      <c r="H21" s="2">
        <v>360</v>
      </c>
      <c r="I21" s="2">
        <v>0</v>
      </c>
      <c r="J21" s="2" t="s">
        <v>36</v>
      </c>
      <c r="K21" s="2">
        <v>900</v>
      </c>
      <c r="L21" s="43">
        <f t="shared" si="4"/>
        <v>2.9508196721311477</v>
      </c>
      <c r="M21" s="2" t="s">
        <v>52</v>
      </c>
      <c r="N21" s="2">
        <v>6</v>
      </c>
      <c r="O21" s="2">
        <v>135</v>
      </c>
      <c r="P21" s="16">
        <v>200000</v>
      </c>
      <c r="Q21" s="16">
        <v>500</v>
      </c>
      <c r="R21" s="2">
        <f t="shared" si="7"/>
        <v>0.2792533333333333</v>
      </c>
      <c r="S21" s="2" t="s">
        <v>38</v>
      </c>
      <c r="T21" s="2" t="s">
        <v>43</v>
      </c>
      <c r="U21" s="2" t="s">
        <v>220</v>
      </c>
      <c r="V21" s="2">
        <v>235000</v>
      </c>
      <c r="W21" s="2">
        <v>0.22</v>
      </c>
      <c r="X21" s="2">
        <v>4200</v>
      </c>
      <c r="Y21" s="2">
        <v>40</v>
      </c>
      <c r="Z21" s="2">
        <v>120</v>
      </c>
      <c r="AA21" s="2">
        <f t="shared" si="5"/>
        <v>274.5</v>
      </c>
      <c r="AB21" s="2">
        <v>90</v>
      </c>
      <c r="AC21" s="2">
        <v>45</v>
      </c>
      <c r="AD21" s="49">
        <f>500.6/2</f>
        <v>250.3</v>
      </c>
      <c r="AE21" s="2">
        <f>200.9/2</f>
        <v>100.45</v>
      </c>
    </row>
    <row r="22" spans="1:31" x14ac:dyDescent="0.25">
      <c r="A22" s="2">
        <v>19</v>
      </c>
      <c r="B22" s="2"/>
      <c r="C22" s="2" t="s">
        <v>240</v>
      </c>
      <c r="D22" s="2">
        <v>30.9</v>
      </c>
      <c r="E22" s="2">
        <v>300</v>
      </c>
      <c r="F22" s="2">
        <v>720</v>
      </c>
      <c r="G22" s="2">
        <v>660</v>
      </c>
      <c r="H22" s="2">
        <v>720</v>
      </c>
      <c r="I22" s="2">
        <v>0</v>
      </c>
      <c r="J22" s="2" t="s">
        <v>36</v>
      </c>
      <c r="K22" s="2">
        <v>1800</v>
      </c>
      <c r="L22" s="43">
        <f t="shared" si="4"/>
        <v>2.7272727272727271</v>
      </c>
      <c r="M22" s="2" t="s">
        <v>52</v>
      </c>
      <c r="N22" s="2">
        <v>8</v>
      </c>
      <c r="O22" s="2">
        <v>240</v>
      </c>
      <c r="P22" s="16">
        <v>200000</v>
      </c>
      <c r="Q22" s="16">
        <v>500</v>
      </c>
      <c r="R22" s="2">
        <f t="shared" si="7"/>
        <v>0.13962666666666665</v>
      </c>
      <c r="S22" s="2" t="s">
        <v>38</v>
      </c>
      <c r="T22" s="2" t="s">
        <v>43</v>
      </c>
      <c r="U22" s="2" t="s">
        <v>220</v>
      </c>
      <c r="V22" s="2">
        <v>235000</v>
      </c>
      <c r="W22" s="2">
        <v>0.44</v>
      </c>
      <c r="X22" s="2">
        <v>4200</v>
      </c>
      <c r="Y22" s="2">
        <v>80</v>
      </c>
      <c r="Z22" s="2">
        <v>240</v>
      </c>
      <c r="AA22" s="2">
        <f t="shared" si="5"/>
        <v>594</v>
      </c>
      <c r="AB22" s="2">
        <v>90</v>
      </c>
      <c r="AC22" s="2">
        <v>45</v>
      </c>
      <c r="AD22" s="49">
        <f>1743.1/2</f>
        <v>871.55</v>
      </c>
      <c r="AE22" s="2">
        <f>667.1/2</f>
        <v>333.55</v>
      </c>
    </row>
    <row r="23" spans="1:31" x14ac:dyDescent="0.25">
      <c r="A23" s="2">
        <v>20</v>
      </c>
      <c r="B23" s="2"/>
      <c r="C23" s="2" t="s">
        <v>241</v>
      </c>
      <c r="D23" s="2">
        <v>30.9</v>
      </c>
      <c r="E23" s="2">
        <v>300</v>
      </c>
      <c r="F23" s="2">
        <v>720</v>
      </c>
      <c r="G23" s="2">
        <v>660</v>
      </c>
      <c r="H23" s="2">
        <v>720</v>
      </c>
      <c r="I23" s="2">
        <v>0</v>
      </c>
      <c r="J23" s="2" t="s">
        <v>36</v>
      </c>
      <c r="K23" s="2">
        <v>1800</v>
      </c>
      <c r="L23" s="43">
        <f t="shared" si="4"/>
        <v>2.7272727272727271</v>
      </c>
      <c r="M23" s="2" t="s">
        <v>52</v>
      </c>
      <c r="N23" s="2">
        <v>8</v>
      </c>
      <c r="O23" s="2">
        <v>240</v>
      </c>
      <c r="P23" s="16">
        <v>200000</v>
      </c>
      <c r="Q23" s="16">
        <v>500</v>
      </c>
      <c r="R23" s="2">
        <f t="shared" si="7"/>
        <v>0.13962666666666665</v>
      </c>
      <c r="S23" s="2" t="s">
        <v>38</v>
      </c>
      <c r="T23" s="2" t="s">
        <v>43</v>
      </c>
      <c r="U23" s="2" t="s">
        <v>220</v>
      </c>
      <c r="V23" s="2">
        <v>235000</v>
      </c>
      <c r="W23" s="2">
        <v>0.44</v>
      </c>
      <c r="X23" s="2">
        <v>4200</v>
      </c>
      <c r="Y23" s="2">
        <v>80</v>
      </c>
      <c r="Z23" s="2">
        <v>240</v>
      </c>
      <c r="AA23" s="2">
        <f t="shared" si="5"/>
        <v>594</v>
      </c>
      <c r="AB23" s="2">
        <v>90</v>
      </c>
      <c r="AC23" s="2">
        <v>45</v>
      </c>
      <c r="AD23" s="49">
        <f>1762.3/2</f>
        <v>881.15</v>
      </c>
      <c r="AE23" s="2">
        <f>686.3/2</f>
        <v>343.15</v>
      </c>
    </row>
    <row r="24" spans="1:31" x14ac:dyDescent="0.25">
      <c r="A24" s="2">
        <v>21</v>
      </c>
      <c r="B24" s="26"/>
      <c r="C24" s="26" t="s">
        <v>242</v>
      </c>
      <c r="D24" s="2">
        <v>41.03</v>
      </c>
      <c r="E24" s="2">
        <v>150</v>
      </c>
      <c r="F24" s="2">
        <v>350</v>
      </c>
      <c r="G24" s="16">
        <v>300</v>
      </c>
      <c r="H24" s="2">
        <v>350</v>
      </c>
      <c r="I24" s="2">
        <v>0</v>
      </c>
      <c r="J24" s="2" t="s">
        <v>36</v>
      </c>
      <c r="K24" s="2">
        <v>900</v>
      </c>
      <c r="L24" s="43">
        <f t="shared" si="4"/>
        <v>3</v>
      </c>
      <c r="M24" s="2" t="s">
        <v>52</v>
      </c>
      <c r="N24" s="2">
        <v>6</v>
      </c>
      <c r="O24" s="16">
        <v>160</v>
      </c>
      <c r="P24" s="16">
        <v>200000</v>
      </c>
      <c r="Q24" s="2">
        <v>494.5</v>
      </c>
      <c r="R24" s="2">
        <f t="shared" si="7"/>
        <v>0.23561999999999997</v>
      </c>
      <c r="S24" s="18" t="s">
        <v>106</v>
      </c>
      <c r="T24" s="2" t="s">
        <v>225</v>
      </c>
      <c r="U24" s="2" t="s">
        <v>220</v>
      </c>
      <c r="V24" s="2">
        <v>75900</v>
      </c>
      <c r="W24" s="2">
        <v>0.12</v>
      </c>
      <c r="X24" s="2">
        <v>3600</v>
      </c>
      <c r="Y24" s="2">
        <v>1</v>
      </c>
      <c r="Z24" s="2">
        <v>1</v>
      </c>
      <c r="AA24" s="2">
        <f t="shared" si="5"/>
        <v>270</v>
      </c>
      <c r="AB24" s="2">
        <v>90</v>
      </c>
      <c r="AC24" s="2">
        <v>45</v>
      </c>
      <c r="AD24" s="49">
        <v>242</v>
      </c>
      <c r="AE24" s="2" t="s">
        <v>37</v>
      </c>
    </row>
    <row r="25" spans="1:31" x14ac:dyDescent="0.25">
      <c r="A25" s="2">
        <v>22</v>
      </c>
      <c r="B25" s="26" t="s">
        <v>243</v>
      </c>
      <c r="C25" s="26" t="s">
        <v>244</v>
      </c>
      <c r="D25" s="2">
        <v>41.03</v>
      </c>
      <c r="E25" s="2">
        <v>150</v>
      </c>
      <c r="F25" s="2">
        <v>350</v>
      </c>
      <c r="G25" s="16">
        <v>300</v>
      </c>
      <c r="H25" s="2">
        <v>350</v>
      </c>
      <c r="I25" s="2">
        <v>0</v>
      </c>
      <c r="J25" s="2" t="s">
        <v>36</v>
      </c>
      <c r="K25" s="2">
        <v>900</v>
      </c>
      <c r="L25" s="43">
        <f t="shared" si="4"/>
        <v>3</v>
      </c>
      <c r="M25" s="2" t="s">
        <v>52</v>
      </c>
      <c r="N25" s="2">
        <v>6</v>
      </c>
      <c r="O25" s="16">
        <v>160</v>
      </c>
      <c r="P25" s="16">
        <v>200000</v>
      </c>
      <c r="Q25" s="2">
        <v>494.5</v>
      </c>
      <c r="R25" s="2">
        <f t="shared" si="7"/>
        <v>0.23561999999999997</v>
      </c>
      <c r="S25" s="18" t="s">
        <v>106</v>
      </c>
      <c r="T25" s="2" t="s">
        <v>225</v>
      </c>
      <c r="U25" s="2" t="s">
        <v>220</v>
      </c>
      <c r="V25" s="2">
        <v>75900</v>
      </c>
      <c r="W25" s="2">
        <v>0.24</v>
      </c>
      <c r="X25" s="2">
        <v>3600</v>
      </c>
      <c r="Y25" s="2">
        <v>1</v>
      </c>
      <c r="Z25" s="2">
        <v>1</v>
      </c>
      <c r="AA25" s="2">
        <f t="shared" si="5"/>
        <v>270</v>
      </c>
      <c r="AB25" s="2">
        <v>90</v>
      </c>
      <c r="AC25" s="2">
        <v>45</v>
      </c>
      <c r="AD25" s="49">
        <v>270</v>
      </c>
      <c r="AE25" s="2" t="s">
        <v>37</v>
      </c>
    </row>
    <row r="26" spans="1:31" x14ac:dyDescent="0.25">
      <c r="A26" s="2">
        <v>23</v>
      </c>
      <c r="B26" s="26"/>
      <c r="C26" s="26" t="s">
        <v>245</v>
      </c>
      <c r="D26" s="2">
        <v>41.03</v>
      </c>
      <c r="E26" s="2">
        <v>150</v>
      </c>
      <c r="F26" s="2">
        <v>350</v>
      </c>
      <c r="G26" s="16">
        <v>300</v>
      </c>
      <c r="H26" s="2">
        <v>350</v>
      </c>
      <c r="I26" s="2">
        <v>0</v>
      </c>
      <c r="J26" s="2" t="s">
        <v>36</v>
      </c>
      <c r="K26" s="2">
        <v>900</v>
      </c>
      <c r="L26" s="43">
        <f t="shared" si="4"/>
        <v>3</v>
      </c>
      <c r="M26" s="2" t="s">
        <v>52</v>
      </c>
      <c r="N26" s="2">
        <v>6</v>
      </c>
      <c r="O26" s="16">
        <v>160</v>
      </c>
      <c r="P26" s="16">
        <v>200000</v>
      </c>
      <c r="Q26" s="2">
        <v>494.5</v>
      </c>
      <c r="R26" s="2">
        <f t="shared" si="7"/>
        <v>0.23561999999999997</v>
      </c>
      <c r="S26" s="18" t="s">
        <v>106</v>
      </c>
      <c r="T26" s="2" t="s">
        <v>225</v>
      </c>
      <c r="U26" s="2" t="s">
        <v>220</v>
      </c>
      <c r="V26" s="2">
        <v>75900</v>
      </c>
      <c r="W26" s="2">
        <v>0.36</v>
      </c>
      <c r="X26" s="2">
        <v>3600</v>
      </c>
      <c r="Y26" s="2">
        <v>1</v>
      </c>
      <c r="Z26" s="2">
        <v>1</v>
      </c>
      <c r="AA26" s="2">
        <f t="shared" si="5"/>
        <v>270</v>
      </c>
      <c r="AB26" s="2">
        <v>90</v>
      </c>
      <c r="AC26" s="2">
        <v>45</v>
      </c>
      <c r="AD26" s="49">
        <v>318</v>
      </c>
      <c r="AE26" s="2" t="s">
        <v>37</v>
      </c>
    </row>
    <row r="27" spans="1:31" x14ac:dyDescent="0.25">
      <c r="A27" s="2">
        <v>24</v>
      </c>
      <c r="B27" s="26"/>
      <c r="C27" s="26" t="s">
        <v>246</v>
      </c>
      <c r="D27" s="2">
        <v>41.03</v>
      </c>
      <c r="E27" s="2">
        <v>150</v>
      </c>
      <c r="F27" s="2">
        <v>350</v>
      </c>
      <c r="G27" s="16">
        <v>300</v>
      </c>
      <c r="H27" s="2">
        <v>350</v>
      </c>
      <c r="I27" s="2">
        <v>0</v>
      </c>
      <c r="J27" s="2" t="s">
        <v>36</v>
      </c>
      <c r="K27" s="2">
        <v>900</v>
      </c>
      <c r="L27" s="43">
        <f t="shared" si="4"/>
        <v>3</v>
      </c>
      <c r="M27" s="2" t="s">
        <v>52</v>
      </c>
      <c r="N27" s="2">
        <v>6</v>
      </c>
      <c r="O27" s="16">
        <v>160</v>
      </c>
      <c r="P27" s="16">
        <v>200000</v>
      </c>
      <c r="Q27" s="2">
        <v>494.5</v>
      </c>
      <c r="R27" s="2">
        <f t="shared" si="7"/>
        <v>0.23561999999999997</v>
      </c>
      <c r="S27" s="18" t="s">
        <v>106</v>
      </c>
      <c r="T27" s="2" t="s">
        <v>225</v>
      </c>
      <c r="U27" s="2" t="s">
        <v>220</v>
      </c>
      <c r="V27" s="2">
        <v>75900</v>
      </c>
      <c r="W27" s="2">
        <v>0.36</v>
      </c>
      <c r="X27" s="2">
        <v>3600</v>
      </c>
      <c r="Y27" s="2">
        <v>1</v>
      </c>
      <c r="Z27" s="2">
        <v>1</v>
      </c>
      <c r="AA27" s="2">
        <f t="shared" si="5"/>
        <v>270</v>
      </c>
      <c r="AB27" s="2">
        <v>90</v>
      </c>
      <c r="AC27" s="2">
        <v>45</v>
      </c>
      <c r="AD27" s="49">
        <v>279</v>
      </c>
      <c r="AE27" s="2" t="s">
        <v>37</v>
      </c>
    </row>
    <row r="28" spans="1:31" x14ac:dyDescent="0.25">
      <c r="A28" s="2">
        <v>25</v>
      </c>
      <c r="B28" s="2"/>
      <c r="C28" s="2" t="s">
        <v>247</v>
      </c>
      <c r="D28" s="2">
        <v>24</v>
      </c>
      <c r="E28" s="2">
        <v>250</v>
      </c>
      <c r="F28" s="2">
        <v>420</v>
      </c>
      <c r="G28" s="2">
        <f>F28-58</f>
        <v>362</v>
      </c>
      <c r="H28" s="2">
        <v>420</v>
      </c>
      <c r="I28" s="2">
        <v>0</v>
      </c>
      <c r="J28" s="2" t="s">
        <v>36</v>
      </c>
      <c r="K28" s="2">
        <v>1360</v>
      </c>
      <c r="L28" s="43">
        <f t="shared" si="4"/>
        <v>3.7569060773480665</v>
      </c>
      <c r="M28" s="2" t="s">
        <v>52</v>
      </c>
      <c r="N28" s="2">
        <v>8</v>
      </c>
      <c r="O28" s="2">
        <v>380</v>
      </c>
      <c r="P28" s="16">
        <v>200000</v>
      </c>
      <c r="Q28" s="16">
        <v>430</v>
      </c>
      <c r="R28" s="2">
        <f t="shared" si="7"/>
        <v>0.10582231578947368</v>
      </c>
      <c r="S28" s="2" t="s">
        <v>38</v>
      </c>
      <c r="T28" s="2" t="s">
        <v>43</v>
      </c>
      <c r="U28" s="2" t="s">
        <v>220</v>
      </c>
      <c r="V28" s="2">
        <v>240000</v>
      </c>
      <c r="W28" s="2">
        <v>0.29299999999999998</v>
      </c>
      <c r="X28" s="2">
        <v>4000</v>
      </c>
      <c r="Y28" s="2">
        <v>300</v>
      </c>
      <c r="Z28" s="2">
        <v>500</v>
      </c>
      <c r="AA28" s="2">
        <f t="shared" si="5"/>
        <v>325.8</v>
      </c>
      <c r="AB28" s="2">
        <v>90</v>
      </c>
      <c r="AC28" s="2">
        <v>45</v>
      </c>
      <c r="AD28" s="49">
        <v>271</v>
      </c>
      <c r="AE28" s="2" t="s">
        <v>37</v>
      </c>
    </row>
    <row r="29" spans="1:31" x14ac:dyDescent="0.25">
      <c r="A29" s="2">
        <v>26</v>
      </c>
      <c r="B29" s="2" t="s">
        <v>248</v>
      </c>
      <c r="C29" s="2" t="s">
        <v>249</v>
      </c>
      <c r="D29" s="2">
        <v>24</v>
      </c>
      <c r="E29" s="2">
        <v>250</v>
      </c>
      <c r="F29" s="2">
        <v>420</v>
      </c>
      <c r="G29" s="2">
        <f>F29-58</f>
        <v>362</v>
      </c>
      <c r="H29" s="2">
        <v>420</v>
      </c>
      <c r="I29" s="2">
        <v>0</v>
      </c>
      <c r="J29" s="2" t="s">
        <v>36</v>
      </c>
      <c r="K29" s="2">
        <v>1150</v>
      </c>
      <c r="L29" s="43">
        <f t="shared" si="4"/>
        <v>3.1767955801104972</v>
      </c>
      <c r="M29" s="2" t="s">
        <v>52</v>
      </c>
      <c r="N29" s="2">
        <v>8</v>
      </c>
      <c r="O29" s="2">
        <v>380</v>
      </c>
      <c r="P29" s="16">
        <v>200000</v>
      </c>
      <c r="Q29" s="16">
        <v>430</v>
      </c>
      <c r="R29" s="2">
        <f t="shared" si="7"/>
        <v>0.10582231578947368</v>
      </c>
      <c r="S29" s="2" t="s">
        <v>38</v>
      </c>
      <c r="T29" s="2" t="s">
        <v>43</v>
      </c>
      <c r="U29" s="2" t="s">
        <v>220</v>
      </c>
      <c r="V29" s="2">
        <v>240000</v>
      </c>
      <c r="W29" s="2">
        <v>0.29299999999999998</v>
      </c>
      <c r="X29" s="2">
        <v>4000</v>
      </c>
      <c r="Y29" s="2">
        <v>300</v>
      </c>
      <c r="Z29" s="2">
        <v>500</v>
      </c>
      <c r="AA29" s="2">
        <f t="shared" si="5"/>
        <v>325.8</v>
      </c>
      <c r="AB29" s="2">
        <v>90</v>
      </c>
      <c r="AC29" s="2">
        <v>45</v>
      </c>
      <c r="AD29" s="49">
        <v>271</v>
      </c>
      <c r="AE29" s="2" t="s">
        <v>37</v>
      </c>
    </row>
    <row r="30" spans="1:31" x14ac:dyDescent="0.25">
      <c r="A30" s="2">
        <v>27</v>
      </c>
      <c r="B30" s="2"/>
      <c r="C30" s="2" t="s">
        <v>250</v>
      </c>
      <c r="D30" s="2">
        <v>22.6</v>
      </c>
      <c r="E30" s="2">
        <v>250</v>
      </c>
      <c r="F30" s="2">
        <v>420</v>
      </c>
      <c r="G30" s="2">
        <f>F30-58</f>
        <v>362</v>
      </c>
      <c r="H30" s="2">
        <v>420</v>
      </c>
      <c r="I30" s="2">
        <v>0</v>
      </c>
      <c r="J30" s="2" t="s">
        <v>36</v>
      </c>
      <c r="K30" s="2">
        <v>1360</v>
      </c>
      <c r="L30" s="43">
        <f t="shared" si="4"/>
        <v>3.7569060773480665</v>
      </c>
      <c r="M30" s="2" t="s">
        <v>52</v>
      </c>
      <c r="N30" s="2">
        <v>8</v>
      </c>
      <c r="O30" s="2">
        <v>380</v>
      </c>
      <c r="P30" s="16">
        <v>200000</v>
      </c>
      <c r="Q30" s="16">
        <v>430</v>
      </c>
      <c r="R30" s="2">
        <f t="shared" si="7"/>
        <v>0.10582231578947368</v>
      </c>
      <c r="S30" s="2" t="s">
        <v>38</v>
      </c>
      <c r="T30" s="2" t="s">
        <v>43</v>
      </c>
      <c r="U30" s="2" t="s">
        <v>220</v>
      </c>
      <c r="V30" s="2">
        <v>227000</v>
      </c>
      <c r="W30" s="2">
        <v>0.16500000000000001</v>
      </c>
      <c r="X30" s="2">
        <v>3800</v>
      </c>
      <c r="Y30" s="2">
        <v>300</v>
      </c>
      <c r="Z30" s="2">
        <v>500</v>
      </c>
      <c r="AA30" s="2">
        <f t="shared" si="5"/>
        <v>325.8</v>
      </c>
      <c r="AB30" s="2">
        <v>90</v>
      </c>
      <c r="AC30" s="2">
        <v>45</v>
      </c>
      <c r="AD30" s="49">
        <v>279</v>
      </c>
      <c r="AE30" s="2" t="s">
        <v>37</v>
      </c>
    </row>
    <row r="31" spans="1:31" x14ac:dyDescent="0.25">
      <c r="A31" s="2">
        <v>28</v>
      </c>
      <c r="B31" s="2"/>
      <c r="C31" s="2" t="s">
        <v>251</v>
      </c>
      <c r="D31" s="2">
        <v>22.6</v>
      </c>
      <c r="E31" s="2">
        <v>250</v>
      </c>
      <c r="F31" s="2">
        <v>420</v>
      </c>
      <c r="G31" s="2">
        <f>F31-58</f>
        <v>362</v>
      </c>
      <c r="H31" s="2">
        <v>420</v>
      </c>
      <c r="I31" s="2">
        <v>0</v>
      </c>
      <c r="J31" s="2" t="s">
        <v>36</v>
      </c>
      <c r="K31" s="2">
        <v>1150</v>
      </c>
      <c r="L31" s="43">
        <f t="shared" si="4"/>
        <v>3.1767955801104972</v>
      </c>
      <c r="M31" s="2" t="s">
        <v>52</v>
      </c>
      <c r="N31" s="2">
        <v>8</v>
      </c>
      <c r="O31" s="2">
        <v>380</v>
      </c>
      <c r="P31" s="16">
        <v>200000</v>
      </c>
      <c r="Q31" s="16">
        <v>430</v>
      </c>
      <c r="R31" s="2">
        <f t="shared" si="7"/>
        <v>0.10582231578947368</v>
      </c>
      <c r="S31" s="2" t="s">
        <v>38</v>
      </c>
      <c r="T31" s="2" t="s">
        <v>43</v>
      </c>
      <c r="U31" s="2" t="s">
        <v>220</v>
      </c>
      <c r="V31" s="2">
        <v>227000</v>
      </c>
      <c r="W31" s="2">
        <v>0.16500000000000001</v>
      </c>
      <c r="X31" s="2">
        <v>3800</v>
      </c>
      <c r="Y31" s="2">
        <v>300</v>
      </c>
      <c r="Z31" s="2">
        <v>500</v>
      </c>
      <c r="AA31" s="2">
        <f t="shared" si="5"/>
        <v>325.8</v>
      </c>
      <c r="AB31" s="2">
        <v>90</v>
      </c>
      <c r="AC31" s="2">
        <v>45</v>
      </c>
      <c r="AD31" s="49">
        <v>318</v>
      </c>
      <c r="AE31" s="2" t="s">
        <v>37</v>
      </c>
    </row>
    <row r="32" spans="1:31" x14ac:dyDescent="0.25">
      <c r="A32" s="2">
        <v>29</v>
      </c>
      <c r="B32" s="26"/>
      <c r="C32" s="26">
        <v>6</v>
      </c>
      <c r="D32" s="2">
        <v>45.7</v>
      </c>
      <c r="E32" s="2">
        <v>150</v>
      </c>
      <c r="F32" s="2">
        <v>400</v>
      </c>
      <c r="G32" s="2">
        <v>355</v>
      </c>
      <c r="H32" s="2">
        <v>400</v>
      </c>
      <c r="I32" s="2">
        <v>0</v>
      </c>
      <c r="J32" s="2" t="s">
        <v>86</v>
      </c>
      <c r="K32" s="2">
        <v>1070</v>
      </c>
      <c r="L32" s="43">
        <f t="shared" si="4"/>
        <v>3.0140845070422535</v>
      </c>
      <c r="M32" s="2" t="s">
        <v>52</v>
      </c>
      <c r="N32" s="2">
        <v>4.2</v>
      </c>
      <c r="O32" s="2">
        <v>170</v>
      </c>
      <c r="P32" s="2">
        <f>771/4.34*1000</f>
        <v>177649.76958525347</v>
      </c>
      <c r="Q32" s="2">
        <v>771</v>
      </c>
      <c r="R32" s="2">
        <f t="shared" si="7"/>
        <v>0.10866240000000001</v>
      </c>
      <c r="S32" s="2" t="s">
        <v>38</v>
      </c>
      <c r="T32" s="2" t="s">
        <v>43</v>
      </c>
      <c r="U32" s="2" t="s">
        <v>220</v>
      </c>
      <c r="V32" s="16">
        <v>228000</v>
      </c>
      <c r="W32" s="16">
        <v>0.16500000000000001</v>
      </c>
      <c r="X32" s="16">
        <v>3790</v>
      </c>
      <c r="Y32" s="2">
        <v>150</v>
      </c>
      <c r="Z32" s="2">
        <v>230</v>
      </c>
      <c r="AA32" s="2">
        <f t="shared" si="5"/>
        <v>319.5</v>
      </c>
      <c r="AB32" s="2">
        <v>90</v>
      </c>
      <c r="AC32" s="2">
        <v>45</v>
      </c>
      <c r="AD32" s="49">
        <f>650/2</f>
        <v>325</v>
      </c>
      <c r="AE32" s="2">
        <f>AD32-372/2</f>
        <v>139</v>
      </c>
    </row>
    <row r="33" spans="1:31" x14ac:dyDescent="0.25">
      <c r="A33" s="2">
        <v>30</v>
      </c>
      <c r="B33" s="26" t="s">
        <v>252</v>
      </c>
      <c r="C33" s="26">
        <v>7</v>
      </c>
      <c r="D33" s="2">
        <v>45.8</v>
      </c>
      <c r="E33" s="2">
        <v>150</v>
      </c>
      <c r="F33" s="2">
        <v>400</v>
      </c>
      <c r="G33" s="2">
        <v>355</v>
      </c>
      <c r="H33" s="2">
        <v>400</v>
      </c>
      <c r="I33" s="2">
        <v>0</v>
      </c>
      <c r="J33" s="2" t="s">
        <v>86</v>
      </c>
      <c r="K33" s="2">
        <v>1070</v>
      </c>
      <c r="L33" s="43">
        <f t="shared" si="4"/>
        <v>3.0140845070422535</v>
      </c>
      <c r="M33" s="2" t="s">
        <v>52</v>
      </c>
      <c r="N33" s="2">
        <v>4.2</v>
      </c>
      <c r="O33" s="2">
        <v>170</v>
      </c>
      <c r="P33" s="2">
        <f t="shared" ref="P33:P34" si="8">771/4.34*1000</f>
        <v>177649.76958525347</v>
      </c>
      <c r="Q33" s="2">
        <v>772</v>
      </c>
      <c r="R33" s="2">
        <f t="shared" si="7"/>
        <v>0.10866240000000001</v>
      </c>
      <c r="S33" s="2" t="s">
        <v>38</v>
      </c>
      <c r="T33" s="2" t="s">
        <v>43</v>
      </c>
      <c r="U33" s="2" t="s">
        <v>220</v>
      </c>
      <c r="V33" s="16">
        <v>228000</v>
      </c>
      <c r="W33" s="16">
        <f>0.165*2</f>
        <v>0.33</v>
      </c>
      <c r="X33" s="16">
        <v>3790</v>
      </c>
      <c r="Y33" s="2">
        <v>150</v>
      </c>
      <c r="Z33" s="2">
        <v>230</v>
      </c>
      <c r="AA33" s="2">
        <f t="shared" si="5"/>
        <v>319.5</v>
      </c>
      <c r="AB33" s="2">
        <v>90</v>
      </c>
      <c r="AC33" s="2">
        <v>45</v>
      </c>
      <c r="AD33" s="49">
        <f>778/2</f>
        <v>389</v>
      </c>
      <c r="AE33" s="2">
        <f>AD33-372/2</f>
        <v>203</v>
      </c>
    </row>
    <row r="34" spans="1:31" x14ac:dyDescent="0.25">
      <c r="A34" s="2">
        <v>31</v>
      </c>
      <c r="B34" s="26" t="s">
        <v>253</v>
      </c>
      <c r="C34" s="26">
        <v>8</v>
      </c>
      <c r="D34" s="2">
        <v>46.6</v>
      </c>
      <c r="E34" s="2">
        <v>150</v>
      </c>
      <c r="F34" s="2">
        <v>400</v>
      </c>
      <c r="G34" s="2">
        <v>355</v>
      </c>
      <c r="H34" s="2">
        <v>400</v>
      </c>
      <c r="I34" s="2">
        <v>0</v>
      </c>
      <c r="J34" s="2" t="s">
        <v>86</v>
      </c>
      <c r="K34" s="2">
        <v>1070</v>
      </c>
      <c r="L34" s="43">
        <f t="shared" si="4"/>
        <v>3.0140845070422535</v>
      </c>
      <c r="M34" s="2" t="s">
        <v>52</v>
      </c>
      <c r="N34" s="2">
        <v>4.2</v>
      </c>
      <c r="O34" s="2">
        <v>170</v>
      </c>
      <c r="P34" s="2">
        <f t="shared" si="8"/>
        <v>177649.76958525347</v>
      </c>
      <c r="Q34" s="2">
        <v>773</v>
      </c>
      <c r="R34" s="2">
        <f t="shared" si="7"/>
        <v>0.10866240000000001</v>
      </c>
      <c r="S34" s="2" t="s">
        <v>38</v>
      </c>
      <c r="T34" s="2" t="s">
        <v>43</v>
      </c>
      <c r="U34" s="2" t="s">
        <v>220</v>
      </c>
      <c r="V34" s="16">
        <v>228000</v>
      </c>
      <c r="W34" s="16">
        <f>0.165*2</f>
        <v>0.33</v>
      </c>
      <c r="X34" s="16">
        <v>3790</v>
      </c>
      <c r="Y34" s="2">
        <v>150</v>
      </c>
      <c r="Z34" s="2">
        <v>230</v>
      </c>
      <c r="AA34" s="2">
        <f t="shared" si="5"/>
        <v>319.5</v>
      </c>
      <c r="AB34" s="2">
        <v>45</v>
      </c>
      <c r="AC34" s="2">
        <v>45</v>
      </c>
      <c r="AD34" s="49">
        <f>612/2</f>
        <v>306</v>
      </c>
      <c r="AE34" s="2">
        <f>AD34-372/2</f>
        <v>120</v>
      </c>
    </row>
    <row r="35" spans="1:31" x14ac:dyDescent="0.25">
      <c r="A35" s="2">
        <v>32</v>
      </c>
      <c r="B35" s="2"/>
      <c r="C35" s="2" t="s">
        <v>254</v>
      </c>
      <c r="D35" s="2">
        <v>35.1</v>
      </c>
      <c r="E35" s="2">
        <v>125</v>
      </c>
      <c r="F35" s="2">
        <v>200</v>
      </c>
      <c r="G35" s="2">
        <v>165</v>
      </c>
      <c r="H35" s="2">
        <v>200</v>
      </c>
      <c r="I35" s="2">
        <v>0</v>
      </c>
      <c r="J35" s="2" t="s">
        <v>36</v>
      </c>
      <c r="K35" s="2">
        <f t="shared" ref="K35:K56" si="9">L35*G35</f>
        <v>495</v>
      </c>
      <c r="L35" s="43">
        <v>3</v>
      </c>
      <c r="M35" s="2" t="s">
        <v>37</v>
      </c>
      <c r="N35" s="2">
        <v>0</v>
      </c>
      <c r="O35" s="2"/>
      <c r="P35" s="2"/>
      <c r="Q35" s="2"/>
      <c r="R35" s="2"/>
      <c r="S35" s="2" t="s">
        <v>38</v>
      </c>
      <c r="T35" s="2" t="s">
        <v>43</v>
      </c>
      <c r="U35" s="2" t="s">
        <v>220</v>
      </c>
      <c r="V35" s="2">
        <v>230000</v>
      </c>
      <c r="W35" s="2">
        <v>0.11</v>
      </c>
      <c r="X35" s="2">
        <v>3480</v>
      </c>
      <c r="Y35" s="2">
        <v>20</v>
      </c>
      <c r="Z35" s="2">
        <v>100</v>
      </c>
      <c r="AA35" s="2">
        <f t="shared" si="5"/>
        <v>148.5</v>
      </c>
      <c r="AB35" s="2">
        <v>90</v>
      </c>
      <c r="AC35" s="2">
        <v>45</v>
      </c>
      <c r="AD35" s="49">
        <f>128.1/2</f>
        <v>64.05</v>
      </c>
      <c r="AE35" s="2" t="s">
        <v>37</v>
      </c>
    </row>
    <row r="36" spans="1:31" x14ac:dyDescent="0.25">
      <c r="A36" s="2">
        <v>33</v>
      </c>
      <c r="B36" s="2"/>
      <c r="C36" s="2" t="s">
        <v>255</v>
      </c>
      <c r="D36" s="2">
        <v>32.4</v>
      </c>
      <c r="E36" s="2">
        <v>125</v>
      </c>
      <c r="F36" s="2">
        <v>200</v>
      </c>
      <c r="G36" s="2">
        <v>165</v>
      </c>
      <c r="H36" s="2">
        <v>200</v>
      </c>
      <c r="I36" s="2">
        <v>0</v>
      </c>
      <c r="J36" s="2" t="s">
        <v>36</v>
      </c>
      <c r="K36" s="2">
        <f t="shared" si="9"/>
        <v>495</v>
      </c>
      <c r="L36" s="43">
        <v>3</v>
      </c>
      <c r="M36" s="2" t="s">
        <v>37</v>
      </c>
      <c r="N36" s="2">
        <v>0</v>
      </c>
      <c r="O36" s="2"/>
      <c r="P36" s="2"/>
      <c r="Q36" s="2"/>
      <c r="R36" s="2"/>
      <c r="S36" s="2" t="s">
        <v>38</v>
      </c>
      <c r="T36" s="2" t="s">
        <v>43</v>
      </c>
      <c r="U36" s="2" t="s">
        <v>220</v>
      </c>
      <c r="V36" s="2">
        <v>230000</v>
      </c>
      <c r="W36" s="2">
        <v>0.11</v>
      </c>
      <c r="X36" s="2">
        <v>3480</v>
      </c>
      <c r="Y36" s="2">
        <v>50</v>
      </c>
      <c r="Z36" s="2">
        <v>100</v>
      </c>
      <c r="AA36" s="2">
        <f t="shared" si="5"/>
        <v>148.5</v>
      </c>
      <c r="AB36" s="2">
        <v>90</v>
      </c>
      <c r="AC36" s="2">
        <v>45</v>
      </c>
      <c r="AD36" s="49">
        <f>186.7/2</f>
        <v>93.35</v>
      </c>
      <c r="AE36" s="2" t="s">
        <v>37</v>
      </c>
    </row>
    <row r="37" spans="1:31" x14ac:dyDescent="0.25">
      <c r="A37" s="2">
        <v>34</v>
      </c>
      <c r="B37" s="2" t="s">
        <v>256</v>
      </c>
      <c r="C37" s="2" t="s">
        <v>257</v>
      </c>
      <c r="D37" s="2">
        <v>35</v>
      </c>
      <c r="E37" s="2">
        <v>125</v>
      </c>
      <c r="F37" s="2">
        <v>200</v>
      </c>
      <c r="G37" s="2">
        <v>165</v>
      </c>
      <c r="H37" s="2">
        <v>200</v>
      </c>
      <c r="I37" s="2">
        <v>0</v>
      </c>
      <c r="J37" s="2" t="s">
        <v>36</v>
      </c>
      <c r="K37" s="2">
        <f t="shared" si="9"/>
        <v>445.50000000000006</v>
      </c>
      <c r="L37" s="43">
        <v>2.7</v>
      </c>
      <c r="M37" s="2" t="s">
        <v>18</v>
      </c>
      <c r="N37" s="2">
        <v>6</v>
      </c>
      <c r="O37" s="2">
        <v>150</v>
      </c>
      <c r="P37" s="16">
        <v>200000</v>
      </c>
      <c r="Q37" s="2">
        <v>418</v>
      </c>
      <c r="R37" s="2">
        <f t="shared" si="7"/>
        <v>0.30159359999999996</v>
      </c>
      <c r="S37" s="2" t="s">
        <v>38</v>
      </c>
      <c r="T37" s="2" t="s">
        <v>43</v>
      </c>
      <c r="U37" s="2" t="s">
        <v>220</v>
      </c>
      <c r="V37" s="2">
        <v>230000</v>
      </c>
      <c r="W37" s="2">
        <v>0.11</v>
      </c>
      <c r="X37" s="2">
        <v>3480</v>
      </c>
      <c r="Y37" s="2">
        <v>20</v>
      </c>
      <c r="Z37" s="2">
        <v>100</v>
      </c>
      <c r="AA37" s="2">
        <f t="shared" si="5"/>
        <v>148.5</v>
      </c>
      <c r="AB37" s="2">
        <v>90</v>
      </c>
      <c r="AC37" s="2">
        <v>45</v>
      </c>
      <c r="AD37" s="49">
        <f>182.2/2</f>
        <v>91.1</v>
      </c>
      <c r="AE37" s="2" t="s">
        <v>37</v>
      </c>
    </row>
    <row r="38" spans="1:31" x14ac:dyDescent="0.25">
      <c r="A38" s="2">
        <v>35</v>
      </c>
      <c r="B38" s="2"/>
      <c r="C38" s="2" t="s">
        <v>258</v>
      </c>
      <c r="D38" s="2">
        <v>32.4</v>
      </c>
      <c r="E38" s="2">
        <v>125</v>
      </c>
      <c r="F38" s="2">
        <v>200</v>
      </c>
      <c r="G38" s="2">
        <v>165</v>
      </c>
      <c r="H38" s="2">
        <v>200</v>
      </c>
      <c r="I38" s="2">
        <v>0</v>
      </c>
      <c r="J38" s="2" t="s">
        <v>36</v>
      </c>
      <c r="K38" s="2">
        <f t="shared" si="9"/>
        <v>396</v>
      </c>
      <c r="L38" s="43">
        <v>2.4</v>
      </c>
      <c r="M38" s="2" t="s">
        <v>37</v>
      </c>
      <c r="N38" s="2">
        <v>0</v>
      </c>
      <c r="O38" s="2"/>
      <c r="P38" s="2"/>
      <c r="Q38" s="2"/>
      <c r="R38" s="2"/>
      <c r="S38" s="2" t="s">
        <v>38</v>
      </c>
      <c r="T38" s="2" t="s">
        <v>43</v>
      </c>
      <c r="U38" s="2" t="s">
        <v>220</v>
      </c>
      <c r="V38" s="2">
        <v>230000</v>
      </c>
      <c r="W38" s="2">
        <v>0.11</v>
      </c>
      <c r="X38" s="2">
        <v>3480</v>
      </c>
      <c r="Y38" s="2">
        <v>20</v>
      </c>
      <c r="Z38" s="2">
        <v>100</v>
      </c>
      <c r="AA38" s="2">
        <f t="shared" si="5"/>
        <v>148.5</v>
      </c>
      <c r="AB38" s="2">
        <v>90</v>
      </c>
      <c r="AC38" s="2">
        <v>45</v>
      </c>
      <c r="AD38" s="49">
        <f>125.5/2</f>
        <v>62.75</v>
      </c>
      <c r="AE38" s="2" t="s">
        <v>37</v>
      </c>
    </row>
    <row r="39" spans="1:31" x14ac:dyDescent="0.25">
      <c r="A39" s="2">
        <v>36</v>
      </c>
      <c r="B39" s="2"/>
      <c r="C39" s="2" t="s">
        <v>259</v>
      </c>
      <c r="D39" s="2">
        <v>32.4</v>
      </c>
      <c r="E39" s="2">
        <v>125</v>
      </c>
      <c r="F39" s="2">
        <v>200</v>
      </c>
      <c r="G39" s="2">
        <v>165</v>
      </c>
      <c r="H39" s="2">
        <v>200</v>
      </c>
      <c r="I39" s="2">
        <v>0</v>
      </c>
      <c r="J39" s="2" t="s">
        <v>36</v>
      </c>
      <c r="K39" s="2">
        <f t="shared" si="9"/>
        <v>297</v>
      </c>
      <c r="L39" s="50">
        <v>1.8</v>
      </c>
      <c r="M39" s="2" t="s">
        <v>37</v>
      </c>
      <c r="N39" s="2">
        <v>0</v>
      </c>
      <c r="O39" s="2"/>
      <c r="P39" s="2"/>
      <c r="Q39" s="2"/>
      <c r="R39" s="2"/>
      <c r="S39" s="2" t="s">
        <v>38</v>
      </c>
      <c r="T39" s="2" t="s">
        <v>43</v>
      </c>
      <c r="U39" s="2" t="s">
        <v>220</v>
      </c>
      <c r="V39" s="2">
        <v>230000</v>
      </c>
      <c r="W39" s="2">
        <v>0.11</v>
      </c>
      <c r="X39" s="2">
        <v>3480</v>
      </c>
      <c r="Y39" s="2">
        <v>20</v>
      </c>
      <c r="Z39" s="2">
        <v>100</v>
      </c>
      <c r="AA39" s="2">
        <f t="shared" si="5"/>
        <v>148.5</v>
      </c>
      <c r="AB39" s="2">
        <v>90</v>
      </c>
      <c r="AC39" s="2">
        <v>45</v>
      </c>
      <c r="AD39" s="49">
        <f>147.3/2</f>
        <v>73.650000000000006</v>
      </c>
      <c r="AE39" s="2" t="s">
        <v>37</v>
      </c>
    </row>
    <row r="40" spans="1:31" x14ac:dyDescent="0.25">
      <c r="A40" s="2">
        <v>37</v>
      </c>
      <c r="B40" s="2"/>
      <c r="C40" s="2" t="s">
        <v>260</v>
      </c>
      <c r="D40" s="2">
        <v>39.1</v>
      </c>
      <c r="E40" s="2">
        <v>125</v>
      </c>
      <c r="F40" s="2">
        <v>200</v>
      </c>
      <c r="G40" s="2">
        <v>165</v>
      </c>
      <c r="H40" s="2">
        <v>200</v>
      </c>
      <c r="I40" s="2">
        <v>0</v>
      </c>
      <c r="J40" s="2" t="s">
        <v>36</v>
      </c>
      <c r="K40" s="2">
        <f t="shared" si="9"/>
        <v>330</v>
      </c>
      <c r="L40" s="43">
        <v>2</v>
      </c>
      <c r="M40" s="2" t="s">
        <v>37</v>
      </c>
      <c r="N40" s="2">
        <v>0</v>
      </c>
      <c r="O40" s="2"/>
      <c r="P40" s="2"/>
      <c r="Q40" s="2"/>
      <c r="R40" s="2"/>
      <c r="S40" s="2" t="s">
        <v>38</v>
      </c>
      <c r="T40" s="2" t="s">
        <v>43</v>
      </c>
      <c r="U40" s="2" t="s">
        <v>220</v>
      </c>
      <c r="V40" s="2">
        <v>230000</v>
      </c>
      <c r="W40" s="2">
        <v>0.11</v>
      </c>
      <c r="X40" s="2">
        <v>3480</v>
      </c>
      <c r="Y40" s="2">
        <v>50</v>
      </c>
      <c r="Z40" s="2">
        <v>100</v>
      </c>
      <c r="AA40" s="2">
        <f t="shared" si="5"/>
        <v>148.5</v>
      </c>
      <c r="AB40" s="2">
        <v>90</v>
      </c>
      <c r="AC40" s="2">
        <v>45</v>
      </c>
      <c r="AD40" s="49">
        <f>186.2/2</f>
        <v>93.1</v>
      </c>
      <c r="AE40" s="2" t="s">
        <v>37</v>
      </c>
    </row>
    <row r="41" spans="1:31" x14ac:dyDescent="0.25">
      <c r="A41" s="2">
        <v>38</v>
      </c>
      <c r="B41" s="16"/>
      <c r="C41" s="16" t="s">
        <v>261</v>
      </c>
      <c r="D41" s="2">
        <v>43</v>
      </c>
      <c r="E41" s="2">
        <v>150</v>
      </c>
      <c r="F41" s="2">
        <v>300</v>
      </c>
      <c r="G41" s="2">
        <f>F41-28</f>
        <v>272</v>
      </c>
      <c r="H41" s="2">
        <f>F41</f>
        <v>300</v>
      </c>
      <c r="I41" s="2">
        <v>0</v>
      </c>
      <c r="J41" s="2" t="s">
        <v>36</v>
      </c>
      <c r="K41" s="2">
        <f t="shared" si="9"/>
        <v>799.68</v>
      </c>
      <c r="L41" s="43">
        <v>2.94</v>
      </c>
      <c r="M41" s="2" t="s">
        <v>37</v>
      </c>
      <c r="N41" s="2">
        <v>0</v>
      </c>
      <c r="O41" s="2"/>
      <c r="P41" s="2"/>
      <c r="Q41" s="2"/>
      <c r="R41" s="2"/>
      <c r="S41" s="2" t="s">
        <v>140</v>
      </c>
      <c r="T41" s="2" t="s">
        <v>43</v>
      </c>
      <c r="U41" s="2" t="s">
        <v>220</v>
      </c>
      <c r="V41" s="2">
        <v>73000</v>
      </c>
      <c r="W41" s="2">
        <v>4.3999999999999997E-2</v>
      </c>
      <c r="X41" s="2">
        <v>2700</v>
      </c>
      <c r="Y41" s="2">
        <v>200</v>
      </c>
      <c r="Z41" s="2">
        <v>200</v>
      </c>
      <c r="AA41" s="2">
        <f t="shared" si="5"/>
        <v>244.8</v>
      </c>
      <c r="AB41" s="2">
        <v>90</v>
      </c>
      <c r="AC41" s="2">
        <v>45</v>
      </c>
      <c r="AD41" s="49">
        <v>91</v>
      </c>
      <c r="AE41" s="2" t="s">
        <v>37</v>
      </c>
    </row>
    <row r="42" spans="1:31" x14ac:dyDescent="0.25">
      <c r="A42" s="2">
        <v>39</v>
      </c>
      <c r="B42" s="16"/>
      <c r="C42" s="16" t="s">
        <v>262</v>
      </c>
      <c r="D42" s="2">
        <v>43</v>
      </c>
      <c r="E42" s="2">
        <v>150</v>
      </c>
      <c r="F42" s="2">
        <v>300</v>
      </c>
      <c r="G42" s="2">
        <f t="shared" ref="G42:G43" si="10">F42-28</f>
        <v>272</v>
      </c>
      <c r="H42" s="2">
        <f t="shared" ref="H42:H56" si="11">F42</f>
        <v>300</v>
      </c>
      <c r="I42" s="2">
        <v>0</v>
      </c>
      <c r="J42" s="2" t="s">
        <v>36</v>
      </c>
      <c r="K42" s="2">
        <f t="shared" si="9"/>
        <v>799.68</v>
      </c>
      <c r="L42" s="43">
        <v>2.94</v>
      </c>
      <c r="M42" s="2" t="s">
        <v>37</v>
      </c>
      <c r="N42" s="2">
        <v>0</v>
      </c>
      <c r="O42" s="2"/>
      <c r="P42" s="2"/>
      <c r="Q42" s="2"/>
      <c r="R42" s="2"/>
      <c r="S42" s="2" t="s">
        <v>140</v>
      </c>
      <c r="T42" s="2" t="s">
        <v>43</v>
      </c>
      <c r="U42" s="2" t="s">
        <v>220</v>
      </c>
      <c r="V42" s="2">
        <v>73000</v>
      </c>
      <c r="W42" s="2">
        <v>4.3999999999999997E-2</v>
      </c>
      <c r="X42" s="2">
        <v>2700</v>
      </c>
      <c r="Y42" s="2">
        <v>100</v>
      </c>
      <c r="Z42" s="2">
        <v>200</v>
      </c>
      <c r="AA42" s="2">
        <f t="shared" si="5"/>
        <v>244.8</v>
      </c>
      <c r="AB42" s="2">
        <v>90</v>
      </c>
      <c r="AC42" s="2">
        <v>45</v>
      </c>
      <c r="AD42" s="49">
        <v>90</v>
      </c>
      <c r="AE42" s="2" t="s">
        <v>37</v>
      </c>
    </row>
    <row r="43" spans="1:31" x14ac:dyDescent="0.25">
      <c r="A43" s="2">
        <v>40</v>
      </c>
      <c r="B43" s="16"/>
      <c r="C43" s="16" t="s">
        <v>263</v>
      </c>
      <c r="D43" s="2">
        <v>44.8</v>
      </c>
      <c r="E43" s="2">
        <v>150</v>
      </c>
      <c r="F43" s="2">
        <v>300</v>
      </c>
      <c r="G43" s="2">
        <f t="shared" si="10"/>
        <v>272</v>
      </c>
      <c r="H43" s="2">
        <f t="shared" si="11"/>
        <v>300</v>
      </c>
      <c r="I43" s="2">
        <v>0</v>
      </c>
      <c r="J43" s="2" t="s">
        <v>36</v>
      </c>
      <c r="K43" s="2">
        <f t="shared" si="9"/>
        <v>799.68</v>
      </c>
      <c r="L43" s="43">
        <v>2.94</v>
      </c>
      <c r="M43" s="2" t="s">
        <v>37</v>
      </c>
      <c r="N43" s="2">
        <v>0</v>
      </c>
      <c r="O43" s="2"/>
      <c r="P43" s="2"/>
      <c r="Q43" s="2"/>
      <c r="R43" s="2"/>
      <c r="S43" s="2" t="s">
        <v>140</v>
      </c>
      <c r="T43" s="2" t="s">
        <v>43</v>
      </c>
      <c r="U43" s="2" t="s">
        <v>220</v>
      </c>
      <c r="V43" s="2">
        <v>73000</v>
      </c>
      <c r="W43" s="2">
        <v>8.7999999999999995E-2</v>
      </c>
      <c r="X43" s="2">
        <v>2700</v>
      </c>
      <c r="Y43" s="2">
        <v>200</v>
      </c>
      <c r="Z43" s="2">
        <v>200</v>
      </c>
      <c r="AA43" s="2">
        <f t="shared" si="5"/>
        <v>244.8</v>
      </c>
      <c r="AB43" s="2">
        <v>90</v>
      </c>
      <c r="AC43" s="2">
        <v>45</v>
      </c>
      <c r="AD43" s="49">
        <v>114</v>
      </c>
      <c r="AE43" s="2" t="s">
        <v>37</v>
      </c>
    </row>
    <row r="44" spans="1:31" x14ac:dyDescent="0.25">
      <c r="A44" s="2">
        <v>41</v>
      </c>
      <c r="B44" s="16"/>
      <c r="C44" s="16" t="s">
        <v>264</v>
      </c>
      <c r="D44" s="2">
        <v>40.5</v>
      </c>
      <c r="E44" s="2">
        <v>300</v>
      </c>
      <c r="F44" s="2">
        <v>300</v>
      </c>
      <c r="G44" s="2">
        <f>F44-43</f>
        <v>257</v>
      </c>
      <c r="H44" s="2">
        <f t="shared" si="11"/>
        <v>300</v>
      </c>
      <c r="I44" s="2">
        <v>0</v>
      </c>
      <c r="J44" s="2" t="s">
        <v>36</v>
      </c>
      <c r="K44" s="2">
        <f t="shared" si="9"/>
        <v>760.72</v>
      </c>
      <c r="L44" s="2">
        <v>2.96</v>
      </c>
      <c r="M44" s="2" t="s">
        <v>37</v>
      </c>
      <c r="N44" s="2">
        <v>0</v>
      </c>
      <c r="O44" s="2"/>
      <c r="P44" s="2"/>
      <c r="Q44" s="2"/>
      <c r="R44" s="2"/>
      <c r="S44" s="2" t="s">
        <v>38</v>
      </c>
      <c r="T44" s="2" t="s">
        <v>43</v>
      </c>
      <c r="U44" s="2" t="s">
        <v>220</v>
      </c>
      <c r="V44" s="2">
        <v>244000</v>
      </c>
      <c r="W44" s="2">
        <v>0.111</v>
      </c>
      <c r="X44" s="2">
        <v>4200</v>
      </c>
      <c r="Y44" s="2">
        <v>200</v>
      </c>
      <c r="Z44" s="2">
        <v>200</v>
      </c>
      <c r="AA44" s="2">
        <f t="shared" si="5"/>
        <v>231.3</v>
      </c>
      <c r="AB44" s="2">
        <v>90</v>
      </c>
      <c r="AC44" s="2">
        <v>45</v>
      </c>
      <c r="AD44" s="49">
        <v>214</v>
      </c>
      <c r="AE44" s="2" t="s">
        <v>37</v>
      </c>
    </row>
    <row r="45" spans="1:31" x14ac:dyDescent="0.25">
      <c r="A45" s="2">
        <v>42</v>
      </c>
      <c r="B45" s="16"/>
      <c r="C45" s="16" t="s">
        <v>265</v>
      </c>
      <c r="D45" s="2">
        <v>40.5</v>
      </c>
      <c r="E45" s="2">
        <v>300</v>
      </c>
      <c r="F45" s="2">
        <v>300</v>
      </c>
      <c r="G45" s="2">
        <f t="shared" ref="G45:G46" si="12">F45-43</f>
        <v>257</v>
      </c>
      <c r="H45" s="2">
        <f t="shared" si="11"/>
        <v>300</v>
      </c>
      <c r="I45" s="2">
        <v>0</v>
      </c>
      <c r="J45" s="2" t="s">
        <v>36</v>
      </c>
      <c r="K45" s="2">
        <f t="shared" si="9"/>
        <v>809.55</v>
      </c>
      <c r="L45" s="2">
        <v>3.15</v>
      </c>
      <c r="M45" s="2" t="s">
        <v>37</v>
      </c>
      <c r="N45" s="2">
        <v>0</v>
      </c>
      <c r="O45" s="2"/>
      <c r="P45" s="2"/>
      <c r="Q45" s="2"/>
      <c r="R45" s="2"/>
      <c r="S45" s="2" t="s">
        <v>38</v>
      </c>
      <c r="T45" s="2" t="s">
        <v>43</v>
      </c>
      <c r="U45" s="2" t="s">
        <v>220</v>
      </c>
      <c r="V45" s="2">
        <v>244000</v>
      </c>
      <c r="W45" s="2">
        <v>0.111</v>
      </c>
      <c r="X45" s="2">
        <v>4200</v>
      </c>
      <c r="Y45" s="2">
        <v>100</v>
      </c>
      <c r="Z45" s="2">
        <v>200</v>
      </c>
      <c r="AA45" s="2">
        <f t="shared" si="5"/>
        <v>231.3</v>
      </c>
      <c r="AB45" s="2">
        <v>90</v>
      </c>
      <c r="AC45" s="2">
        <v>45</v>
      </c>
      <c r="AD45" s="49">
        <v>159</v>
      </c>
      <c r="AE45" s="2" t="s">
        <v>37</v>
      </c>
    </row>
    <row r="46" spans="1:31" x14ac:dyDescent="0.25">
      <c r="A46" s="2">
        <v>43</v>
      </c>
      <c r="B46" s="16"/>
      <c r="C46" s="16" t="s">
        <v>266</v>
      </c>
      <c r="D46" s="2">
        <v>44.8</v>
      </c>
      <c r="E46" s="2">
        <v>150</v>
      </c>
      <c r="F46" s="2">
        <v>300</v>
      </c>
      <c r="G46" s="2">
        <f t="shared" si="12"/>
        <v>257</v>
      </c>
      <c r="H46" s="2">
        <f t="shared" si="11"/>
        <v>300</v>
      </c>
      <c r="I46" s="2">
        <v>0</v>
      </c>
      <c r="J46" s="2" t="s">
        <v>36</v>
      </c>
      <c r="K46" s="2">
        <f t="shared" si="9"/>
        <v>809.55</v>
      </c>
      <c r="L46" s="2">
        <v>3.15</v>
      </c>
      <c r="M46" s="2" t="s">
        <v>37</v>
      </c>
      <c r="N46" s="2">
        <v>0</v>
      </c>
      <c r="O46" s="2"/>
      <c r="P46" s="2"/>
      <c r="Q46" s="2"/>
      <c r="R46" s="2"/>
      <c r="S46" s="2" t="s">
        <v>38</v>
      </c>
      <c r="T46" s="2" t="s">
        <v>43</v>
      </c>
      <c r="U46" s="2" t="s">
        <v>220</v>
      </c>
      <c r="V46" s="2">
        <v>244000</v>
      </c>
      <c r="W46" s="2">
        <v>0.111</v>
      </c>
      <c r="X46" s="2">
        <v>4200</v>
      </c>
      <c r="Y46" s="2">
        <v>100</v>
      </c>
      <c r="Z46" s="2">
        <v>200</v>
      </c>
      <c r="AA46" s="2">
        <f t="shared" si="5"/>
        <v>231.3</v>
      </c>
      <c r="AB46" s="2">
        <v>90</v>
      </c>
      <c r="AC46" s="2">
        <v>45</v>
      </c>
      <c r="AD46" s="49">
        <v>116</v>
      </c>
      <c r="AE46" s="2" t="s">
        <v>37</v>
      </c>
    </row>
    <row r="47" spans="1:31" x14ac:dyDescent="0.25">
      <c r="A47" s="2">
        <v>44</v>
      </c>
      <c r="B47" s="16"/>
      <c r="C47" s="16" t="s">
        <v>267</v>
      </c>
      <c r="D47" s="2">
        <v>41.9</v>
      </c>
      <c r="E47" s="2">
        <v>150</v>
      </c>
      <c r="F47" s="2">
        <v>300</v>
      </c>
      <c r="G47" s="2">
        <f>F47-47</f>
        <v>253</v>
      </c>
      <c r="H47" s="2">
        <f t="shared" si="11"/>
        <v>300</v>
      </c>
      <c r="I47" s="2">
        <v>0</v>
      </c>
      <c r="J47" s="2" t="s">
        <v>36</v>
      </c>
      <c r="K47" s="2">
        <f t="shared" si="9"/>
        <v>809.6</v>
      </c>
      <c r="L47" s="43">
        <v>3.2</v>
      </c>
      <c r="M47" s="2" t="s">
        <v>37</v>
      </c>
      <c r="N47" s="2">
        <v>0</v>
      </c>
      <c r="O47" s="2"/>
      <c r="P47" s="2"/>
      <c r="Q47" s="2"/>
      <c r="R47" s="2"/>
      <c r="S47" s="2" t="s">
        <v>140</v>
      </c>
      <c r="T47" s="2" t="s">
        <v>43</v>
      </c>
      <c r="U47" s="2" t="s">
        <v>220</v>
      </c>
      <c r="V47" s="2">
        <v>73000</v>
      </c>
      <c r="W47" s="2">
        <v>4.3999999999999997E-2</v>
      </c>
      <c r="X47" s="2">
        <v>2700</v>
      </c>
      <c r="Y47" s="2">
        <v>200</v>
      </c>
      <c r="Z47" s="2">
        <v>200</v>
      </c>
      <c r="AA47" s="2">
        <f t="shared" si="5"/>
        <v>227.70000000000002</v>
      </c>
      <c r="AB47" s="2">
        <v>90</v>
      </c>
      <c r="AC47" s="2">
        <v>45</v>
      </c>
      <c r="AD47" s="49">
        <v>110</v>
      </c>
      <c r="AE47" s="2" t="s">
        <v>37</v>
      </c>
    </row>
    <row r="48" spans="1:31" x14ac:dyDescent="0.25">
      <c r="A48" s="2">
        <v>45</v>
      </c>
      <c r="B48" s="16" t="s">
        <v>268</v>
      </c>
      <c r="C48" s="16" t="s">
        <v>269</v>
      </c>
      <c r="D48" s="2">
        <v>45.6</v>
      </c>
      <c r="E48" s="2">
        <v>300</v>
      </c>
      <c r="F48" s="2">
        <v>300</v>
      </c>
      <c r="G48" s="2">
        <f t="shared" ref="G48:G52" si="13">F48-47</f>
        <v>253</v>
      </c>
      <c r="H48" s="2">
        <f t="shared" si="11"/>
        <v>300</v>
      </c>
      <c r="I48" s="2">
        <v>0</v>
      </c>
      <c r="J48" s="2" t="s">
        <v>36</v>
      </c>
      <c r="K48" s="2">
        <f t="shared" si="9"/>
        <v>809.6</v>
      </c>
      <c r="L48" s="43">
        <v>3.2</v>
      </c>
      <c r="M48" s="2" t="s">
        <v>37</v>
      </c>
      <c r="N48" s="2">
        <v>0</v>
      </c>
      <c r="O48" s="2"/>
      <c r="P48" s="2"/>
      <c r="Q48" s="2"/>
      <c r="R48" s="2"/>
      <c r="S48" s="2" t="s">
        <v>140</v>
      </c>
      <c r="T48" s="2" t="s">
        <v>43</v>
      </c>
      <c r="U48" s="2" t="s">
        <v>220</v>
      </c>
      <c r="V48" s="2">
        <v>73000</v>
      </c>
      <c r="W48" s="2">
        <v>4.3999999999999997E-2</v>
      </c>
      <c r="X48" s="2">
        <v>2700</v>
      </c>
      <c r="Y48" s="2">
        <v>200</v>
      </c>
      <c r="Z48" s="2">
        <v>200</v>
      </c>
      <c r="AA48" s="2">
        <f t="shared" si="5"/>
        <v>227.70000000000002</v>
      </c>
      <c r="AB48" s="2">
        <v>90</v>
      </c>
      <c r="AC48" s="2">
        <v>45</v>
      </c>
      <c r="AD48" s="49">
        <v>173</v>
      </c>
      <c r="AE48" s="2" t="s">
        <v>37</v>
      </c>
    </row>
    <row r="49" spans="1:31" x14ac:dyDescent="0.25">
      <c r="A49" s="2">
        <v>46</v>
      </c>
      <c r="B49" s="16"/>
      <c r="C49" s="16" t="s">
        <v>270</v>
      </c>
      <c r="D49" s="2">
        <v>41.9</v>
      </c>
      <c r="E49" s="2">
        <v>300</v>
      </c>
      <c r="F49" s="2">
        <v>300</v>
      </c>
      <c r="G49" s="2">
        <f t="shared" si="13"/>
        <v>253</v>
      </c>
      <c r="H49" s="2">
        <f t="shared" si="11"/>
        <v>300</v>
      </c>
      <c r="I49" s="2">
        <v>0</v>
      </c>
      <c r="J49" s="2" t="s">
        <v>36</v>
      </c>
      <c r="K49" s="2">
        <f t="shared" si="9"/>
        <v>809.6</v>
      </c>
      <c r="L49" s="43">
        <v>3.2</v>
      </c>
      <c r="M49" s="2" t="s">
        <v>37</v>
      </c>
      <c r="N49" s="2">
        <v>0</v>
      </c>
      <c r="O49" s="2"/>
      <c r="P49" s="2"/>
      <c r="Q49" s="2"/>
      <c r="R49" s="2"/>
      <c r="S49" s="2" t="s">
        <v>140</v>
      </c>
      <c r="T49" s="2" t="s">
        <v>43</v>
      </c>
      <c r="U49" s="2" t="s">
        <v>220</v>
      </c>
      <c r="V49" s="2">
        <v>73000</v>
      </c>
      <c r="W49" s="2">
        <v>8.7999999999999995E-2</v>
      </c>
      <c r="X49" s="2">
        <v>2700</v>
      </c>
      <c r="Y49" s="2">
        <v>200</v>
      </c>
      <c r="Z49" s="2">
        <v>200</v>
      </c>
      <c r="AA49" s="2">
        <f t="shared" si="5"/>
        <v>227.70000000000002</v>
      </c>
      <c r="AB49" s="2">
        <v>90</v>
      </c>
      <c r="AC49" s="2">
        <v>45</v>
      </c>
      <c r="AD49" s="49">
        <v>209</v>
      </c>
      <c r="AE49" s="2" t="s">
        <v>37</v>
      </c>
    </row>
    <row r="50" spans="1:31" x14ac:dyDescent="0.25">
      <c r="A50" s="2">
        <v>47</v>
      </c>
      <c r="B50" s="16"/>
      <c r="C50" s="16" t="s">
        <v>271</v>
      </c>
      <c r="D50" s="2">
        <v>41.9</v>
      </c>
      <c r="E50" s="2">
        <v>300</v>
      </c>
      <c r="F50" s="2">
        <v>300</v>
      </c>
      <c r="G50" s="2">
        <f t="shared" si="13"/>
        <v>253</v>
      </c>
      <c r="H50" s="2">
        <f t="shared" si="11"/>
        <v>300</v>
      </c>
      <c r="I50" s="2">
        <v>0</v>
      </c>
      <c r="J50" s="2" t="s">
        <v>36</v>
      </c>
      <c r="K50" s="2">
        <f t="shared" si="9"/>
        <v>809.6</v>
      </c>
      <c r="L50" s="43">
        <v>3.2</v>
      </c>
      <c r="M50" s="2" t="s">
        <v>37</v>
      </c>
      <c r="N50" s="2">
        <v>0</v>
      </c>
      <c r="O50" s="2"/>
      <c r="P50" s="2"/>
      <c r="Q50" s="2"/>
      <c r="R50" s="2"/>
      <c r="S50" s="2" t="s">
        <v>140</v>
      </c>
      <c r="T50" s="2" t="s">
        <v>43</v>
      </c>
      <c r="U50" s="2" t="s">
        <v>220</v>
      </c>
      <c r="V50" s="2">
        <v>73000</v>
      </c>
      <c r="W50" s="2">
        <v>8.7999999999999995E-2</v>
      </c>
      <c r="X50" s="2">
        <v>2700</v>
      </c>
      <c r="Y50" s="2">
        <v>200</v>
      </c>
      <c r="Z50" s="2">
        <v>200</v>
      </c>
      <c r="AA50" s="2">
        <f t="shared" si="5"/>
        <v>227.70000000000002</v>
      </c>
      <c r="AB50" s="2">
        <v>90</v>
      </c>
      <c r="AC50" s="2">
        <v>45</v>
      </c>
      <c r="AD50" s="49">
        <v>224</v>
      </c>
      <c r="AE50" s="2" t="s">
        <v>37</v>
      </c>
    </row>
    <row r="51" spans="1:31" x14ac:dyDescent="0.25">
      <c r="A51" s="2">
        <v>48</v>
      </c>
      <c r="B51" s="16"/>
      <c r="C51" s="16" t="s">
        <v>272</v>
      </c>
      <c r="D51" s="2">
        <v>42.7</v>
      </c>
      <c r="E51" s="2">
        <v>300</v>
      </c>
      <c r="F51" s="2">
        <v>300</v>
      </c>
      <c r="G51" s="2">
        <f t="shared" si="13"/>
        <v>253</v>
      </c>
      <c r="H51" s="2">
        <f t="shared" si="11"/>
        <v>300</v>
      </c>
      <c r="I51" s="2">
        <v>0</v>
      </c>
      <c r="J51" s="2" t="s">
        <v>36</v>
      </c>
      <c r="K51" s="2">
        <f t="shared" si="9"/>
        <v>809.6</v>
      </c>
      <c r="L51" s="43">
        <v>3.2</v>
      </c>
      <c r="M51" s="2" t="s">
        <v>37</v>
      </c>
      <c r="N51" s="2">
        <v>0</v>
      </c>
      <c r="O51" s="2"/>
      <c r="P51" s="2"/>
      <c r="Q51" s="2"/>
      <c r="R51" s="2"/>
      <c r="S51" s="2" t="s">
        <v>140</v>
      </c>
      <c r="T51" s="2" t="s">
        <v>43</v>
      </c>
      <c r="U51" s="2" t="s">
        <v>220</v>
      </c>
      <c r="V51" s="2">
        <v>73000</v>
      </c>
      <c r="W51" s="2">
        <v>0.14399999999999999</v>
      </c>
      <c r="X51" s="2">
        <v>2700</v>
      </c>
      <c r="Y51" s="2">
        <v>200</v>
      </c>
      <c r="Z51" s="2">
        <v>200</v>
      </c>
      <c r="AA51" s="2">
        <f t="shared" si="5"/>
        <v>227.70000000000002</v>
      </c>
      <c r="AB51" s="2">
        <v>90</v>
      </c>
      <c r="AC51" s="2">
        <v>45</v>
      </c>
      <c r="AD51" s="49">
        <v>254</v>
      </c>
      <c r="AE51" s="2" t="s">
        <v>37</v>
      </c>
    </row>
    <row r="52" spans="1:31" x14ac:dyDescent="0.25">
      <c r="A52" s="2">
        <v>49</v>
      </c>
      <c r="B52" s="16"/>
      <c r="C52" s="16" t="s">
        <v>273</v>
      </c>
      <c r="D52" s="2">
        <v>43.5</v>
      </c>
      <c r="E52" s="2">
        <v>600</v>
      </c>
      <c r="F52" s="2">
        <v>300</v>
      </c>
      <c r="G52" s="2">
        <f t="shared" si="13"/>
        <v>253</v>
      </c>
      <c r="H52" s="2">
        <f t="shared" si="11"/>
        <v>300</v>
      </c>
      <c r="I52" s="2">
        <v>0</v>
      </c>
      <c r="J52" s="2" t="s">
        <v>36</v>
      </c>
      <c r="K52" s="2">
        <f t="shared" si="9"/>
        <v>809.6</v>
      </c>
      <c r="L52" s="43">
        <v>3.2</v>
      </c>
      <c r="M52" s="2" t="s">
        <v>37</v>
      </c>
      <c r="N52" s="2">
        <v>0</v>
      </c>
      <c r="O52" s="2"/>
      <c r="P52" s="2"/>
      <c r="Q52" s="2"/>
      <c r="R52" s="2"/>
      <c r="S52" s="2" t="s">
        <v>140</v>
      </c>
      <c r="T52" s="2" t="s">
        <v>43</v>
      </c>
      <c r="U52" s="2" t="s">
        <v>220</v>
      </c>
      <c r="V52" s="2">
        <v>73000</v>
      </c>
      <c r="W52" s="2">
        <v>0.14399999999999999</v>
      </c>
      <c r="X52" s="2">
        <v>2700</v>
      </c>
      <c r="Y52" s="2">
        <v>200</v>
      </c>
      <c r="Z52" s="2">
        <v>200</v>
      </c>
      <c r="AA52" s="2">
        <f t="shared" si="5"/>
        <v>227.70000000000002</v>
      </c>
      <c r="AB52" s="2">
        <v>90</v>
      </c>
      <c r="AC52" s="2">
        <v>45</v>
      </c>
      <c r="AD52" s="49">
        <v>424</v>
      </c>
      <c r="AE52" s="2" t="s">
        <v>37</v>
      </c>
    </row>
    <row r="53" spans="1:31" x14ac:dyDescent="0.25">
      <c r="A53" s="2">
        <v>50</v>
      </c>
      <c r="B53" s="16"/>
      <c r="C53" s="16" t="s">
        <v>274</v>
      </c>
      <c r="D53" s="2">
        <v>39.9</v>
      </c>
      <c r="E53" s="2">
        <v>450</v>
      </c>
      <c r="F53" s="2">
        <v>450</v>
      </c>
      <c r="G53" s="2">
        <f>F53-51</f>
        <v>399</v>
      </c>
      <c r="H53" s="2">
        <f t="shared" si="11"/>
        <v>450</v>
      </c>
      <c r="I53" s="2">
        <v>0</v>
      </c>
      <c r="J53" s="2" t="s">
        <v>36</v>
      </c>
      <c r="K53" s="2">
        <f t="shared" si="9"/>
        <v>1200.99</v>
      </c>
      <c r="L53" s="43">
        <v>3.01</v>
      </c>
      <c r="M53" s="2" t="s">
        <v>37</v>
      </c>
      <c r="N53" s="2">
        <v>0</v>
      </c>
      <c r="O53" s="2"/>
      <c r="P53" s="2"/>
      <c r="Q53" s="2"/>
      <c r="R53" s="2"/>
      <c r="S53" s="2" t="s">
        <v>140</v>
      </c>
      <c r="T53" s="2" t="s">
        <v>43</v>
      </c>
      <c r="U53" s="2" t="s">
        <v>220</v>
      </c>
      <c r="V53" s="2">
        <v>73000</v>
      </c>
      <c r="W53" s="2">
        <v>0.14399999999999999</v>
      </c>
      <c r="X53" s="2">
        <v>2700</v>
      </c>
      <c r="Y53" s="2">
        <v>200</v>
      </c>
      <c r="Z53" s="2">
        <v>200</v>
      </c>
      <c r="AA53" s="2">
        <f t="shared" si="5"/>
        <v>359.1</v>
      </c>
      <c r="AB53" s="2">
        <v>90</v>
      </c>
      <c r="AC53" s="2">
        <v>45</v>
      </c>
      <c r="AD53" s="49">
        <v>379</v>
      </c>
      <c r="AE53" s="2" t="s">
        <v>37</v>
      </c>
    </row>
    <row r="54" spans="1:31" x14ac:dyDescent="0.25">
      <c r="A54" s="2">
        <v>51</v>
      </c>
      <c r="B54" s="16"/>
      <c r="C54" s="16" t="s">
        <v>275</v>
      </c>
      <c r="D54" s="2">
        <v>39.9</v>
      </c>
      <c r="E54" s="2">
        <v>550</v>
      </c>
      <c r="F54" s="2">
        <v>550</v>
      </c>
      <c r="G54" s="2">
        <f>F54-51</f>
        <v>499</v>
      </c>
      <c r="H54" s="2">
        <f t="shared" si="11"/>
        <v>550</v>
      </c>
      <c r="I54" s="2">
        <v>0</v>
      </c>
      <c r="J54" s="2" t="s">
        <v>36</v>
      </c>
      <c r="K54" s="2">
        <f t="shared" si="9"/>
        <v>1501.9899999999998</v>
      </c>
      <c r="L54" s="43">
        <v>3.01</v>
      </c>
      <c r="M54" s="2" t="s">
        <v>37</v>
      </c>
      <c r="N54" s="2">
        <v>0</v>
      </c>
      <c r="O54" s="2"/>
      <c r="P54" s="2"/>
      <c r="Q54" s="2"/>
      <c r="R54" s="2"/>
      <c r="S54" s="2" t="s">
        <v>140</v>
      </c>
      <c r="T54" s="2" t="s">
        <v>43</v>
      </c>
      <c r="U54" s="2" t="s">
        <v>220</v>
      </c>
      <c r="V54" s="2">
        <v>73000</v>
      </c>
      <c r="W54" s="2">
        <v>0.14399999999999999</v>
      </c>
      <c r="X54" s="2">
        <v>2700</v>
      </c>
      <c r="Y54" s="2">
        <v>200</v>
      </c>
      <c r="Z54" s="2">
        <v>200</v>
      </c>
      <c r="AA54" s="2">
        <f t="shared" si="5"/>
        <v>449.1</v>
      </c>
      <c r="AB54" s="2">
        <v>90</v>
      </c>
      <c r="AC54" s="2">
        <v>45</v>
      </c>
      <c r="AD54" s="49">
        <v>569</v>
      </c>
      <c r="AE54" s="2" t="s">
        <v>37</v>
      </c>
    </row>
    <row r="55" spans="1:31" x14ac:dyDescent="0.25">
      <c r="A55" s="2">
        <v>52</v>
      </c>
      <c r="B55" s="16"/>
      <c r="C55" s="16" t="s">
        <v>276</v>
      </c>
      <c r="D55" s="2">
        <v>40.6</v>
      </c>
      <c r="E55" s="2">
        <v>550</v>
      </c>
      <c r="F55" s="2">
        <v>550</v>
      </c>
      <c r="G55" s="2">
        <f>F55-51</f>
        <v>499</v>
      </c>
      <c r="H55" s="2">
        <f t="shared" si="11"/>
        <v>550</v>
      </c>
      <c r="I55" s="2">
        <v>0</v>
      </c>
      <c r="J55" s="2" t="s">
        <v>36</v>
      </c>
      <c r="K55" s="2">
        <f t="shared" si="9"/>
        <v>1501.9899999999998</v>
      </c>
      <c r="L55" s="43">
        <v>3.01</v>
      </c>
      <c r="M55" s="2" t="s">
        <v>37</v>
      </c>
      <c r="N55" s="2">
        <v>0</v>
      </c>
      <c r="O55" s="2"/>
      <c r="P55" s="2"/>
      <c r="Q55" s="2"/>
      <c r="R55" s="2"/>
      <c r="S55" s="2" t="s">
        <v>140</v>
      </c>
      <c r="T55" s="2" t="s">
        <v>43</v>
      </c>
      <c r="U55" s="2" t="s">
        <v>220</v>
      </c>
      <c r="V55" s="2">
        <v>73000</v>
      </c>
      <c r="W55" s="2">
        <v>0.28799999999999998</v>
      </c>
      <c r="X55" s="2">
        <v>2700</v>
      </c>
      <c r="Y55" s="2">
        <v>200</v>
      </c>
      <c r="Z55" s="2">
        <v>200</v>
      </c>
      <c r="AA55" s="2">
        <f t="shared" si="5"/>
        <v>449.1</v>
      </c>
      <c r="AB55" s="2">
        <v>90</v>
      </c>
      <c r="AC55" s="2">
        <v>45</v>
      </c>
      <c r="AD55" s="49">
        <v>662</v>
      </c>
      <c r="AE55" s="2" t="s">
        <v>37</v>
      </c>
    </row>
    <row r="56" spans="1:31" x14ac:dyDescent="0.25">
      <c r="A56" s="2">
        <v>53</v>
      </c>
      <c r="B56" s="16" t="s">
        <v>277</v>
      </c>
      <c r="C56" s="16" t="s">
        <v>278</v>
      </c>
      <c r="D56" s="2">
        <v>34.700000000000003</v>
      </c>
      <c r="E56" s="2">
        <v>200</v>
      </c>
      <c r="F56" s="2">
        <v>450</v>
      </c>
      <c r="G56" s="2">
        <v>395</v>
      </c>
      <c r="H56" s="2">
        <f t="shared" si="11"/>
        <v>450</v>
      </c>
      <c r="I56" s="2">
        <v>0</v>
      </c>
      <c r="J56" s="2" t="s">
        <v>36</v>
      </c>
      <c r="K56" s="2">
        <f t="shared" si="9"/>
        <v>1248.2</v>
      </c>
      <c r="L56" s="43">
        <v>3.16</v>
      </c>
      <c r="M56" s="16" t="s">
        <v>52</v>
      </c>
      <c r="N56" s="2">
        <v>6</v>
      </c>
      <c r="O56" s="2">
        <v>400</v>
      </c>
      <c r="P56" s="16">
        <v>200000</v>
      </c>
      <c r="Q56" s="2">
        <v>486.1</v>
      </c>
      <c r="R56" s="2">
        <f t="shared" ref="R56" si="14">100*2*3.1416*N56^2/4/O56/E56</f>
        <v>7.0685999999999985E-2</v>
      </c>
      <c r="S56" s="2" t="s">
        <v>38</v>
      </c>
      <c r="T56" s="2" t="s">
        <v>43</v>
      </c>
      <c r="U56" s="2" t="s">
        <v>220</v>
      </c>
      <c r="V56" s="2">
        <v>240000</v>
      </c>
      <c r="W56" s="2">
        <v>0.11</v>
      </c>
      <c r="X56" s="2">
        <v>3400</v>
      </c>
      <c r="Y56" s="2">
        <v>50</v>
      </c>
      <c r="Z56" s="2">
        <v>200</v>
      </c>
      <c r="AA56" s="2">
        <f t="shared" si="5"/>
        <v>355.5</v>
      </c>
      <c r="AB56" s="2">
        <v>90</v>
      </c>
      <c r="AC56" s="2">
        <v>45</v>
      </c>
      <c r="AD56" s="49">
        <v>236</v>
      </c>
      <c r="AE56" s="2" t="s">
        <v>37</v>
      </c>
    </row>
    <row r="57" spans="1:31" x14ac:dyDescent="0.25">
      <c r="A57" s="53">
        <v>54</v>
      </c>
      <c r="B57" s="54"/>
      <c r="C57" s="53" t="s">
        <v>360</v>
      </c>
      <c r="D57" s="53">
        <v>22.64</v>
      </c>
      <c r="E57" s="57">
        <v>250</v>
      </c>
      <c r="F57" s="57">
        <v>420</v>
      </c>
      <c r="G57" s="57">
        <f>F57-45-40*2/3</f>
        <v>348.33333333333331</v>
      </c>
      <c r="H57" s="57">
        <v>420</v>
      </c>
      <c r="I57" s="57">
        <v>0</v>
      </c>
      <c r="J57" s="57" t="s">
        <v>333</v>
      </c>
      <c r="K57" s="57">
        <v>1260</v>
      </c>
      <c r="L57" s="64">
        <f t="shared" ref="L57:L61" si="15">K57/G57</f>
        <v>3.6172248803827753</v>
      </c>
      <c r="M57" s="57" t="s">
        <v>334</v>
      </c>
      <c r="N57" s="57">
        <v>8</v>
      </c>
      <c r="O57" s="69">
        <v>380</v>
      </c>
      <c r="P57" s="57">
        <v>200000</v>
      </c>
      <c r="Q57" s="57">
        <v>500</v>
      </c>
      <c r="R57" s="57">
        <f>100*2*3.1416*N57^2/4/O57/E57</f>
        <v>0.10582231578947368</v>
      </c>
      <c r="S57" s="57" t="s">
        <v>313</v>
      </c>
      <c r="T57" s="57" t="s">
        <v>335</v>
      </c>
      <c r="U57" s="53" t="s">
        <v>220</v>
      </c>
      <c r="V57" s="65">
        <v>240000</v>
      </c>
      <c r="W57" s="57">
        <v>0.16500000000000001</v>
      </c>
      <c r="X57" s="57">
        <v>3800</v>
      </c>
      <c r="Y57" s="57">
        <v>300</v>
      </c>
      <c r="Z57" s="57">
        <v>200</v>
      </c>
      <c r="AA57" s="57">
        <f>0.9*G57-I57</f>
        <v>313.5</v>
      </c>
      <c r="AB57" s="57">
        <v>90</v>
      </c>
      <c r="AC57" s="57">
        <v>45</v>
      </c>
      <c r="AD57" s="53">
        <v>284.33999999999997</v>
      </c>
      <c r="AE57" s="54">
        <f>AD57-148.99</f>
        <v>135.34999999999997</v>
      </c>
    </row>
    <row r="58" spans="1:31" x14ac:dyDescent="0.25">
      <c r="A58" s="2">
        <v>55</v>
      </c>
      <c r="B58" t="s">
        <v>359</v>
      </c>
      <c r="C58" s="2" t="s">
        <v>361</v>
      </c>
      <c r="D58" s="2">
        <v>22.64</v>
      </c>
      <c r="E58" s="24">
        <v>250</v>
      </c>
      <c r="F58" s="24">
        <v>420</v>
      </c>
      <c r="G58" s="24">
        <f>F58-45-40*2/3</f>
        <v>348.33333333333331</v>
      </c>
      <c r="H58" s="24">
        <v>420</v>
      </c>
      <c r="I58" s="24">
        <v>0</v>
      </c>
      <c r="J58" s="24" t="s">
        <v>333</v>
      </c>
      <c r="K58" s="24">
        <v>1260</v>
      </c>
      <c r="L58" s="62">
        <f t="shared" si="15"/>
        <v>3.6172248803827753</v>
      </c>
      <c r="M58" s="24" t="s">
        <v>334</v>
      </c>
      <c r="N58" s="24">
        <v>8</v>
      </c>
      <c r="O58" s="66">
        <v>380</v>
      </c>
      <c r="P58" s="24">
        <v>200000</v>
      </c>
      <c r="Q58" s="24">
        <v>500</v>
      </c>
      <c r="R58" s="24">
        <f>100*2*3.1416*N58^2/4/O58/E58</f>
        <v>0.10582231578947368</v>
      </c>
      <c r="S58" s="24" t="s">
        <v>313</v>
      </c>
      <c r="T58" s="24" t="s">
        <v>335</v>
      </c>
      <c r="U58" s="2" t="s">
        <v>220</v>
      </c>
      <c r="V58" s="63">
        <v>240000</v>
      </c>
      <c r="W58" s="24">
        <v>0.16500000000000001</v>
      </c>
      <c r="X58" s="24">
        <v>3800</v>
      </c>
      <c r="Y58" s="24">
        <v>300</v>
      </c>
      <c r="Z58" s="24">
        <v>200</v>
      </c>
      <c r="AA58" s="24">
        <f>0.9*G58-I58</f>
        <v>313.5</v>
      </c>
      <c r="AB58" s="24">
        <v>90</v>
      </c>
      <c r="AC58" s="24">
        <v>45</v>
      </c>
      <c r="AD58" s="2">
        <v>276.62</v>
      </c>
      <c r="AE58">
        <f>AD58-158.24</f>
        <v>118.38</v>
      </c>
    </row>
    <row r="59" spans="1:31" x14ac:dyDescent="0.25">
      <c r="A59" s="2">
        <v>56</v>
      </c>
      <c r="C59" s="2" t="s">
        <v>362</v>
      </c>
      <c r="D59" s="2">
        <v>22.58</v>
      </c>
      <c r="E59" s="24">
        <v>250</v>
      </c>
      <c r="F59" s="24">
        <v>420</v>
      </c>
      <c r="G59" s="24">
        <f>F59-45-40*2/3</f>
        <v>348.33333333333331</v>
      </c>
      <c r="H59" s="24">
        <v>420</v>
      </c>
      <c r="I59" s="24">
        <v>0</v>
      </c>
      <c r="J59" s="24" t="s">
        <v>333</v>
      </c>
      <c r="K59" s="24">
        <v>1260</v>
      </c>
      <c r="L59" s="62">
        <f t="shared" si="15"/>
        <v>3.6172248803827753</v>
      </c>
      <c r="M59" s="24" t="s">
        <v>334</v>
      </c>
      <c r="N59" s="24">
        <v>8</v>
      </c>
      <c r="O59" s="66">
        <v>380</v>
      </c>
      <c r="P59" s="24">
        <v>200000</v>
      </c>
      <c r="Q59" s="24">
        <v>500</v>
      </c>
      <c r="R59" s="24">
        <f>100*2*3.1416*N59^2/4/O59/E59</f>
        <v>0.10582231578947368</v>
      </c>
      <c r="S59" s="24" t="s">
        <v>313</v>
      </c>
      <c r="T59" s="24" t="s">
        <v>335</v>
      </c>
      <c r="U59" s="2" t="s">
        <v>220</v>
      </c>
      <c r="V59" s="63">
        <v>240000</v>
      </c>
      <c r="W59" s="24">
        <v>0.16500000000000001</v>
      </c>
      <c r="X59" s="24">
        <v>3800</v>
      </c>
      <c r="Y59" s="24">
        <v>300</v>
      </c>
      <c r="Z59" s="24">
        <v>200</v>
      </c>
      <c r="AA59" s="24">
        <f>0.9*G59-I59</f>
        <v>313.5</v>
      </c>
      <c r="AB59" s="24">
        <v>90</v>
      </c>
      <c r="AC59" s="24">
        <v>45</v>
      </c>
      <c r="AD59" s="2">
        <v>311.42</v>
      </c>
      <c r="AE59">
        <f>AD59-148.99</f>
        <v>162.43</v>
      </c>
    </row>
    <row r="60" spans="1:31" x14ac:dyDescent="0.25">
      <c r="A60" s="2">
        <v>57</v>
      </c>
      <c r="C60" s="2" t="s">
        <v>363</v>
      </c>
      <c r="D60" s="2">
        <v>22.58</v>
      </c>
      <c r="E60" s="24">
        <v>250</v>
      </c>
      <c r="F60" s="24">
        <v>420</v>
      </c>
      <c r="G60" s="24">
        <f>F60-45-40*2/3</f>
        <v>348.33333333333331</v>
      </c>
      <c r="H60" s="24">
        <v>420</v>
      </c>
      <c r="I60" s="24">
        <v>0</v>
      </c>
      <c r="J60" s="24" t="s">
        <v>333</v>
      </c>
      <c r="K60" s="24">
        <v>1260</v>
      </c>
      <c r="L60" s="62">
        <f t="shared" si="15"/>
        <v>3.6172248803827753</v>
      </c>
      <c r="M60" s="24" t="s">
        <v>334</v>
      </c>
      <c r="N60" s="24">
        <v>8</v>
      </c>
      <c r="O60" s="66">
        <v>380</v>
      </c>
      <c r="P60" s="24">
        <v>200000</v>
      </c>
      <c r="Q60" s="24">
        <v>500</v>
      </c>
      <c r="R60" s="24">
        <f>100*2*3.1416*N60^2/4/O60/E60</f>
        <v>0.10582231578947368</v>
      </c>
      <c r="S60" s="24" t="s">
        <v>313</v>
      </c>
      <c r="T60" s="24" t="s">
        <v>335</v>
      </c>
      <c r="U60" s="2" t="s">
        <v>220</v>
      </c>
      <c r="V60" s="63">
        <v>240000</v>
      </c>
      <c r="W60" s="24">
        <v>0.16500000000000001</v>
      </c>
      <c r="X60" s="24">
        <v>3800</v>
      </c>
      <c r="Y60" s="24">
        <v>300</v>
      </c>
      <c r="Z60" s="24">
        <v>200</v>
      </c>
      <c r="AA60" s="24">
        <f>0.9*G60-I60</f>
        <v>313.5</v>
      </c>
      <c r="AB60" s="24">
        <v>90</v>
      </c>
      <c r="AC60" s="24">
        <v>45</v>
      </c>
      <c r="AD60" s="2">
        <v>321.35000000000002</v>
      </c>
      <c r="AE60">
        <f>AD60-158.24</f>
        <v>163.11000000000001</v>
      </c>
    </row>
    <row r="61" spans="1:31" x14ac:dyDescent="0.25">
      <c r="A61" s="57">
        <v>58</v>
      </c>
      <c r="B61" s="53"/>
      <c r="C61" s="57" t="s">
        <v>60</v>
      </c>
      <c r="D61" s="53">
        <v>35</v>
      </c>
      <c r="E61" s="57">
        <v>350</v>
      </c>
      <c r="F61" s="57">
        <v>450</v>
      </c>
      <c r="G61" s="53">
        <v>395</v>
      </c>
      <c r="H61" s="57">
        <v>450</v>
      </c>
      <c r="I61" s="57">
        <v>0</v>
      </c>
      <c r="J61" s="57" t="s">
        <v>36</v>
      </c>
      <c r="K61" s="57">
        <v>1200</v>
      </c>
      <c r="L61" s="64">
        <f t="shared" si="15"/>
        <v>3.037974683544304</v>
      </c>
      <c r="M61" s="57" t="s">
        <v>18</v>
      </c>
      <c r="N61" s="57">
        <v>9.5299999999999994</v>
      </c>
      <c r="O61" s="57">
        <v>200</v>
      </c>
      <c r="P61" s="57">
        <v>200000</v>
      </c>
      <c r="Q61" s="57">
        <v>300</v>
      </c>
      <c r="R61" s="57">
        <f t="shared" ref="R61:R69" si="16">100*2*3.1416*N61^2/4/O61/E61</f>
        <v>0.20380209959999993</v>
      </c>
      <c r="S61" s="57" t="s">
        <v>38</v>
      </c>
      <c r="T61" s="57" t="s">
        <v>225</v>
      </c>
      <c r="U61" s="57" t="s">
        <v>220</v>
      </c>
      <c r="V61" s="65">
        <v>250000</v>
      </c>
      <c r="W61" s="57">
        <v>0.11</v>
      </c>
      <c r="X61" s="57">
        <v>4510</v>
      </c>
      <c r="Y61" s="57">
        <v>1</v>
      </c>
      <c r="Z61" s="57">
        <v>1</v>
      </c>
      <c r="AA61" s="57">
        <f t="shared" ref="AA61:AA62" si="17">0.9*G61-I61</f>
        <v>355.5</v>
      </c>
      <c r="AB61" s="57">
        <v>90</v>
      </c>
      <c r="AC61" s="57">
        <v>45</v>
      </c>
      <c r="AD61" s="53">
        <f>1206.3/2</f>
        <v>603.15</v>
      </c>
      <c r="AE61" s="53" t="s">
        <v>37</v>
      </c>
    </row>
    <row r="62" spans="1:31" x14ac:dyDescent="0.25">
      <c r="A62" s="24">
        <v>59</v>
      </c>
      <c r="B62" s="58"/>
      <c r="C62" s="24" t="s">
        <v>382</v>
      </c>
      <c r="D62" s="58">
        <v>35</v>
      </c>
      <c r="E62" s="24">
        <v>350</v>
      </c>
      <c r="F62" s="24">
        <v>450</v>
      </c>
      <c r="G62" s="58">
        <v>395</v>
      </c>
      <c r="H62" s="24">
        <v>450</v>
      </c>
      <c r="I62" s="24">
        <v>0</v>
      </c>
      <c r="J62" s="24" t="s">
        <v>36</v>
      </c>
      <c r="K62" s="24">
        <v>1200</v>
      </c>
      <c r="L62" s="62">
        <f t="shared" ref="L62" si="18">K62/G62</f>
        <v>3.037974683544304</v>
      </c>
      <c r="M62" s="24" t="s">
        <v>18</v>
      </c>
      <c r="N62" s="24">
        <v>9.5299999999999994</v>
      </c>
      <c r="O62" s="24">
        <v>200</v>
      </c>
      <c r="P62" s="24">
        <v>200000</v>
      </c>
      <c r="Q62" s="24">
        <v>300</v>
      </c>
      <c r="R62" s="24">
        <f t="shared" si="16"/>
        <v>0.20380209959999993</v>
      </c>
      <c r="S62" s="24" t="s">
        <v>106</v>
      </c>
      <c r="T62" s="24" t="s">
        <v>225</v>
      </c>
      <c r="U62" s="24" t="s">
        <v>220</v>
      </c>
      <c r="V62" s="63">
        <v>17000</v>
      </c>
      <c r="W62" s="24">
        <v>0.5</v>
      </c>
      <c r="X62" s="24">
        <v>350</v>
      </c>
      <c r="Y62" s="24">
        <v>1</v>
      </c>
      <c r="Z62" s="24">
        <v>1</v>
      </c>
      <c r="AA62" s="24">
        <f t="shared" si="17"/>
        <v>355.5</v>
      </c>
      <c r="AB62" s="24">
        <v>90</v>
      </c>
      <c r="AC62" s="24">
        <v>45</v>
      </c>
      <c r="AD62" s="58">
        <f>938/2</f>
        <v>469</v>
      </c>
      <c r="AE62" s="58" t="s">
        <v>37</v>
      </c>
    </row>
    <row r="63" spans="1:31" x14ac:dyDescent="0.25">
      <c r="A63" s="24">
        <v>60</v>
      </c>
      <c r="B63" s="58"/>
      <c r="C63" s="24" t="s">
        <v>383</v>
      </c>
      <c r="D63" s="58">
        <v>35</v>
      </c>
      <c r="E63" s="24">
        <v>350</v>
      </c>
      <c r="F63" s="24">
        <v>450</v>
      </c>
      <c r="G63" s="58">
        <v>395</v>
      </c>
      <c r="H63" s="24">
        <v>450</v>
      </c>
      <c r="I63" s="24">
        <v>0</v>
      </c>
      <c r="J63" s="24" t="s">
        <v>36</v>
      </c>
      <c r="K63" s="24">
        <v>1200</v>
      </c>
      <c r="L63" s="62">
        <f t="shared" ref="L63" si="19">K63/G63</f>
        <v>3.037974683544304</v>
      </c>
      <c r="M63" s="24" t="s">
        <v>18</v>
      </c>
      <c r="N63" s="24">
        <v>9.5299999999999994</v>
      </c>
      <c r="O63" s="24">
        <v>200</v>
      </c>
      <c r="P63" s="24">
        <v>200000</v>
      </c>
      <c r="Q63" s="24">
        <v>300</v>
      </c>
      <c r="R63" s="24">
        <f t="shared" si="16"/>
        <v>0.20380209959999993</v>
      </c>
      <c r="S63" s="24" t="s">
        <v>106</v>
      </c>
      <c r="T63" s="24" t="s">
        <v>225</v>
      </c>
      <c r="U63" s="24" t="s">
        <v>220</v>
      </c>
      <c r="V63" s="63">
        <v>17000</v>
      </c>
      <c r="W63" s="24">
        <v>1</v>
      </c>
      <c r="X63" s="24">
        <v>350</v>
      </c>
      <c r="Y63" s="24">
        <v>1</v>
      </c>
      <c r="Z63" s="24">
        <v>1</v>
      </c>
      <c r="AA63" s="24">
        <f t="shared" ref="AA63" si="20">0.9*G63-I63</f>
        <v>355.5</v>
      </c>
      <c r="AB63" s="24">
        <v>90</v>
      </c>
      <c r="AC63" s="24">
        <v>45</v>
      </c>
      <c r="AD63" s="58">
        <f>1103/2</f>
        <v>551.5</v>
      </c>
      <c r="AE63" s="58" t="s">
        <v>37</v>
      </c>
    </row>
    <row r="64" spans="1:31" x14ac:dyDescent="0.25">
      <c r="A64" s="24">
        <v>61</v>
      </c>
      <c r="B64" s="58"/>
      <c r="C64" s="24" t="s">
        <v>384</v>
      </c>
      <c r="D64" s="58">
        <v>35</v>
      </c>
      <c r="E64" s="24">
        <v>350</v>
      </c>
      <c r="F64" s="24">
        <v>450</v>
      </c>
      <c r="G64" s="58">
        <v>395</v>
      </c>
      <c r="H64" s="24">
        <v>450</v>
      </c>
      <c r="I64" s="24">
        <v>0</v>
      </c>
      <c r="J64" s="24" t="s">
        <v>36</v>
      </c>
      <c r="K64" s="24">
        <v>1200</v>
      </c>
      <c r="L64" s="62">
        <f t="shared" ref="L64" si="21">K64/G64</f>
        <v>3.037974683544304</v>
      </c>
      <c r="M64" s="24" t="s">
        <v>18</v>
      </c>
      <c r="N64" s="24">
        <v>9.5299999999999994</v>
      </c>
      <c r="O64" s="24">
        <v>200</v>
      </c>
      <c r="P64" s="24">
        <v>200000</v>
      </c>
      <c r="Q64" s="24">
        <v>300</v>
      </c>
      <c r="R64" s="24">
        <f t="shared" si="16"/>
        <v>0.20380209959999993</v>
      </c>
      <c r="S64" s="24" t="s">
        <v>106</v>
      </c>
      <c r="T64" s="24" t="s">
        <v>225</v>
      </c>
      <c r="U64" s="24" t="s">
        <v>220</v>
      </c>
      <c r="V64" s="63">
        <v>17000</v>
      </c>
      <c r="W64" s="24">
        <v>1.5</v>
      </c>
      <c r="X64" s="24">
        <v>350</v>
      </c>
      <c r="Y64" s="24">
        <v>1</v>
      </c>
      <c r="Z64" s="24">
        <v>1</v>
      </c>
      <c r="AA64" s="24">
        <f t="shared" ref="AA64" si="22">0.9*G64-I64</f>
        <v>355.5</v>
      </c>
      <c r="AB64" s="24">
        <v>90</v>
      </c>
      <c r="AC64" s="24">
        <v>45</v>
      </c>
      <c r="AD64" s="58">
        <f>1162.5/2</f>
        <v>581.25</v>
      </c>
      <c r="AE64" s="58" t="s">
        <v>37</v>
      </c>
    </row>
    <row r="65" spans="1:31" x14ac:dyDescent="0.25">
      <c r="A65" s="24">
        <v>62</v>
      </c>
      <c r="B65" s="58" t="s">
        <v>390</v>
      </c>
      <c r="C65" s="24" t="s">
        <v>385</v>
      </c>
      <c r="D65" s="58">
        <v>35</v>
      </c>
      <c r="E65" s="24">
        <v>350</v>
      </c>
      <c r="F65" s="24">
        <v>450</v>
      </c>
      <c r="G65" s="58">
        <v>395</v>
      </c>
      <c r="H65" s="24">
        <v>450</v>
      </c>
      <c r="I65" s="24">
        <v>0</v>
      </c>
      <c r="J65" s="24" t="s">
        <v>36</v>
      </c>
      <c r="K65" s="24">
        <v>1200</v>
      </c>
      <c r="L65" s="62">
        <f t="shared" ref="L65" si="23">K65/G65</f>
        <v>3.037974683544304</v>
      </c>
      <c r="M65" s="24" t="s">
        <v>18</v>
      </c>
      <c r="N65" s="24">
        <v>9.5299999999999994</v>
      </c>
      <c r="O65" s="24">
        <v>200</v>
      </c>
      <c r="P65" s="24">
        <v>200000</v>
      </c>
      <c r="Q65" s="24">
        <v>300</v>
      </c>
      <c r="R65" s="24">
        <f t="shared" si="16"/>
        <v>0.20380209959999993</v>
      </c>
      <c r="S65" s="24" t="s">
        <v>106</v>
      </c>
      <c r="T65" s="24" t="s">
        <v>225</v>
      </c>
      <c r="U65" s="24" t="s">
        <v>220</v>
      </c>
      <c r="V65" s="63">
        <v>17000</v>
      </c>
      <c r="W65" s="24">
        <v>2</v>
      </c>
      <c r="X65" s="24">
        <v>350</v>
      </c>
      <c r="Y65" s="24">
        <v>1</v>
      </c>
      <c r="Z65" s="24">
        <v>1</v>
      </c>
      <c r="AA65" s="24">
        <f t="shared" ref="AA65" si="24">0.9*G65-I65</f>
        <v>355.5</v>
      </c>
      <c r="AB65" s="24">
        <v>90</v>
      </c>
      <c r="AC65" s="24">
        <v>45</v>
      </c>
      <c r="AD65" s="58">
        <f>1379/2</f>
        <v>689.5</v>
      </c>
      <c r="AE65" s="58" t="s">
        <v>37</v>
      </c>
    </row>
    <row r="66" spans="1:31" x14ac:dyDescent="0.25">
      <c r="A66" s="24">
        <v>63</v>
      </c>
      <c r="B66" s="58"/>
      <c r="C66" s="24" t="s">
        <v>386</v>
      </c>
      <c r="D66" s="58">
        <v>35</v>
      </c>
      <c r="E66" s="24">
        <v>350</v>
      </c>
      <c r="F66" s="24">
        <v>450</v>
      </c>
      <c r="G66" s="58">
        <v>395</v>
      </c>
      <c r="H66" s="24">
        <v>450</v>
      </c>
      <c r="I66" s="24">
        <v>0</v>
      </c>
      <c r="J66" s="24" t="s">
        <v>36</v>
      </c>
      <c r="K66" s="24">
        <v>1200</v>
      </c>
      <c r="L66" s="62">
        <f t="shared" ref="L66" si="25">K66/G66</f>
        <v>3.037974683544304</v>
      </c>
      <c r="M66" s="24" t="s">
        <v>18</v>
      </c>
      <c r="N66" s="24">
        <v>9.5299999999999994</v>
      </c>
      <c r="O66" s="24">
        <v>200</v>
      </c>
      <c r="P66" s="24">
        <v>200000</v>
      </c>
      <c r="Q66" s="24">
        <v>300</v>
      </c>
      <c r="R66" s="24">
        <f t="shared" si="16"/>
        <v>0.20380209959999993</v>
      </c>
      <c r="S66" s="24" t="s">
        <v>106</v>
      </c>
      <c r="T66" s="24" t="s">
        <v>43</v>
      </c>
      <c r="U66" s="24" t="s">
        <v>220</v>
      </c>
      <c r="V66" s="63">
        <v>17000</v>
      </c>
      <c r="W66" s="24">
        <v>0.5</v>
      </c>
      <c r="X66" s="24">
        <v>350</v>
      </c>
      <c r="Y66" s="24">
        <v>100</v>
      </c>
      <c r="Z66" s="24">
        <v>300</v>
      </c>
      <c r="AA66" s="24">
        <f t="shared" ref="AA66" si="26">0.9*G66-I66</f>
        <v>355.5</v>
      </c>
      <c r="AB66" s="24">
        <v>90</v>
      </c>
      <c r="AC66" s="24">
        <v>45</v>
      </c>
      <c r="AD66" s="58">
        <f>639/2</f>
        <v>319.5</v>
      </c>
      <c r="AE66" s="58" t="s">
        <v>37</v>
      </c>
    </row>
    <row r="67" spans="1:31" x14ac:dyDescent="0.25">
      <c r="A67" s="24">
        <v>64</v>
      </c>
      <c r="B67" s="58"/>
      <c r="C67" s="24" t="s">
        <v>387</v>
      </c>
      <c r="D67" s="58">
        <v>35</v>
      </c>
      <c r="E67" s="24">
        <v>350</v>
      </c>
      <c r="F67" s="24">
        <v>450</v>
      </c>
      <c r="G67" s="58">
        <v>395</v>
      </c>
      <c r="H67" s="24">
        <v>450</v>
      </c>
      <c r="I67" s="24">
        <v>0</v>
      </c>
      <c r="J67" s="24" t="s">
        <v>36</v>
      </c>
      <c r="K67" s="24">
        <v>1200</v>
      </c>
      <c r="L67" s="62">
        <f t="shared" ref="L67" si="27">K67/G67</f>
        <v>3.037974683544304</v>
      </c>
      <c r="M67" s="24" t="s">
        <v>18</v>
      </c>
      <c r="N67" s="24">
        <v>9.5299999999999994</v>
      </c>
      <c r="O67" s="24">
        <v>200</v>
      </c>
      <c r="P67" s="24">
        <v>200000</v>
      </c>
      <c r="Q67" s="24">
        <v>300</v>
      </c>
      <c r="R67" s="24">
        <f t="shared" si="16"/>
        <v>0.20380209959999993</v>
      </c>
      <c r="S67" s="24" t="s">
        <v>106</v>
      </c>
      <c r="T67" s="24" t="s">
        <v>43</v>
      </c>
      <c r="U67" s="24" t="s">
        <v>220</v>
      </c>
      <c r="V67" s="63">
        <v>17000</v>
      </c>
      <c r="W67" s="24">
        <v>0.5</v>
      </c>
      <c r="X67" s="24">
        <v>350</v>
      </c>
      <c r="Y67" s="24">
        <v>100</v>
      </c>
      <c r="Z67" s="24">
        <v>200</v>
      </c>
      <c r="AA67" s="24">
        <f t="shared" ref="AA67" si="28">0.9*G67-I67</f>
        <v>355.5</v>
      </c>
      <c r="AB67" s="24">
        <v>90</v>
      </c>
      <c r="AC67" s="24">
        <v>45</v>
      </c>
      <c r="AD67" s="58">
        <f>639/2</f>
        <v>319.5</v>
      </c>
      <c r="AE67" s="58" t="s">
        <v>37</v>
      </c>
    </row>
    <row r="68" spans="1:31" x14ac:dyDescent="0.25">
      <c r="A68" s="24">
        <v>65</v>
      </c>
      <c r="B68" s="58"/>
      <c r="C68" s="24" t="s">
        <v>388</v>
      </c>
      <c r="D68" s="58">
        <v>35</v>
      </c>
      <c r="E68" s="24">
        <v>350</v>
      </c>
      <c r="F68" s="24">
        <v>450</v>
      </c>
      <c r="G68" s="58">
        <v>395</v>
      </c>
      <c r="H68" s="24">
        <v>450</v>
      </c>
      <c r="I68" s="24">
        <v>0</v>
      </c>
      <c r="J68" s="24" t="s">
        <v>36</v>
      </c>
      <c r="K68" s="24">
        <v>1200</v>
      </c>
      <c r="L68" s="62">
        <f t="shared" ref="L68" si="29">K68/G68</f>
        <v>3.037974683544304</v>
      </c>
      <c r="M68" s="24" t="s">
        <v>18</v>
      </c>
      <c r="N68" s="24">
        <v>9.5299999999999994</v>
      </c>
      <c r="O68" s="24">
        <v>200</v>
      </c>
      <c r="P68" s="24">
        <v>200000</v>
      </c>
      <c r="Q68" s="24">
        <v>300</v>
      </c>
      <c r="R68" s="24">
        <f t="shared" si="16"/>
        <v>0.20380209959999993</v>
      </c>
      <c r="S68" s="24" t="s">
        <v>106</v>
      </c>
      <c r="T68" s="24" t="s">
        <v>43</v>
      </c>
      <c r="U68" s="24" t="s">
        <v>220</v>
      </c>
      <c r="V68" s="63">
        <v>17000</v>
      </c>
      <c r="W68" s="24">
        <v>1.5</v>
      </c>
      <c r="X68" s="24">
        <v>350</v>
      </c>
      <c r="Y68" s="24">
        <v>100</v>
      </c>
      <c r="Z68" s="24">
        <v>200</v>
      </c>
      <c r="AA68" s="24">
        <f t="shared" ref="AA68" si="30">0.9*G68-I68</f>
        <v>355.5</v>
      </c>
      <c r="AB68" s="24">
        <v>90</v>
      </c>
      <c r="AC68" s="24">
        <v>45</v>
      </c>
      <c r="AD68" s="58">
        <f>712/2</f>
        <v>356</v>
      </c>
      <c r="AE68" s="58" t="s">
        <v>37</v>
      </c>
    </row>
    <row r="69" spans="1:31" x14ac:dyDescent="0.25">
      <c r="A69" s="24">
        <v>66</v>
      </c>
      <c r="B69" s="58"/>
      <c r="C69" s="24" t="s">
        <v>389</v>
      </c>
      <c r="D69" s="58">
        <v>35</v>
      </c>
      <c r="E69" s="24">
        <v>350</v>
      </c>
      <c r="F69" s="24">
        <v>450</v>
      </c>
      <c r="G69" s="58">
        <v>395</v>
      </c>
      <c r="H69" s="24">
        <v>450</v>
      </c>
      <c r="I69" s="24">
        <v>0</v>
      </c>
      <c r="J69" s="24" t="s">
        <v>36</v>
      </c>
      <c r="K69" s="24">
        <v>1200</v>
      </c>
      <c r="L69" s="62">
        <f t="shared" ref="L69" si="31">K69/G69</f>
        <v>3.037974683544304</v>
      </c>
      <c r="M69" s="24" t="s">
        <v>18</v>
      </c>
      <c r="N69" s="24">
        <v>9.5299999999999994</v>
      </c>
      <c r="O69" s="24">
        <v>200</v>
      </c>
      <c r="P69" s="24">
        <v>200000</v>
      </c>
      <c r="Q69" s="24">
        <v>300</v>
      </c>
      <c r="R69" s="24">
        <f t="shared" si="16"/>
        <v>0.20380209959999993</v>
      </c>
      <c r="S69" s="24" t="s">
        <v>106</v>
      </c>
      <c r="T69" s="24" t="s">
        <v>43</v>
      </c>
      <c r="U69" s="24" t="s">
        <v>220</v>
      </c>
      <c r="V69" s="63">
        <v>17000</v>
      </c>
      <c r="W69" s="24">
        <v>2.5</v>
      </c>
      <c r="X69" s="24">
        <v>350</v>
      </c>
      <c r="Y69" s="24">
        <v>100</v>
      </c>
      <c r="Z69" s="24">
        <v>200</v>
      </c>
      <c r="AA69" s="24">
        <f t="shared" ref="AA69" si="32">0.9*G69-I69</f>
        <v>355.5</v>
      </c>
      <c r="AB69" s="24">
        <v>90</v>
      </c>
      <c r="AC69" s="24">
        <v>45</v>
      </c>
      <c r="AD69" s="58">
        <f>855/2</f>
        <v>427.5</v>
      </c>
      <c r="AE69" s="58" t="s">
        <v>37</v>
      </c>
    </row>
  </sheetData>
  <phoneticPr fontId="16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Side</vt:lpstr>
      <vt:lpstr>U</vt:lpstr>
      <vt:lpstr>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2013-10-03T12:17:39Z</dcterms:modified>
</cp:coreProperties>
</file>