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4" i="1"/>
  <c r="AN5" i="1"/>
  <c r="AN6" i="1"/>
  <c r="AN7" i="1"/>
  <c r="AN8" i="1"/>
  <c r="AT8" i="1" s="1"/>
  <c r="AN9" i="1"/>
  <c r="AP9" i="1" s="1"/>
  <c r="AQ9" i="1" s="1"/>
  <c r="AN10" i="1"/>
  <c r="AN11" i="1"/>
  <c r="AT11" i="1" s="1"/>
  <c r="AN12" i="1"/>
  <c r="AT12" i="1" s="1"/>
  <c r="AN13" i="1"/>
  <c r="AN14" i="1"/>
  <c r="AN15" i="1"/>
  <c r="AN16" i="1"/>
  <c r="AP16" i="1" s="1"/>
  <c r="AQ16" i="1" s="1"/>
  <c r="AN17" i="1"/>
  <c r="AP17" i="1" s="1"/>
  <c r="AQ17" i="1" s="1"/>
  <c r="AN18" i="1"/>
  <c r="AN19" i="1"/>
  <c r="AT19" i="1" s="1"/>
  <c r="AN20" i="1"/>
  <c r="AT20" i="1" s="1"/>
  <c r="AN21" i="1"/>
  <c r="AN22" i="1"/>
  <c r="AN23" i="1"/>
  <c r="AN24" i="1"/>
  <c r="AP24" i="1" s="1"/>
  <c r="AQ24" i="1" s="1"/>
  <c r="AN25" i="1"/>
  <c r="AP25" i="1" s="1"/>
  <c r="AQ25" i="1" s="1"/>
  <c r="AN26" i="1"/>
  <c r="AN27" i="1"/>
  <c r="AT27" i="1" s="1"/>
  <c r="AN28" i="1"/>
  <c r="AT28" i="1" s="1"/>
  <c r="AN29" i="1"/>
  <c r="AN30" i="1"/>
  <c r="AN31" i="1"/>
  <c r="AN32" i="1"/>
  <c r="AT32" i="1" s="1"/>
  <c r="AN33" i="1"/>
  <c r="AT33" i="1" s="1"/>
  <c r="AN34" i="1"/>
  <c r="AN35" i="1"/>
  <c r="AT35" i="1" s="1"/>
  <c r="AN36" i="1"/>
  <c r="AT36" i="1" s="1"/>
  <c r="AN37" i="1"/>
  <c r="AN38" i="1"/>
  <c r="AN39" i="1"/>
  <c r="AN40" i="1"/>
  <c r="AT40" i="1" s="1"/>
  <c r="AN41" i="1"/>
  <c r="AP41" i="1" s="1"/>
  <c r="AQ41" i="1" s="1"/>
  <c r="AN42" i="1"/>
  <c r="AN43" i="1"/>
  <c r="AT43" i="1" s="1"/>
  <c r="AN44" i="1"/>
  <c r="AT44" i="1" s="1"/>
  <c r="AN45" i="1"/>
  <c r="AN46" i="1"/>
  <c r="AN47" i="1"/>
  <c r="AN48" i="1"/>
  <c r="AP48" i="1" s="1"/>
  <c r="AQ48" i="1" s="1"/>
  <c r="AN49" i="1"/>
  <c r="AP49" i="1" s="1"/>
  <c r="AQ49" i="1" s="1"/>
  <c r="AN50" i="1"/>
  <c r="AN51" i="1"/>
  <c r="AT51" i="1" s="1"/>
  <c r="AN52" i="1"/>
  <c r="AT52" i="1" s="1"/>
  <c r="AN53" i="1"/>
  <c r="AN54" i="1"/>
  <c r="AN55" i="1"/>
  <c r="AN56" i="1"/>
  <c r="AP56" i="1" s="1"/>
  <c r="AQ56" i="1" s="1"/>
  <c r="AN4" i="1"/>
  <c r="AO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4" i="1"/>
  <c r="AT5" i="1"/>
  <c r="AT6" i="1"/>
  <c r="AT7" i="1"/>
  <c r="AT10" i="1"/>
  <c r="AT13" i="1"/>
  <c r="AT14" i="1"/>
  <c r="AT15" i="1"/>
  <c r="AT18" i="1"/>
  <c r="AT21" i="1"/>
  <c r="AT22" i="1"/>
  <c r="AT23" i="1"/>
  <c r="AT26" i="1"/>
  <c r="AT29" i="1"/>
  <c r="AT30" i="1"/>
  <c r="AT31" i="1"/>
  <c r="AT34" i="1"/>
  <c r="AT37" i="1"/>
  <c r="AT38" i="1"/>
  <c r="AT39" i="1"/>
  <c r="AT42" i="1"/>
  <c r="AT45" i="1"/>
  <c r="AT46" i="1"/>
  <c r="AT47" i="1"/>
  <c r="AT50" i="1"/>
  <c r="AT53" i="1"/>
  <c r="AT54" i="1"/>
  <c r="AT55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4" i="1"/>
  <c r="AK5" i="1"/>
  <c r="AK6" i="1"/>
  <c r="AK7" i="1"/>
  <c r="AK8" i="1"/>
  <c r="AR8" i="1" s="1"/>
  <c r="AK9" i="1"/>
  <c r="AR9" i="1" s="1"/>
  <c r="AK10" i="1"/>
  <c r="AK11" i="1"/>
  <c r="AK12" i="1"/>
  <c r="AK13" i="1"/>
  <c r="AK14" i="1"/>
  <c r="AK15" i="1"/>
  <c r="AK16" i="1"/>
  <c r="AR16" i="1" s="1"/>
  <c r="AK17" i="1"/>
  <c r="AR17" i="1" s="1"/>
  <c r="AK18" i="1"/>
  <c r="AK19" i="1"/>
  <c r="AK20" i="1"/>
  <c r="AK21" i="1"/>
  <c r="AK22" i="1"/>
  <c r="AK23" i="1"/>
  <c r="AK24" i="1"/>
  <c r="AR24" i="1" s="1"/>
  <c r="AK25" i="1"/>
  <c r="AR25" i="1" s="1"/>
  <c r="AK26" i="1"/>
  <c r="AK27" i="1"/>
  <c r="AK28" i="1"/>
  <c r="AK29" i="1"/>
  <c r="AK30" i="1"/>
  <c r="AK31" i="1"/>
  <c r="AK32" i="1"/>
  <c r="AR32" i="1" s="1"/>
  <c r="AK33" i="1"/>
  <c r="AR33" i="1" s="1"/>
  <c r="AK34" i="1"/>
  <c r="AK35" i="1"/>
  <c r="AK36" i="1"/>
  <c r="AK37" i="1"/>
  <c r="AK38" i="1"/>
  <c r="AK39" i="1"/>
  <c r="AK40" i="1"/>
  <c r="AR40" i="1" s="1"/>
  <c r="AK41" i="1"/>
  <c r="AR41" i="1" s="1"/>
  <c r="AK42" i="1"/>
  <c r="AK43" i="1"/>
  <c r="AK44" i="1"/>
  <c r="AK45" i="1"/>
  <c r="AK46" i="1"/>
  <c r="AK47" i="1"/>
  <c r="AK48" i="1"/>
  <c r="AR48" i="1" s="1"/>
  <c r="AK49" i="1"/>
  <c r="AR49" i="1" s="1"/>
  <c r="AK50" i="1"/>
  <c r="AK51" i="1"/>
  <c r="AK52" i="1"/>
  <c r="AK53" i="1"/>
  <c r="AK54" i="1"/>
  <c r="AK55" i="1"/>
  <c r="AK56" i="1"/>
  <c r="AR56" i="1" s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4" i="1"/>
  <c r="AR5" i="1"/>
  <c r="AR6" i="1"/>
  <c r="AR7" i="1"/>
  <c r="AR10" i="1"/>
  <c r="AR13" i="1"/>
  <c r="AR14" i="1"/>
  <c r="AR15" i="1"/>
  <c r="AR18" i="1"/>
  <c r="AR21" i="1"/>
  <c r="AR22" i="1"/>
  <c r="AR23" i="1"/>
  <c r="AR26" i="1"/>
  <c r="AR29" i="1"/>
  <c r="AR30" i="1"/>
  <c r="AR31" i="1"/>
  <c r="AR34" i="1"/>
  <c r="AR37" i="1"/>
  <c r="AR38" i="1"/>
  <c r="AR39" i="1"/>
  <c r="AR42" i="1"/>
  <c r="AR45" i="1"/>
  <c r="AR46" i="1"/>
  <c r="AR47" i="1"/>
  <c r="AR50" i="1"/>
  <c r="AR53" i="1"/>
  <c r="AR54" i="1"/>
  <c r="AR55" i="1"/>
  <c r="AR4" i="1"/>
  <c r="AP4" i="1"/>
  <c r="AQ4" i="1" s="1"/>
  <c r="AP5" i="1"/>
  <c r="AQ5" i="1" s="1"/>
  <c r="AP6" i="1"/>
  <c r="AQ6" i="1" s="1"/>
  <c r="AP7" i="1"/>
  <c r="AQ7" i="1" s="1"/>
  <c r="AP8" i="1"/>
  <c r="AQ8" i="1" s="1"/>
  <c r="AP10" i="1"/>
  <c r="AQ10" i="1" s="1"/>
  <c r="AP13" i="1"/>
  <c r="AQ13" i="1" s="1"/>
  <c r="AP14" i="1"/>
  <c r="AQ14" i="1" s="1"/>
  <c r="AP15" i="1"/>
  <c r="AQ15" i="1" s="1"/>
  <c r="AP18" i="1"/>
  <c r="AQ18" i="1" s="1"/>
  <c r="AP21" i="1"/>
  <c r="AQ21" i="1" s="1"/>
  <c r="AP22" i="1"/>
  <c r="AQ22" i="1" s="1"/>
  <c r="AP23" i="1"/>
  <c r="AQ23" i="1" s="1"/>
  <c r="AP26" i="1"/>
  <c r="AQ26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7" i="1"/>
  <c r="AQ37" i="1" s="1"/>
  <c r="AP38" i="1"/>
  <c r="AQ38" i="1" s="1"/>
  <c r="AP39" i="1"/>
  <c r="AQ39" i="1" s="1"/>
  <c r="AP40" i="1"/>
  <c r="AQ40" i="1" s="1"/>
  <c r="AP42" i="1"/>
  <c r="AQ42" i="1" s="1"/>
  <c r="AP45" i="1"/>
  <c r="AQ45" i="1" s="1"/>
  <c r="AP46" i="1"/>
  <c r="AQ46" i="1" s="1"/>
  <c r="AP47" i="1"/>
  <c r="AQ47" i="1" s="1"/>
  <c r="AP50" i="1"/>
  <c r="AQ50" i="1" s="1"/>
  <c r="AP53" i="1"/>
  <c r="AQ53" i="1" s="1"/>
  <c r="AP54" i="1"/>
  <c r="AQ54" i="1" s="1"/>
  <c r="AP55" i="1"/>
  <c r="AQ55" i="1" s="1"/>
  <c r="AO5" i="1"/>
  <c r="AO6" i="1"/>
  <c r="AO7" i="1"/>
  <c r="AO10" i="1"/>
  <c r="AO13" i="1"/>
  <c r="AO14" i="1"/>
  <c r="AO15" i="1"/>
  <c r="AO18" i="1"/>
  <c r="AO21" i="1"/>
  <c r="AO22" i="1"/>
  <c r="AO23" i="1"/>
  <c r="AO26" i="1"/>
  <c r="AO29" i="1"/>
  <c r="AO30" i="1"/>
  <c r="AO31" i="1"/>
  <c r="AO34" i="1"/>
  <c r="AO37" i="1"/>
  <c r="AO38" i="1"/>
  <c r="AO39" i="1"/>
  <c r="AO42" i="1"/>
  <c r="AO45" i="1"/>
  <c r="AO46" i="1"/>
  <c r="AO47" i="1"/>
  <c r="AO50" i="1"/>
  <c r="AO53" i="1"/>
  <c r="AO54" i="1"/>
  <c r="AO55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4" i="1"/>
  <c r="AH14" i="1"/>
  <c r="AH22" i="1"/>
  <c r="AH30" i="1"/>
  <c r="AH6" i="1"/>
  <c r="AH7" i="1"/>
  <c r="AH8" i="1"/>
  <c r="AG5" i="1"/>
  <c r="AH5" i="1" s="1"/>
  <c r="AG6" i="1"/>
  <c r="AG7" i="1"/>
  <c r="AG8" i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G31" i="1"/>
  <c r="AH31" i="1" s="1"/>
  <c r="AG32" i="1"/>
  <c r="AH32" i="1" s="1"/>
  <c r="AG33" i="1"/>
  <c r="AH33" i="1" s="1"/>
  <c r="AG34" i="1"/>
  <c r="AH34" i="1" s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4" i="1"/>
  <c r="AH4" i="1" s="1"/>
  <c r="AF5" i="1"/>
  <c r="AF6" i="1"/>
  <c r="AF7" i="1"/>
  <c r="AF8" i="1"/>
  <c r="AF9" i="1"/>
  <c r="AF10" i="1"/>
  <c r="AF11" i="1"/>
  <c r="AF12" i="1"/>
  <c r="AF13" i="1"/>
  <c r="AF17" i="1"/>
  <c r="AF18" i="1"/>
  <c r="AF19" i="1"/>
  <c r="AF20" i="1"/>
  <c r="AF21" i="1"/>
  <c r="AF22" i="1"/>
  <c r="AF23" i="1"/>
  <c r="AF24" i="1"/>
  <c r="AF25" i="1"/>
  <c r="AF26" i="1"/>
  <c r="AF27" i="1"/>
  <c r="AF32" i="1"/>
  <c r="AF33" i="1"/>
  <c r="AF34" i="1"/>
  <c r="AF35" i="1"/>
  <c r="AF36" i="1"/>
  <c r="AF37" i="1"/>
  <c r="AF38" i="1"/>
  <c r="AF39" i="1"/>
  <c r="AF40" i="1"/>
  <c r="AF56" i="1"/>
  <c r="AF4" i="1"/>
  <c r="AT49" i="1" l="1"/>
  <c r="AT41" i="1"/>
  <c r="AT25" i="1"/>
  <c r="AT17" i="1"/>
  <c r="AT9" i="1"/>
  <c r="AT56" i="1"/>
  <c r="AT48" i="1"/>
  <c r="AT24" i="1"/>
  <c r="AT16" i="1"/>
  <c r="AP52" i="1"/>
  <c r="AQ52" i="1" s="1"/>
  <c r="AO44" i="1"/>
  <c r="AP36" i="1"/>
  <c r="AQ36" i="1" s="1"/>
  <c r="AO28" i="1"/>
  <c r="AO20" i="1"/>
  <c r="AP12" i="1"/>
  <c r="AQ12" i="1" s="1"/>
  <c r="AP51" i="1"/>
  <c r="AQ51" i="1" s="1"/>
  <c r="AP43" i="1"/>
  <c r="AQ43" i="1" s="1"/>
  <c r="AP35" i="1"/>
  <c r="AQ35" i="1" s="1"/>
  <c r="AP27" i="1"/>
  <c r="AQ27" i="1" s="1"/>
  <c r="AP19" i="1"/>
  <c r="AQ19" i="1" s="1"/>
  <c r="AP11" i="1"/>
  <c r="AQ11" i="1" s="1"/>
  <c r="AT4" i="1"/>
  <c r="AO36" i="1"/>
  <c r="AR52" i="1"/>
  <c r="AR44" i="1"/>
  <c r="AR36" i="1"/>
  <c r="AR28" i="1"/>
  <c r="AR20" i="1"/>
  <c r="AR12" i="1"/>
  <c r="AO51" i="1"/>
  <c r="AO43" i="1"/>
  <c r="AO35" i="1"/>
  <c r="AO27" i="1"/>
  <c r="AO19" i="1"/>
  <c r="AO11" i="1"/>
  <c r="AR51" i="1"/>
  <c r="AR43" i="1"/>
  <c r="AR35" i="1"/>
  <c r="AR27" i="1"/>
  <c r="AR19" i="1"/>
  <c r="AR11" i="1"/>
  <c r="AO52" i="1"/>
  <c r="AO12" i="1"/>
  <c r="AO49" i="1"/>
  <c r="AO41" i="1"/>
  <c r="AO33" i="1"/>
  <c r="AO25" i="1"/>
  <c r="AO17" i="1"/>
  <c r="AO9" i="1"/>
  <c r="AO56" i="1"/>
  <c r="AO48" i="1"/>
  <c r="AO40" i="1"/>
  <c r="AO32" i="1"/>
  <c r="AO24" i="1"/>
  <c r="AO16" i="1"/>
  <c r="AO8" i="1"/>
  <c r="AP44" i="1"/>
  <c r="AQ44" i="1" s="1"/>
  <c r="AP28" i="1"/>
  <c r="AQ28" i="1" s="1"/>
  <c r="AP20" i="1"/>
  <c r="AQ20" i="1" s="1"/>
  <c r="AH40" i="1"/>
  <c r="AD34" i="1"/>
  <c r="AE34" i="1" s="1"/>
  <c r="AD33" i="1"/>
  <c r="AE33" i="1" s="1"/>
  <c r="AD32" i="1"/>
  <c r="AE32" i="1" s="1"/>
  <c r="AE13" i="1"/>
  <c r="AE12" i="1"/>
  <c r="AE11" i="1"/>
  <c r="AE10" i="1"/>
  <c r="AE9" i="1"/>
  <c r="AE8" i="1"/>
  <c r="AE23" i="1"/>
  <c r="AE22" i="1"/>
  <c r="AE21" i="1"/>
  <c r="AE20" i="1"/>
  <c r="AE19" i="1"/>
  <c r="AE18" i="1"/>
  <c r="AD23" i="1"/>
  <c r="AD22" i="1"/>
  <c r="AD21" i="1"/>
  <c r="AD20" i="1"/>
  <c r="AD19" i="1"/>
  <c r="AD18" i="1"/>
  <c r="AD13" i="1"/>
  <c r="AD12" i="1"/>
  <c r="AD11" i="1"/>
  <c r="AD10" i="1"/>
  <c r="AD9" i="1"/>
  <c r="AD8" i="1"/>
  <c r="G55" i="1"/>
  <c r="G54" i="1"/>
  <c r="G53" i="1"/>
  <c r="G48" i="1"/>
  <c r="G49" i="1"/>
  <c r="G50" i="1"/>
  <c r="G51" i="1"/>
  <c r="G52" i="1"/>
  <c r="G47" i="1"/>
  <c r="G45" i="1"/>
  <c r="G46" i="1"/>
  <c r="G44" i="1"/>
  <c r="G42" i="1"/>
  <c r="G43" i="1"/>
  <c r="G41" i="1"/>
  <c r="R56" i="1"/>
  <c r="K56" i="1"/>
  <c r="AH56" i="1" s="1"/>
  <c r="H56" i="1"/>
  <c r="AA56" i="1" s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1" i="1"/>
  <c r="AD40" i="1"/>
  <c r="AA40" i="1"/>
  <c r="K40" i="1"/>
  <c r="AD39" i="1"/>
  <c r="AA39" i="1"/>
  <c r="K39" i="1"/>
  <c r="AH39" i="1" s="1"/>
  <c r="AD38" i="1"/>
  <c r="AA38" i="1"/>
  <c r="K38" i="1"/>
  <c r="AH38" i="1" s="1"/>
  <c r="AD37" i="1"/>
  <c r="AA37" i="1"/>
  <c r="R37" i="1"/>
  <c r="K37" i="1"/>
  <c r="AH37" i="1" s="1"/>
  <c r="AD36" i="1"/>
  <c r="K36" i="1"/>
  <c r="AH36" i="1" s="1"/>
  <c r="AA36" i="1"/>
  <c r="AD35" i="1"/>
  <c r="K35" i="1"/>
  <c r="AH35" i="1" s="1"/>
  <c r="AA35" i="1"/>
  <c r="AA33" i="1"/>
  <c r="AA34" i="1"/>
  <c r="W34" i="1"/>
  <c r="W33" i="1"/>
  <c r="L33" i="1"/>
  <c r="P33" i="1"/>
  <c r="R33" i="1"/>
  <c r="L34" i="1"/>
  <c r="P34" i="1"/>
  <c r="R34" i="1"/>
  <c r="AA32" i="1"/>
  <c r="P32" i="1"/>
  <c r="R32" i="1"/>
  <c r="L32" i="1"/>
  <c r="AF47" i="1" l="1"/>
  <c r="AF55" i="1"/>
  <c r="AF52" i="1"/>
  <c r="AF41" i="1"/>
  <c r="AF51" i="1"/>
  <c r="AF44" i="1"/>
  <c r="AF53" i="1"/>
  <c r="K48" i="1"/>
  <c r="AH48" i="1" s="1"/>
  <c r="AF48" i="1"/>
  <c r="K46" i="1"/>
  <c r="AH46" i="1" s="1"/>
  <c r="AF46" i="1"/>
  <c r="K42" i="1"/>
  <c r="AH42" i="1" s="1"/>
  <c r="AF42" i="1"/>
  <c r="AA54" i="1"/>
  <c r="AF54" i="1"/>
  <c r="K49" i="1"/>
  <c r="AH49" i="1" s="1"/>
  <c r="AF49" i="1"/>
  <c r="K44" i="1"/>
  <c r="AH44" i="1" s="1"/>
  <c r="K45" i="1"/>
  <c r="AH45" i="1" s="1"/>
  <c r="AF45" i="1"/>
  <c r="K43" i="1"/>
  <c r="AH43" i="1" s="1"/>
  <c r="AF43" i="1"/>
  <c r="K50" i="1"/>
  <c r="AH50" i="1" s="1"/>
  <c r="AF50" i="1"/>
  <c r="AA52" i="1"/>
  <c r="AA42" i="1"/>
  <c r="AA44" i="1"/>
  <c r="K52" i="1"/>
  <c r="AH52" i="1" s="1"/>
  <c r="AA50" i="1"/>
  <c r="AA47" i="1"/>
  <c r="AA55" i="1"/>
  <c r="AA41" i="1"/>
  <c r="AA45" i="1"/>
  <c r="K41" i="1"/>
  <c r="AH41" i="1" s="1"/>
  <c r="AA43" i="1"/>
  <c r="AA51" i="1"/>
  <c r="AA53" i="1"/>
  <c r="K55" i="1"/>
  <c r="AH55" i="1" s="1"/>
  <c r="K54" i="1"/>
  <c r="AH54" i="1" s="1"/>
  <c r="K53" i="1"/>
  <c r="AH53" i="1" s="1"/>
  <c r="AA49" i="1"/>
  <c r="AA48" i="1"/>
  <c r="K51" i="1"/>
  <c r="AH51" i="1" s="1"/>
  <c r="K47" i="1"/>
  <c r="AH47" i="1" s="1"/>
  <c r="AA46" i="1"/>
  <c r="R31" i="1"/>
  <c r="G31" i="1"/>
  <c r="R30" i="1"/>
  <c r="G30" i="1"/>
  <c r="G29" i="1"/>
  <c r="L29" i="1"/>
  <c r="R29" i="1"/>
  <c r="R28" i="1"/>
  <c r="G28" i="1"/>
  <c r="L25" i="1"/>
  <c r="R25" i="1"/>
  <c r="AA25" i="1"/>
  <c r="L26" i="1"/>
  <c r="R26" i="1"/>
  <c r="AA26" i="1"/>
  <c r="L27" i="1"/>
  <c r="R27" i="1"/>
  <c r="AA27" i="1"/>
  <c r="R24" i="1"/>
  <c r="L24" i="1"/>
  <c r="AA24" i="1"/>
  <c r="L23" i="1"/>
  <c r="R23" i="1"/>
  <c r="AA23" i="1"/>
  <c r="R22" i="1"/>
  <c r="L22" i="1"/>
  <c r="AA22" i="1"/>
  <c r="L21" i="1"/>
  <c r="R21" i="1"/>
  <c r="AA21" i="1"/>
  <c r="R20" i="1"/>
  <c r="L20" i="1"/>
  <c r="AA20" i="1"/>
  <c r="AA19" i="1"/>
  <c r="R19" i="1"/>
  <c r="L19" i="1"/>
  <c r="R18" i="1"/>
  <c r="L18" i="1"/>
  <c r="AA18" i="1"/>
  <c r="AA17" i="1"/>
  <c r="R17" i="1"/>
  <c r="L17" i="1"/>
  <c r="W15" i="1"/>
  <c r="W16" i="1"/>
  <c r="W14" i="1"/>
  <c r="Z16" i="1"/>
  <c r="G16" i="1"/>
  <c r="Z15" i="1"/>
  <c r="Z14" i="1"/>
  <c r="G15" i="1"/>
  <c r="G14" i="1"/>
  <c r="AA13" i="1"/>
  <c r="AA10" i="1"/>
  <c r="L13" i="1"/>
  <c r="L10" i="1"/>
  <c r="AA9" i="1"/>
  <c r="AA11" i="1"/>
  <c r="AA12" i="1"/>
  <c r="L9" i="1"/>
  <c r="L11" i="1"/>
  <c r="L12" i="1"/>
  <c r="AA8" i="1"/>
  <c r="L8" i="1"/>
  <c r="AA5" i="1"/>
  <c r="AA6" i="1"/>
  <c r="AA7" i="1"/>
  <c r="AA4" i="1"/>
  <c r="R5" i="1"/>
  <c r="R6" i="1"/>
  <c r="R7" i="1"/>
  <c r="R4" i="1"/>
  <c r="L5" i="1"/>
  <c r="L6" i="1"/>
  <c r="L7" i="1"/>
  <c r="L4" i="1"/>
  <c r="AL31" i="1" l="1"/>
  <c r="L30" i="1"/>
  <c r="AL30" i="1"/>
  <c r="AL28" i="1"/>
  <c r="AL29" i="1"/>
  <c r="L16" i="1"/>
  <c r="AF16" i="1"/>
  <c r="L28" i="1"/>
  <c r="AF28" i="1"/>
  <c r="AA31" i="1"/>
  <c r="AF31" i="1"/>
  <c r="AA29" i="1"/>
  <c r="AF29" i="1"/>
  <c r="L14" i="1"/>
  <c r="AF14" i="1"/>
  <c r="AA30" i="1"/>
  <c r="AF30" i="1"/>
  <c r="AA15" i="1"/>
  <c r="AF15" i="1"/>
  <c r="L15" i="1"/>
  <c r="AA14" i="1"/>
  <c r="AA16" i="1"/>
  <c r="AA28" i="1"/>
  <c r="L31" i="1"/>
</calcChain>
</file>

<file path=xl/sharedStrings.xml><?xml version="1.0" encoding="utf-8"?>
<sst xmlns="http://schemas.openxmlformats.org/spreadsheetml/2006/main" count="409" uniqueCount="120">
  <si>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</si>
  <si>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</si>
  <si>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</si>
  <si>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</si>
  <si>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</si>
  <si>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</si>
  <si>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</si>
  <si>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</si>
  <si>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</si>
  <si>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</si>
  <si>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</si>
  <si>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</si>
  <si>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</si>
  <si>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</si>
  <si>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</si>
  <si>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</si>
  <si>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</si>
  <si>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</si>
  <si>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</si>
  <si>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</si>
  <si>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</si>
  <si>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</si>
  <si>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</si>
  <si>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</si>
  <si>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</si>
  <si>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</si>
  <si>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</si>
  <si>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</si>
  <si>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</si>
  <si>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</si>
  <si>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</si>
  <si>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</si>
  <si>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</si>
  <si>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</si>
  <si>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</si>
  <si>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</si>
  <si>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</si>
  <si>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Diagana et al. 2003</t>
  </si>
  <si>
    <t>PC1</t>
  </si>
  <si>
    <t>PC2</t>
  </si>
  <si>
    <t>PC3</t>
  </si>
  <si>
    <t>PC4</t>
  </si>
  <si>
    <t>R</t>
  </si>
  <si>
    <t>CFRP</t>
  </si>
  <si>
    <t>W</t>
  </si>
  <si>
    <t>Strip</t>
  </si>
  <si>
    <t>NA</t>
  </si>
  <si>
    <t>Adhikary et al. 2004</t>
  </si>
  <si>
    <t>C-2</t>
  </si>
  <si>
    <t>C-3</t>
  </si>
  <si>
    <t>A-2</t>
  </si>
  <si>
    <t>A-3</t>
  </si>
  <si>
    <t>AFRP</t>
  </si>
  <si>
    <t>Sheet</t>
  </si>
  <si>
    <t>C-4</t>
  </si>
  <si>
    <t>A-4</t>
  </si>
  <si>
    <t>GFRP</t>
  </si>
  <si>
    <t>245W</t>
  </si>
  <si>
    <t>290W</t>
  </si>
  <si>
    <t>290WR</t>
  </si>
  <si>
    <t>Corolin and Taljsten 2005</t>
  </si>
  <si>
    <t>Monti and Liotta 2007</t>
  </si>
  <si>
    <t>W45+</t>
  </si>
  <si>
    <t>SB-F1</t>
  </si>
  <si>
    <t>SB-F2</t>
  </si>
  <si>
    <t>MB-F1</t>
  </si>
  <si>
    <t>MB-F2</t>
  </si>
  <si>
    <t>LB-F1</t>
  </si>
  <si>
    <t>LB-F2</t>
  </si>
  <si>
    <t>Leung et al. 2007</t>
  </si>
  <si>
    <t>ST1b</t>
  </si>
  <si>
    <t>ST2b</t>
  </si>
  <si>
    <t>ST3a</t>
  </si>
  <si>
    <t>ST3b</t>
  </si>
  <si>
    <t>Ianniruberto et al. 2004</t>
  </si>
  <si>
    <t>V4L</t>
  </si>
  <si>
    <t>V4C</t>
  </si>
  <si>
    <t>V6L</t>
  </si>
  <si>
    <t>V6C</t>
  </si>
  <si>
    <t>Alzate et al. 2009</t>
  </si>
  <si>
    <t>Melo et al. 2006</t>
  </si>
  <si>
    <t>(FRPRCS-6)</t>
  </si>
  <si>
    <t>T</t>
  </si>
  <si>
    <t>AN-1/5Z-3</t>
  </si>
  <si>
    <t>AN-1/2Z-3</t>
  </si>
  <si>
    <t>AS150-1/5Z-2.7S</t>
  </si>
  <si>
    <t>AN-1/5Z-2.4</t>
  </si>
  <si>
    <t>AN-1/5Z-1.8</t>
  </si>
  <si>
    <t>CN-1/2Z-2</t>
  </si>
  <si>
    <t>Miyauchi et al. 1997</t>
  </si>
  <si>
    <t>AS1</t>
  </si>
  <si>
    <t>AS2</t>
  </si>
  <si>
    <t>AS3</t>
  </si>
  <si>
    <t>CS1</t>
  </si>
  <si>
    <t>CS2</t>
  </si>
  <si>
    <t>CS3</t>
  </si>
  <si>
    <t>AB1</t>
  </si>
  <si>
    <t>AB2</t>
  </si>
  <si>
    <t>AB3</t>
  </si>
  <si>
    <t>AB4</t>
  </si>
  <si>
    <t>AB5</t>
  </si>
  <si>
    <t>AB8</t>
  </si>
  <si>
    <t>AB9</t>
  </si>
  <si>
    <t>AB10</t>
  </si>
  <si>
    <t>AB11</t>
  </si>
  <si>
    <t>Umezu et al. 1997</t>
  </si>
  <si>
    <t>BS7</t>
  </si>
  <si>
    <t>Taerwe et al. 1997</t>
  </si>
  <si>
    <t>Vc,model</t>
  </si>
  <si>
    <t>Vs,model</t>
  </si>
  <si>
    <t>Vf,model</t>
  </si>
  <si>
    <t>(400/d)^0.25</t>
  </si>
  <si>
    <t>vr</t>
  </si>
  <si>
    <t>As,min</t>
  </si>
  <si>
    <t>Vtotal,model,design</t>
  </si>
  <si>
    <t>Vtotal,model,nominal</t>
  </si>
  <si>
    <t>ME</t>
  </si>
  <si>
    <t>vc</t>
  </si>
  <si>
    <t>vc_0</t>
  </si>
  <si>
    <t>Dfrp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</si>
</sst>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abSelected="1" topLeftCell="P1" workbookViewId="0">
      <pane ySplit="3" topLeftCell="A4" activePane="bottomLeft" state="frozen"/>
      <selection pane="bottomLeft" activeCell="V17" sqref="V17"/>
    </sheetView>
  </sheetViews>
  <sheetFormatPr defaultRowHeight="15" x14ac:dyDescent="0.25"/>
  <cols>
    <col min="2" max="2" width="23.42578125" style="3" bestFit="1" customWidth="1"/>
    <col min="3" max="3" width="13.5703125" style="3" bestFit="1" customWidth="1"/>
    <col min="4" max="4" width="17" bestFit="1" customWidth="1"/>
    <col min="5" max="7" width="9.140625" style="3"/>
    <col min="11" max="11" width="9.140625" style="3"/>
    <col min="12" max="12" width="9.140625" style="19"/>
    <col min="13" max="18" width="9.140625" style="3"/>
    <col min="19" max="19" width="10" style="3" bestFit="1" customWidth="1"/>
    <col min="20" max="20" width="14.140625" style="3" bestFit="1" customWidth="1"/>
    <col min="21" max="31" width="9.140625" style="3"/>
    <col min="32" max="36" width="9.140625" style="1"/>
    <col min="39" max="39" width="9.140625" style="1"/>
    <col min="41" max="41" width="19.42578125" bestFit="1" customWidth="1"/>
    <col min="42" max="42" width="20.85546875" bestFit="1" customWidth="1"/>
  </cols>
  <sheetData>
    <row r="1" spans="1:47" x14ac:dyDescent="0.25">
      <c r="A1" s="2" t="s">
        <v>0</v>
      </c>
      <c r="B1" s="1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/>
      <c r="I1" s="3"/>
      <c r="J1" s="3"/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</row>
    <row r="2" spans="1:47" x14ac:dyDescent="0.25">
      <c r="A2" s="1"/>
      <c r="B2" s="1"/>
      <c r="C2" s="1"/>
      <c r="D2" s="4" t="s">
        <v>1</v>
      </c>
      <c r="E2" s="5"/>
      <c r="F2" s="5" t="s">
        <v>2</v>
      </c>
      <c r="G2" s="5"/>
      <c r="H2" s="5"/>
      <c r="I2" s="5"/>
      <c r="J2" s="5"/>
      <c r="K2" s="5"/>
      <c r="L2" s="5"/>
      <c r="M2" s="6"/>
      <c r="N2" s="6" t="s">
        <v>3</v>
      </c>
      <c r="O2" s="6"/>
      <c r="P2" s="6"/>
      <c r="Q2" s="6"/>
      <c r="R2" s="6"/>
      <c r="S2" s="7"/>
      <c r="T2" s="8" t="s">
        <v>4</v>
      </c>
      <c r="U2" s="8"/>
      <c r="V2" s="7"/>
      <c r="W2" s="7"/>
      <c r="X2" s="7"/>
      <c r="Y2" s="7"/>
      <c r="Z2" s="7"/>
      <c r="AA2" s="7"/>
      <c r="AB2" s="7"/>
      <c r="AC2" s="5" t="s">
        <v>5</v>
      </c>
      <c r="AD2" s="9"/>
      <c r="AE2" s="9"/>
    </row>
    <row r="3" spans="1:47" ht="20.25" x14ac:dyDescent="0.35">
      <c r="A3" s="1"/>
      <c r="B3" s="10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 t="s">
        <v>14</v>
      </c>
      <c r="K3" s="11" t="s">
        <v>15</v>
      </c>
      <c r="L3" s="11" t="s">
        <v>16</v>
      </c>
      <c r="M3" s="12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3" t="s">
        <v>22</v>
      </c>
      <c r="S3" s="12" t="s">
        <v>23</v>
      </c>
      <c r="T3" s="12" t="s">
        <v>24</v>
      </c>
      <c r="U3" s="12" t="s">
        <v>25</v>
      </c>
      <c r="V3" s="11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14" t="s">
        <v>31</v>
      </c>
      <c r="AB3" s="15" t="s">
        <v>32</v>
      </c>
      <c r="AC3" s="16" t="s">
        <v>33</v>
      </c>
      <c r="AD3" s="9" t="s">
        <v>34</v>
      </c>
      <c r="AE3" s="9" t="s">
        <v>35</v>
      </c>
      <c r="AF3" s="1" t="s">
        <v>111</v>
      </c>
      <c r="AG3" s="3" t="s">
        <v>112</v>
      </c>
      <c r="AH3" s="3" t="s">
        <v>113</v>
      </c>
      <c r="AI3" s="3" t="s">
        <v>118</v>
      </c>
      <c r="AJ3" s="3" t="s">
        <v>117</v>
      </c>
      <c r="AK3" t="s">
        <v>108</v>
      </c>
      <c r="AL3" t="s">
        <v>109</v>
      </c>
      <c r="AM3" s="3" t="s">
        <v>119</v>
      </c>
      <c r="AN3" t="s">
        <v>110</v>
      </c>
      <c r="AO3" s="22" t="s">
        <v>114</v>
      </c>
      <c r="AP3" s="1" t="s">
        <v>115</v>
      </c>
      <c r="AQ3" t="s">
        <v>116</v>
      </c>
    </row>
    <row r="4" spans="1:47" x14ac:dyDescent="0.25">
      <c r="A4" s="17">
        <v>1</v>
      </c>
      <c r="B4" s="17"/>
      <c r="C4" s="17" t="s">
        <v>38</v>
      </c>
      <c r="D4" s="3">
        <v>40</v>
      </c>
      <c r="E4" s="3">
        <v>130</v>
      </c>
      <c r="F4" s="3">
        <v>450</v>
      </c>
      <c r="G4" s="3">
        <v>425</v>
      </c>
      <c r="H4" s="3">
        <v>450</v>
      </c>
      <c r="I4" s="3">
        <v>0</v>
      </c>
      <c r="J4" s="3" t="s">
        <v>36</v>
      </c>
      <c r="K4" s="3">
        <v>900</v>
      </c>
      <c r="L4" s="19">
        <f>K4/G4</f>
        <v>2.1176470588235294</v>
      </c>
      <c r="M4" s="3" t="s">
        <v>42</v>
      </c>
      <c r="N4" s="3">
        <v>6</v>
      </c>
      <c r="O4" s="3">
        <v>300</v>
      </c>
      <c r="P4" s="3">
        <v>210000</v>
      </c>
      <c r="Q4" s="3">
        <v>240</v>
      </c>
      <c r="R4" s="3">
        <f>100*2*3.1416*N4^2/4/O4/E4</f>
        <v>0.14499692307692308</v>
      </c>
      <c r="S4" s="3" t="s">
        <v>43</v>
      </c>
      <c r="T4" s="3" t="s">
        <v>45</v>
      </c>
      <c r="U4" s="3" t="s">
        <v>44</v>
      </c>
      <c r="V4" s="3">
        <v>105000</v>
      </c>
      <c r="W4" s="3">
        <v>0.43</v>
      </c>
      <c r="X4" s="3">
        <v>1400</v>
      </c>
      <c r="Y4" s="3">
        <v>40</v>
      </c>
      <c r="Z4" s="3">
        <v>200</v>
      </c>
      <c r="AA4" s="3">
        <f>0.9*G4-(F4-H4)-I4</f>
        <v>382.5</v>
      </c>
      <c r="AB4" s="3">
        <v>90</v>
      </c>
      <c r="AC4" s="3">
        <v>45</v>
      </c>
      <c r="AD4" s="20">
        <v>177.5</v>
      </c>
      <c r="AE4" s="3">
        <v>67.5</v>
      </c>
      <c r="AF4" s="3">
        <f>(400/G4)^0.25</f>
        <v>0.98495812101090463</v>
      </c>
      <c r="AG4" s="3">
        <f>IF(D4&gt;80, 0.4*(80/40)^(2/3),IF(D4&lt;=40,0.4, 0.4*(D4/40)^(2/3)))</f>
        <v>0.4</v>
      </c>
      <c r="AH4" s="3">
        <f t="shared" ref="AH4:AH56" si="0">IF(Q4=0,AG4*E4*K4/(0.87*200),AG4*E4*K4/(0.87*Q4))</f>
        <v>224.13793103448273</v>
      </c>
      <c r="AI4" s="3">
        <f>0.79*1*(IF(PI()/4*N4^2*2&gt;=AH4, IF(AF4&lt;1, 1, AF4), AF4))</f>
        <v>0.77811691559861473</v>
      </c>
      <c r="AJ4" s="3">
        <f>IF(D4&gt;=25, IF(D4&lt;=80, AI4*(D4/25)^(1/3), AI4*(80/25)^(1/3)), AI4)</f>
        <v>0.91009106544553331</v>
      </c>
      <c r="AK4" s="3">
        <f>E4*G4*AJ4*1/1.25/1000</f>
        <v>40.226025092692574</v>
      </c>
      <c r="AL4" s="3">
        <f>IF(N4=0, 0, 0.87*Q4*PI()/4*N4^2*2*G4/O4/1000)</f>
        <v>16.727095924773497</v>
      </c>
      <c r="AM4" s="3">
        <f>0.5*(1+I4/(AA4+I4))</f>
        <v>0.5</v>
      </c>
      <c r="AN4" s="3">
        <f>2*1*AM4*(0.8*X4/1.25)*W4*Y4*AA4*(SIN(AB4/180*PI())+COS(AB4/180*PI()))/Z4/1000</f>
        <v>29.47392</v>
      </c>
      <c r="AO4" s="20">
        <f>IF(AK4+AL4+AN4&gt;MIN(0.8*SQRT(D4),7)*E4*G4/1000, MIN(0.8*SQRT(D4),7)*E4*G4/1000, AK4+AL4+AN4)</f>
        <v>86.427041017466081</v>
      </c>
      <c r="AP4" s="3">
        <f>IF(AK4*1.25+AL4/0.87+AN4*1.25&gt;MIN(SQRT(D4), 7*1.25)*E4*G4/1000,MIN(SQRT(D4), 7*1.25)*E4*G4/1000,AK4*1.25+AL4/0.87+AN4*1.25)</f>
        <v>106.35147840583525</v>
      </c>
      <c r="AQ4" s="3">
        <f>AD4/AP4</f>
        <v>1.6689941941630875</v>
      </c>
      <c r="AR4">
        <f>AK4*1.25</f>
        <v>50.282531365865715</v>
      </c>
      <c r="AS4">
        <f>AL4/0.87</f>
        <v>19.226547039969535</v>
      </c>
      <c r="AT4">
        <f>AN4*1.25</f>
        <v>36.842399999999998</v>
      </c>
      <c r="AU4">
        <f>0.8*X4</f>
        <v>1120</v>
      </c>
    </row>
    <row r="5" spans="1:47" x14ac:dyDescent="0.25">
      <c r="A5" s="17">
        <v>2</v>
      </c>
      <c r="B5" s="17" t="s">
        <v>37</v>
      </c>
      <c r="C5" s="17" t="s">
        <v>39</v>
      </c>
      <c r="D5" s="3">
        <v>40</v>
      </c>
      <c r="E5" s="3">
        <v>130</v>
      </c>
      <c r="F5" s="3">
        <v>450</v>
      </c>
      <c r="G5" s="3">
        <v>425</v>
      </c>
      <c r="H5" s="3">
        <v>450</v>
      </c>
      <c r="I5" s="3">
        <v>0</v>
      </c>
      <c r="J5" s="3" t="s">
        <v>36</v>
      </c>
      <c r="K5" s="3">
        <v>900</v>
      </c>
      <c r="L5" s="19">
        <f t="shared" ref="L5:L8" si="1">K5/G5</f>
        <v>2.1176470588235294</v>
      </c>
      <c r="M5" s="3" t="s">
        <v>42</v>
      </c>
      <c r="N5" s="3">
        <v>6</v>
      </c>
      <c r="O5" s="3">
        <v>300</v>
      </c>
      <c r="P5" s="3">
        <v>210000</v>
      </c>
      <c r="Q5" s="3">
        <v>240</v>
      </c>
      <c r="R5" s="3">
        <f t="shared" ref="R5:R7" si="2">100*2*3.1416*N5^2/4/O5/E5</f>
        <v>0.14499692307692308</v>
      </c>
      <c r="S5" s="3" t="s">
        <v>43</v>
      </c>
      <c r="T5" s="3" t="s">
        <v>45</v>
      </c>
      <c r="U5" s="3" t="s">
        <v>44</v>
      </c>
      <c r="V5" s="3">
        <v>105000</v>
      </c>
      <c r="W5" s="3">
        <v>0.43</v>
      </c>
      <c r="X5" s="3">
        <v>1400</v>
      </c>
      <c r="Y5" s="3">
        <v>40</v>
      </c>
      <c r="Z5" s="3">
        <v>250</v>
      </c>
      <c r="AA5" s="3">
        <f t="shared" ref="AA5:AA9" si="3">0.9*G5-(F5-H5)-I5</f>
        <v>382.5</v>
      </c>
      <c r="AB5" s="3">
        <v>90</v>
      </c>
      <c r="AC5" s="3">
        <v>45</v>
      </c>
      <c r="AD5" s="20">
        <v>155</v>
      </c>
      <c r="AE5" s="3">
        <v>45</v>
      </c>
      <c r="AF5" s="3">
        <f t="shared" ref="AF5:AF56" si="4">(400/G5)^0.25</f>
        <v>0.98495812101090463</v>
      </c>
      <c r="AG5" s="3">
        <f t="shared" ref="AG5:AG56" si="5">IF(D5&gt;80, 0.4*(80/40)^(2/3),IF(D5&lt;=40,0.4, 0.4*(D5/40)^(2/3)))</f>
        <v>0.4</v>
      </c>
      <c r="AH5" s="3">
        <f t="shared" si="0"/>
        <v>224.13793103448273</v>
      </c>
      <c r="AI5" s="3">
        <f t="shared" ref="AI5:AI56" si="6">0.79*1*(IF(PI()/4*N5^2*2&gt;=AH5, IF(AF5&lt;1, 1, AF5), AF5))</f>
        <v>0.77811691559861473</v>
      </c>
      <c r="AJ5" s="3">
        <f t="shared" ref="AJ5:AJ56" si="7">IF(D5&gt;=25, IF(D5&lt;=80, AI5*(D5/25)^(1/3), AI5*(80/25)^(1/3)), AI5)</f>
        <v>0.91009106544553331</v>
      </c>
      <c r="AK5" s="3">
        <f t="shared" ref="AK5:AK56" si="8">E5*G5*AJ5*1/1.25/1000</f>
        <v>40.226025092692574</v>
      </c>
      <c r="AL5" s="3">
        <f t="shared" ref="AL5:AL56" si="9">IF(N5=0, 0, 0.87*Q5*PI()/4*N5^2*2*G5/O5/1000)</f>
        <v>16.727095924773497</v>
      </c>
      <c r="AM5" s="3">
        <f t="shared" ref="AM5:AM56" si="10">0.5*(1+I5/(AA5+I5))</f>
        <v>0.5</v>
      </c>
      <c r="AN5" s="3">
        <f t="shared" ref="AN5:AN56" si="11">2*1*AM5*(0.8*X5/1.25)*W5*Y5*AA5*(SIN(AB5/180*PI())+COS(AB5/180*PI()))/Z5/1000</f>
        <v>23.579135999999998</v>
      </c>
      <c r="AO5" s="20">
        <f t="shared" ref="AO5:AO56" si="12">IF(AK5+AL5+AN5&gt;MIN(0.8*SQRT(D5),7)*E5*G5/1000, MIN(0.8*SQRT(D5),7)*E5*G5/1000, AK5+AL5+AN5)</f>
        <v>80.532257017466065</v>
      </c>
      <c r="AP5" s="3">
        <f t="shared" ref="AP5:AP56" si="13">IF(AK5*1.25+AL5/0.87+AN5*1.25&gt;MIN(SQRT(D5), 7*1.25)*E5*G5/1000,MIN(SQRT(D5), 7*1.25)*E5*G5/1000,AK5*1.25+AL5/0.87+AN5*1.25)</f>
        <v>98.982998405835247</v>
      </c>
      <c r="AQ5" s="3">
        <f t="shared" ref="AQ5:AQ56" si="14">AD5/AP5</f>
        <v>1.56592548716793</v>
      </c>
      <c r="AR5" s="1">
        <f t="shared" ref="AR5:AR56" si="15">AK5*1.25</f>
        <v>50.282531365865715</v>
      </c>
      <c r="AS5" s="1">
        <f t="shared" ref="AS5:AS56" si="16">AL5/0.87</f>
        <v>19.226547039969535</v>
      </c>
      <c r="AT5" s="1">
        <f t="shared" ref="AT5:AT56" si="17">AN5*1.25</f>
        <v>29.47392</v>
      </c>
      <c r="AU5" s="1">
        <f t="shared" ref="AU5:AU56" si="18">0.8*X5</f>
        <v>1120</v>
      </c>
    </row>
    <row r="6" spans="1:47" x14ac:dyDescent="0.25">
      <c r="A6" s="17">
        <v>3</v>
      </c>
      <c r="B6" s="17"/>
      <c r="C6" s="17" t="s">
        <v>40</v>
      </c>
      <c r="D6" s="3">
        <v>40</v>
      </c>
      <c r="E6" s="3">
        <v>130</v>
      </c>
      <c r="F6" s="3">
        <v>450</v>
      </c>
      <c r="G6" s="3">
        <v>425</v>
      </c>
      <c r="H6" s="3">
        <v>450</v>
      </c>
      <c r="I6" s="3">
        <v>0</v>
      </c>
      <c r="J6" s="3" t="s">
        <v>36</v>
      </c>
      <c r="K6" s="3">
        <v>900</v>
      </c>
      <c r="L6" s="19">
        <f t="shared" si="1"/>
        <v>2.1176470588235294</v>
      </c>
      <c r="M6" s="3" t="s">
        <v>42</v>
      </c>
      <c r="N6" s="3">
        <v>6</v>
      </c>
      <c r="O6" s="3">
        <v>300</v>
      </c>
      <c r="P6" s="3">
        <v>210000</v>
      </c>
      <c r="Q6" s="3">
        <v>240</v>
      </c>
      <c r="R6" s="3">
        <f t="shared" si="2"/>
        <v>0.14499692307692308</v>
      </c>
      <c r="S6" s="3" t="s">
        <v>43</v>
      </c>
      <c r="T6" s="3" t="s">
        <v>45</v>
      </c>
      <c r="U6" s="3" t="s">
        <v>44</v>
      </c>
      <c r="V6" s="3">
        <v>105000</v>
      </c>
      <c r="W6" s="3">
        <v>0.43</v>
      </c>
      <c r="X6" s="3">
        <v>1400</v>
      </c>
      <c r="Y6" s="3">
        <v>40</v>
      </c>
      <c r="Z6" s="3">
        <v>300</v>
      </c>
      <c r="AA6" s="3">
        <f t="shared" si="3"/>
        <v>382.5</v>
      </c>
      <c r="AB6" s="3">
        <v>45</v>
      </c>
      <c r="AC6" s="3">
        <v>45</v>
      </c>
      <c r="AD6" s="20">
        <v>145.5</v>
      </c>
      <c r="AE6" s="3">
        <v>35.5</v>
      </c>
      <c r="AF6" s="3">
        <f t="shared" si="4"/>
        <v>0.98495812101090463</v>
      </c>
      <c r="AG6" s="3">
        <f t="shared" si="5"/>
        <v>0.4</v>
      </c>
      <c r="AH6" s="3">
        <f t="shared" si="0"/>
        <v>224.13793103448273</v>
      </c>
      <c r="AI6" s="3">
        <f t="shared" si="6"/>
        <v>0.77811691559861473</v>
      </c>
      <c r="AJ6" s="3">
        <f t="shared" si="7"/>
        <v>0.91009106544553331</v>
      </c>
      <c r="AK6" s="3">
        <f t="shared" si="8"/>
        <v>40.226025092692574</v>
      </c>
      <c r="AL6" s="3">
        <f t="shared" si="9"/>
        <v>16.727095924773497</v>
      </c>
      <c r="AM6" s="3">
        <f t="shared" si="10"/>
        <v>0.5</v>
      </c>
      <c r="AN6" s="3">
        <f t="shared" si="11"/>
        <v>27.788278266866403</v>
      </c>
      <c r="AO6" s="20">
        <f t="shared" si="12"/>
        <v>84.741399284332473</v>
      </c>
      <c r="AP6" s="3">
        <f t="shared" si="13"/>
        <v>104.24442623941826</v>
      </c>
      <c r="AQ6" s="3">
        <f t="shared" si="14"/>
        <v>1.3957580779026979</v>
      </c>
      <c r="AR6" s="1">
        <f t="shared" si="15"/>
        <v>50.282531365865715</v>
      </c>
      <c r="AS6" s="1">
        <f t="shared" si="16"/>
        <v>19.226547039969535</v>
      </c>
      <c r="AT6" s="1">
        <f t="shared" si="17"/>
        <v>34.735347833583006</v>
      </c>
      <c r="AU6" s="1">
        <f t="shared" si="18"/>
        <v>1120</v>
      </c>
    </row>
    <row r="7" spans="1:47" x14ac:dyDescent="0.25">
      <c r="A7" s="17">
        <v>4</v>
      </c>
      <c r="B7" s="17"/>
      <c r="C7" s="17" t="s">
        <v>41</v>
      </c>
      <c r="D7" s="3">
        <v>40</v>
      </c>
      <c r="E7" s="3">
        <v>130</v>
      </c>
      <c r="F7" s="3">
        <v>450</v>
      </c>
      <c r="G7" s="3">
        <v>425</v>
      </c>
      <c r="H7" s="3">
        <v>450</v>
      </c>
      <c r="I7" s="3">
        <v>0</v>
      </c>
      <c r="J7" s="3" t="s">
        <v>36</v>
      </c>
      <c r="K7" s="3">
        <v>900</v>
      </c>
      <c r="L7" s="19">
        <f t="shared" si="1"/>
        <v>2.1176470588235294</v>
      </c>
      <c r="M7" s="3" t="s">
        <v>42</v>
      </c>
      <c r="N7" s="3">
        <v>6</v>
      </c>
      <c r="O7" s="3">
        <v>300</v>
      </c>
      <c r="P7" s="3">
        <v>210000</v>
      </c>
      <c r="Q7" s="3">
        <v>240</v>
      </c>
      <c r="R7" s="3">
        <f t="shared" si="2"/>
        <v>0.14499692307692308</v>
      </c>
      <c r="S7" s="3" t="s">
        <v>43</v>
      </c>
      <c r="T7" s="3" t="s">
        <v>45</v>
      </c>
      <c r="U7" s="3" t="s">
        <v>44</v>
      </c>
      <c r="V7" s="3">
        <v>105000</v>
      </c>
      <c r="W7" s="3">
        <v>0.43</v>
      </c>
      <c r="X7" s="3">
        <v>1400</v>
      </c>
      <c r="Y7" s="3">
        <v>40</v>
      </c>
      <c r="Z7" s="3">
        <v>350</v>
      </c>
      <c r="AA7" s="3">
        <f t="shared" si="3"/>
        <v>382.5</v>
      </c>
      <c r="AB7" s="3">
        <v>45</v>
      </c>
      <c r="AC7" s="3">
        <v>45</v>
      </c>
      <c r="AD7" s="20">
        <v>132</v>
      </c>
      <c r="AE7" s="3">
        <v>22</v>
      </c>
      <c r="AF7" s="3">
        <f t="shared" si="4"/>
        <v>0.98495812101090463</v>
      </c>
      <c r="AG7" s="3">
        <f t="shared" si="5"/>
        <v>0.4</v>
      </c>
      <c r="AH7" s="3">
        <f t="shared" si="0"/>
        <v>224.13793103448273</v>
      </c>
      <c r="AI7" s="3">
        <f t="shared" si="6"/>
        <v>0.77811691559861473</v>
      </c>
      <c r="AJ7" s="3">
        <f t="shared" si="7"/>
        <v>0.91009106544553331</v>
      </c>
      <c r="AK7" s="3">
        <f t="shared" si="8"/>
        <v>40.226025092692574</v>
      </c>
      <c r="AL7" s="3">
        <f t="shared" si="9"/>
        <v>16.727095924773497</v>
      </c>
      <c r="AM7" s="3">
        <f t="shared" si="10"/>
        <v>0.5</v>
      </c>
      <c r="AN7" s="3">
        <f t="shared" si="11"/>
        <v>23.818524228742632</v>
      </c>
      <c r="AO7" s="20">
        <f t="shared" si="12"/>
        <v>80.771645246208706</v>
      </c>
      <c r="AP7" s="3">
        <f t="shared" si="13"/>
        <v>99.282233691763537</v>
      </c>
      <c r="AQ7" s="3">
        <f t="shared" si="14"/>
        <v>1.3295430117921565</v>
      </c>
      <c r="AR7" s="1">
        <f t="shared" si="15"/>
        <v>50.282531365865715</v>
      </c>
      <c r="AS7" s="1">
        <f t="shared" si="16"/>
        <v>19.226547039969535</v>
      </c>
      <c r="AT7" s="1">
        <f t="shared" si="17"/>
        <v>29.77315528592829</v>
      </c>
      <c r="AU7" s="1">
        <f t="shared" si="18"/>
        <v>1120</v>
      </c>
    </row>
    <row r="8" spans="1:47" x14ac:dyDescent="0.25">
      <c r="A8" s="3">
        <v>5</v>
      </c>
      <c r="C8" s="3" t="s">
        <v>48</v>
      </c>
      <c r="D8" s="3">
        <v>41</v>
      </c>
      <c r="E8" s="3">
        <v>300</v>
      </c>
      <c r="F8" s="3">
        <v>300</v>
      </c>
      <c r="G8" s="3">
        <v>245</v>
      </c>
      <c r="H8" s="3">
        <v>300</v>
      </c>
      <c r="I8" s="3">
        <v>0</v>
      </c>
      <c r="J8" s="3" t="s">
        <v>36</v>
      </c>
      <c r="K8" s="3">
        <v>1000</v>
      </c>
      <c r="L8" s="19">
        <f t="shared" si="1"/>
        <v>4.0816326530612246</v>
      </c>
      <c r="M8" s="3" t="s">
        <v>46</v>
      </c>
      <c r="N8" s="3">
        <v>0</v>
      </c>
      <c r="S8" s="3" t="s">
        <v>43</v>
      </c>
      <c r="T8" s="3" t="s">
        <v>53</v>
      </c>
      <c r="U8" s="3" t="s">
        <v>44</v>
      </c>
      <c r="V8" s="3">
        <v>230000</v>
      </c>
      <c r="W8" s="3">
        <v>0.16700000000000001</v>
      </c>
      <c r="X8" s="3">
        <v>3400</v>
      </c>
      <c r="Y8" s="3">
        <v>1</v>
      </c>
      <c r="Z8" s="3">
        <v>1</v>
      </c>
      <c r="AA8" s="3">
        <f t="shared" si="3"/>
        <v>220.5</v>
      </c>
      <c r="AB8" s="3">
        <v>90</v>
      </c>
      <c r="AC8" s="3">
        <v>45</v>
      </c>
      <c r="AD8" s="20">
        <f>457/2</f>
        <v>228.5</v>
      </c>
      <c r="AE8" s="3">
        <f>116.5/2</f>
        <v>58.25</v>
      </c>
      <c r="AF8" s="3">
        <f t="shared" si="4"/>
        <v>1.1303774281185377</v>
      </c>
      <c r="AG8" s="3">
        <f t="shared" si="5"/>
        <v>0.40663919310352337</v>
      </c>
      <c r="AH8" s="3">
        <f>IF(Q8=0,AG8*E8*K8/(0.87*200),AG8*E8*K8/(0.87*Q8))</f>
        <v>701.10205707504031</v>
      </c>
      <c r="AI8" s="3">
        <f t="shared" si="6"/>
        <v>0.89299816821364486</v>
      </c>
      <c r="AJ8" s="3">
        <f t="shared" si="7"/>
        <v>1.0530892610612204</v>
      </c>
      <c r="AK8" s="3">
        <f t="shared" si="8"/>
        <v>61.921648550399752</v>
      </c>
      <c r="AL8" s="3">
        <f t="shared" si="9"/>
        <v>0</v>
      </c>
      <c r="AM8" s="3">
        <f t="shared" si="10"/>
        <v>0.5</v>
      </c>
      <c r="AN8" s="3">
        <f t="shared" si="11"/>
        <v>80.127936000000005</v>
      </c>
      <c r="AO8" s="20">
        <f t="shared" si="12"/>
        <v>142.04958455039974</v>
      </c>
      <c r="AP8" s="3">
        <f t="shared" si="13"/>
        <v>177.56198068799969</v>
      </c>
      <c r="AQ8" s="3">
        <f t="shared" si="14"/>
        <v>1.286874583819299</v>
      </c>
      <c r="AR8" s="1">
        <f t="shared" si="15"/>
        <v>77.402060687999693</v>
      </c>
      <c r="AS8" s="1">
        <f t="shared" si="16"/>
        <v>0</v>
      </c>
      <c r="AT8" s="1">
        <f t="shared" si="17"/>
        <v>100.15992</v>
      </c>
      <c r="AU8" s="1">
        <f t="shared" si="18"/>
        <v>2720</v>
      </c>
    </row>
    <row r="9" spans="1:47" x14ac:dyDescent="0.25">
      <c r="A9" s="3">
        <v>6</v>
      </c>
      <c r="C9" s="3" t="s">
        <v>49</v>
      </c>
      <c r="D9" s="3">
        <v>41.1</v>
      </c>
      <c r="E9" s="3">
        <v>300</v>
      </c>
      <c r="F9" s="3">
        <v>300</v>
      </c>
      <c r="G9" s="3">
        <v>245</v>
      </c>
      <c r="H9" s="3">
        <v>300</v>
      </c>
      <c r="I9" s="3">
        <v>0</v>
      </c>
      <c r="J9" s="3" t="s">
        <v>36</v>
      </c>
      <c r="K9" s="3">
        <v>1000</v>
      </c>
      <c r="L9" s="19">
        <f t="shared" ref="L9" si="19">K9/G9</f>
        <v>4.0816326530612246</v>
      </c>
      <c r="M9" s="3" t="s">
        <v>46</v>
      </c>
      <c r="N9" s="3">
        <v>0</v>
      </c>
      <c r="S9" s="3" t="s">
        <v>43</v>
      </c>
      <c r="T9" s="3" t="s">
        <v>53</v>
      </c>
      <c r="U9" s="3" t="s">
        <v>44</v>
      </c>
      <c r="V9" s="3">
        <v>230000</v>
      </c>
      <c r="W9" s="3">
        <v>0.16700000000000001</v>
      </c>
      <c r="X9" s="3">
        <v>3400</v>
      </c>
      <c r="Y9" s="3">
        <v>1</v>
      </c>
      <c r="Z9" s="3">
        <v>1</v>
      </c>
      <c r="AA9" s="3">
        <f t="shared" si="3"/>
        <v>220.5</v>
      </c>
      <c r="AB9" s="3">
        <v>90</v>
      </c>
      <c r="AC9" s="3">
        <v>45</v>
      </c>
      <c r="AD9" s="20">
        <f>475/2</f>
        <v>237.5</v>
      </c>
      <c r="AE9" s="3">
        <f>125.5/2</f>
        <v>62.75</v>
      </c>
      <c r="AF9" s="3">
        <f t="shared" si="4"/>
        <v>1.1303774281185377</v>
      </c>
      <c r="AG9" s="3">
        <f t="shared" si="5"/>
        <v>0.40730012655320069</v>
      </c>
      <c r="AH9" s="3">
        <f t="shared" si="0"/>
        <v>702.24159750551837</v>
      </c>
      <c r="AI9" s="3">
        <f t="shared" si="6"/>
        <v>0.89299816821364486</v>
      </c>
      <c r="AJ9" s="3">
        <f t="shared" si="7"/>
        <v>1.053944736060545</v>
      </c>
      <c r="AK9" s="3">
        <f t="shared" si="8"/>
        <v>61.97195048036005</v>
      </c>
      <c r="AL9" s="3">
        <f t="shared" si="9"/>
        <v>0</v>
      </c>
      <c r="AM9" s="3">
        <f t="shared" si="10"/>
        <v>0.5</v>
      </c>
      <c r="AN9" s="3">
        <f t="shared" si="11"/>
        <v>80.127936000000005</v>
      </c>
      <c r="AO9" s="20">
        <f t="shared" si="12"/>
        <v>142.09988648036006</v>
      </c>
      <c r="AP9" s="3">
        <f t="shared" si="13"/>
        <v>177.62485810045007</v>
      </c>
      <c r="AQ9" s="3">
        <f t="shared" si="14"/>
        <v>1.3370876269226317</v>
      </c>
      <c r="AR9" s="1">
        <f t="shared" si="15"/>
        <v>77.46493810045007</v>
      </c>
      <c r="AS9" s="1">
        <f t="shared" si="16"/>
        <v>0</v>
      </c>
      <c r="AT9" s="1">
        <f t="shared" si="17"/>
        <v>100.15992</v>
      </c>
      <c r="AU9" s="1">
        <f t="shared" si="18"/>
        <v>2720</v>
      </c>
    </row>
    <row r="10" spans="1:47" x14ac:dyDescent="0.25">
      <c r="A10" s="3">
        <v>7</v>
      </c>
      <c r="B10" s="3" t="s">
        <v>47</v>
      </c>
      <c r="C10" s="3" t="s">
        <v>54</v>
      </c>
      <c r="D10" s="3">
        <v>42.4</v>
      </c>
      <c r="E10" s="3">
        <v>300</v>
      </c>
      <c r="F10" s="3">
        <v>300</v>
      </c>
      <c r="G10" s="3">
        <v>245</v>
      </c>
      <c r="H10" s="3">
        <v>300</v>
      </c>
      <c r="I10" s="3">
        <v>0</v>
      </c>
      <c r="J10" s="3" t="s">
        <v>36</v>
      </c>
      <c r="K10" s="3">
        <v>1000</v>
      </c>
      <c r="L10" s="19">
        <f t="shared" ref="L10" si="20">K10/G10</f>
        <v>4.0816326530612246</v>
      </c>
      <c r="M10" s="3" t="s">
        <v>46</v>
      </c>
      <c r="N10" s="3">
        <v>0</v>
      </c>
      <c r="S10" s="3" t="s">
        <v>43</v>
      </c>
      <c r="T10" s="3" t="s">
        <v>53</v>
      </c>
      <c r="U10" s="3" t="s">
        <v>44</v>
      </c>
      <c r="V10" s="3">
        <v>230000</v>
      </c>
      <c r="W10" s="3">
        <v>0.16700000000000001</v>
      </c>
      <c r="X10" s="3">
        <v>3400</v>
      </c>
      <c r="Y10" s="3">
        <v>1</v>
      </c>
      <c r="Z10" s="3">
        <v>1</v>
      </c>
      <c r="AA10" s="3">
        <f t="shared" ref="AA10" si="21">0.9*G10-(F10-H10)-I10</f>
        <v>220.5</v>
      </c>
      <c r="AB10" s="3">
        <v>90</v>
      </c>
      <c r="AC10" s="3">
        <v>45</v>
      </c>
      <c r="AD10" s="20">
        <f>500/2</f>
        <v>250</v>
      </c>
      <c r="AE10" s="3">
        <f>138/2</f>
        <v>69</v>
      </c>
      <c r="AF10" s="3">
        <f t="shared" si="4"/>
        <v>1.1303774281185377</v>
      </c>
      <c r="AG10" s="3">
        <f t="shared" si="5"/>
        <v>0.41584412305911922</v>
      </c>
      <c r="AH10" s="3">
        <f t="shared" si="0"/>
        <v>716.97262596399867</v>
      </c>
      <c r="AI10" s="3">
        <f t="shared" si="6"/>
        <v>0.89299816821364486</v>
      </c>
      <c r="AJ10" s="3">
        <f t="shared" si="7"/>
        <v>1.0649417431628152</v>
      </c>
      <c r="AK10" s="3">
        <f t="shared" si="8"/>
        <v>62.618574497973533</v>
      </c>
      <c r="AL10" s="3">
        <f t="shared" si="9"/>
        <v>0</v>
      </c>
      <c r="AM10" s="3">
        <f t="shared" si="10"/>
        <v>0.5</v>
      </c>
      <c r="AN10" s="3">
        <f t="shared" si="11"/>
        <v>80.127936000000005</v>
      </c>
      <c r="AO10" s="20">
        <f t="shared" si="12"/>
        <v>142.74651049797353</v>
      </c>
      <c r="AP10" s="3">
        <f t="shared" si="13"/>
        <v>178.43313812246691</v>
      </c>
      <c r="AQ10" s="3">
        <f t="shared" si="14"/>
        <v>1.401085037401592</v>
      </c>
      <c r="AR10" s="1">
        <f t="shared" si="15"/>
        <v>78.273218122466915</v>
      </c>
      <c r="AS10" s="1">
        <f t="shared" si="16"/>
        <v>0</v>
      </c>
      <c r="AT10" s="1">
        <f t="shared" si="17"/>
        <v>100.15992</v>
      </c>
      <c r="AU10" s="1">
        <f t="shared" si="18"/>
        <v>2720</v>
      </c>
    </row>
    <row r="11" spans="1:47" x14ac:dyDescent="0.25">
      <c r="A11" s="3">
        <v>8</v>
      </c>
      <c r="C11" s="3" t="s">
        <v>50</v>
      </c>
      <c r="D11" s="3">
        <v>41.8</v>
      </c>
      <c r="E11" s="3">
        <v>300</v>
      </c>
      <c r="F11" s="3">
        <v>300</v>
      </c>
      <c r="G11" s="3">
        <v>245</v>
      </c>
      <c r="H11" s="3">
        <v>300</v>
      </c>
      <c r="I11" s="3">
        <v>0</v>
      </c>
      <c r="J11" s="3" t="s">
        <v>36</v>
      </c>
      <c r="K11" s="3">
        <v>1000</v>
      </c>
      <c r="L11" s="19">
        <f>K11/G11</f>
        <v>4.0816326530612246</v>
      </c>
      <c r="M11" s="3" t="s">
        <v>46</v>
      </c>
      <c r="N11" s="3">
        <v>0</v>
      </c>
      <c r="S11" s="3" t="s">
        <v>52</v>
      </c>
      <c r="T11" s="3" t="s">
        <v>53</v>
      </c>
      <c r="U11" s="3" t="s">
        <v>44</v>
      </c>
      <c r="V11" s="3">
        <v>120000</v>
      </c>
      <c r="W11" s="3">
        <v>0.28599999999999998</v>
      </c>
      <c r="X11" s="3">
        <v>2000</v>
      </c>
      <c r="Y11" s="3">
        <v>1</v>
      </c>
      <c r="Z11" s="3">
        <v>1</v>
      </c>
      <c r="AA11" s="3">
        <f>0.9*G11-(F11-H11)-I11</f>
        <v>220.5</v>
      </c>
      <c r="AB11" s="3">
        <v>90</v>
      </c>
      <c r="AC11" s="3">
        <v>45</v>
      </c>
      <c r="AD11" s="20">
        <f>400/2</f>
        <v>200</v>
      </c>
      <c r="AE11" s="3">
        <f>88/2</f>
        <v>44</v>
      </c>
      <c r="AF11" s="3">
        <f t="shared" si="4"/>
        <v>1.1303774281185377</v>
      </c>
      <c r="AG11" s="3">
        <f t="shared" si="5"/>
        <v>0.41191175412295644</v>
      </c>
      <c r="AH11" s="3">
        <f t="shared" si="0"/>
        <v>710.19267952233872</v>
      </c>
      <c r="AI11" s="3">
        <f t="shared" si="6"/>
        <v>0.89299816821364486</v>
      </c>
      <c r="AJ11" s="3">
        <f t="shared" si="7"/>
        <v>1.0598945501384112</v>
      </c>
      <c r="AK11" s="3">
        <f t="shared" si="8"/>
        <v>62.321799548138571</v>
      </c>
      <c r="AL11" s="3">
        <f t="shared" si="9"/>
        <v>0</v>
      </c>
      <c r="AM11" s="3">
        <f t="shared" si="10"/>
        <v>0.5</v>
      </c>
      <c r="AN11" s="3">
        <f t="shared" si="11"/>
        <v>80.720640000000003</v>
      </c>
      <c r="AO11" s="20">
        <f t="shared" si="12"/>
        <v>143.04243954813859</v>
      </c>
      <c r="AP11" s="3">
        <f t="shared" si="13"/>
        <v>178.80304943517322</v>
      </c>
      <c r="AQ11" s="3">
        <f t="shared" si="14"/>
        <v>1.1185491557990008</v>
      </c>
      <c r="AR11" s="1">
        <f t="shared" si="15"/>
        <v>77.902249435173218</v>
      </c>
      <c r="AS11" s="1">
        <f t="shared" si="16"/>
        <v>0</v>
      </c>
      <c r="AT11" s="1">
        <f t="shared" si="17"/>
        <v>100.9008</v>
      </c>
      <c r="AU11" s="1">
        <f t="shared" si="18"/>
        <v>1600</v>
      </c>
    </row>
    <row r="12" spans="1:47" x14ac:dyDescent="0.25">
      <c r="A12" s="3">
        <v>9</v>
      </c>
      <c r="C12" s="3" t="s">
        <v>51</v>
      </c>
      <c r="D12" s="3">
        <v>43.9</v>
      </c>
      <c r="E12" s="3">
        <v>300</v>
      </c>
      <c r="F12" s="3">
        <v>300</v>
      </c>
      <c r="G12" s="3">
        <v>245</v>
      </c>
      <c r="H12" s="3">
        <v>300</v>
      </c>
      <c r="I12" s="3">
        <v>0</v>
      </c>
      <c r="J12" s="3" t="s">
        <v>36</v>
      </c>
      <c r="K12" s="3">
        <v>1000</v>
      </c>
      <c r="L12" s="19">
        <f>K12/G12</f>
        <v>4.0816326530612246</v>
      </c>
      <c r="M12" s="3" t="s">
        <v>46</v>
      </c>
      <c r="N12" s="3">
        <v>0</v>
      </c>
      <c r="S12" s="3" t="s">
        <v>52</v>
      </c>
      <c r="T12" s="3" t="s">
        <v>53</v>
      </c>
      <c r="U12" s="3" t="s">
        <v>44</v>
      </c>
      <c r="V12" s="3">
        <v>120000</v>
      </c>
      <c r="W12" s="3">
        <v>0.28599999999999998</v>
      </c>
      <c r="X12" s="3">
        <v>2000</v>
      </c>
      <c r="Y12" s="3">
        <v>1</v>
      </c>
      <c r="Z12" s="3">
        <v>1</v>
      </c>
      <c r="AA12" s="3">
        <f>0.9*G12-(F12-H12)-I12</f>
        <v>220.5</v>
      </c>
      <c r="AB12" s="3">
        <v>90</v>
      </c>
      <c r="AC12" s="3">
        <v>45</v>
      </c>
      <c r="AD12" s="20">
        <f>490/2</f>
        <v>245</v>
      </c>
      <c r="AE12" s="3">
        <f>133/2</f>
        <v>66.5</v>
      </c>
      <c r="AF12" s="3">
        <f t="shared" si="4"/>
        <v>1.1303774281185377</v>
      </c>
      <c r="AG12" s="3">
        <f t="shared" si="5"/>
        <v>0.42559483029316958</v>
      </c>
      <c r="AH12" s="3">
        <f t="shared" si="0"/>
        <v>733.78419016063719</v>
      </c>
      <c r="AI12" s="3">
        <f t="shared" si="6"/>
        <v>0.89299816821364486</v>
      </c>
      <c r="AJ12" s="3">
        <f t="shared" si="7"/>
        <v>1.077354769283811</v>
      </c>
      <c r="AK12" s="3">
        <f t="shared" si="8"/>
        <v>63.348460433888086</v>
      </c>
      <c r="AL12" s="3">
        <f t="shared" si="9"/>
        <v>0</v>
      </c>
      <c r="AM12" s="3">
        <f t="shared" si="10"/>
        <v>0.5</v>
      </c>
      <c r="AN12" s="3">
        <f t="shared" si="11"/>
        <v>80.720640000000003</v>
      </c>
      <c r="AO12" s="20">
        <f t="shared" si="12"/>
        <v>144.06910043388808</v>
      </c>
      <c r="AP12" s="3">
        <f t="shared" si="13"/>
        <v>180.08637554236012</v>
      </c>
      <c r="AQ12" s="3">
        <f t="shared" si="14"/>
        <v>1.3604582759919606</v>
      </c>
      <c r="AR12" s="1">
        <f t="shared" si="15"/>
        <v>79.185575542360112</v>
      </c>
      <c r="AS12" s="1">
        <f t="shared" si="16"/>
        <v>0</v>
      </c>
      <c r="AT12" s="1">
        <f t="shared" si="17"/>
        <v>100.9008</v>
      </c>
      <c r="AU12" s="1">
        <f t="shared" si="18"/>
        <v>1600</v>
      </c>
    </row>
    <row r="13" spans="1:47" x14ac:dyDescent="0.25">
      <c r="A13" s="3">
        <v>10</v>
      </c>
      <c r="C13" s="3" t="s">
        <v>55</v>
      </c>
      <c r="D13" s="3">
        <v>43.5</v>
      </c>
      <c r="E13" s="3">
        <v>300</v>
      </c>
      <c r="F13" s="3">
        <v>300</v>
      </c>
      <c r="G13" s="3">
        <v>245</v>
      </c>
      <c r="H13" s="3">
        <v>300</v>
      </c>
      <c r="I13" s="3">
        <v>0</v>
      </c>
      <c r="J13" s="3" t="s">
        <v>36</v>
      </c>
      <c r="K13" s="3">
        <v>1000</v>
      </c>
      <c r="L13" s="19">
        <f>K13/G13</f>
        <v>4.0816326530612246</v>
      </c>
      <c r="M13" s="3" t="s">
        <v>46</v>
      </c>
      <c r="N13" s="3">
        <v>0</v>
      </c>
      <c r="S13" s="3" t="s">
        <v>52</v>
      </c>
      <c r="T13" s="3" t="s">
        <v>53</v>
      </c>
      <c r="U13" s="3" t="s">
        <v>44</v>
      </c>
      <c r="V13" s="3">
        <v>120000</v>
      </c>
      <c r="W13" s="3">
        <v>0.28599999999999998</v>
      </c>
      <c r="X13" s="3">
        <v>2000</v>
      </c>
      <c r="Y13" s="3">
        <v>1</v>
      </c>
      <c r="Z13" s="3">
        <v>1</v>
      </c>
      <c r="AA13" s="3">
        <f>0.9*G13-(F13-H13)-I13</f>
        <v>220.5</v>
      </c>
      <c r="AB13" s="3">
        <v>90</v>
      </c>
      <c r="AC13" s="3">
        <v>45</v>
      </c>
      <c r="AD13" s="20">
        <f>488/2</f>
        <v>244</v>
      </c>
      <c r="AE13" s="3">
        <f>132/2</f>
        <v>66</v>
      </c>
      <c r="AF13" s="3">
        <f t="shared" si="4"/>
        <v>1.1303774281185377</v>
      </c>
      <c r="AG13" s="3">
        <f t="shared" si="5"/>
        <v>0.42300565021039471</v>
      </c>
      <c r="AH13" s="3">
        <f t="shared" si="0"/>
        <v>729.32008656964604</v>
      </c>
      <c r="AI13" s="3">
        <f t="shared" si="6"/>
        <v>0.89299816821364486</v>
      </c>
      <c r="AJ13" s="3">
        <f t="shared" si="7"/>
        <v>1.0740726323594589</v>
      </c>
      <c r="AK13" s="3">
        <f t="shared" si="8"/>
        <v>63.155470782736188</v>
      </c>
      <c r="AL13" s="3">
        <f t="shared" si="9"/>
        <v>0</v>
      </c>
      <c r="AM13" s="3">
        <f t="shared" si="10"/>
        <v>0.5</v>
      </c>
      <c r="AN13" s="3">
        <f t="shared" si="11"/>
        <v>80.720640000000003</v>
      </c>
      <c r="AO13" s="20">
        <f t="shared" si="12"/>
        <v>143.87611078273619</v>
      </c>
      <c r="AP13" s="3">
        <f t="shared" si="13"/>
        <v>179.84513847842024</v>
      </c>
      <c r="AQ13" s="3">
        <f t="shared" si="14"/>
        <v>1.3567228008739183</v>
      </c>
      <c r="AR13" s="1">
        <f t="shared" si="15"/>
        <v>78.944338478420235</v>
      </c>
      <c r="AS13" s="1">
        <f t="shared" si="16"/>
        <v>0</v>
      </c>
      <c r="AT13" s="1">
        <f t="shared" si="17"/>
        <v>100.9008</v>
      </c>
      <c r="AU13" s="1">
        <f t="shared" si="18"/>
        <v>1600</v>
      </c>
    </row>
    <row r="14" spans="1:47" x14ac:dyDescent="0.25">
      <c r="A14" s="3">
        <v>11</v>
      </c>
      <c r="C14" s="18" t="s">
        <v>57</v>
      </c>
      <c r="D14" s="3">
        <v>46</v>
      </c>
      <c r="E14" s="3">
        <v>180</v>
      </c>
      <c r="F14" s="3">
        <v>500</v>
      </c>
      <c r="G14" s="3">
        <f>F14-84</f>
        <v>416</v>
      </c>
      <c r="H14" s="3">
        <v>500</v>
      </c>
      <c r="I14" s="3">
        <v>0</v>
      </c>
      <c r="J14" s="3" t="s">
        <v>36</v>
      </c>
      <c r="K14" s="3">
        <v>1250</v>
      </c>
      <c r="L14" s="19">
        <f t="shared" ref="L14" si="22">K14/G14</f>
        <v>3.0048076923076925</v>
      </c>
      <c r="M14" s="3" t="s">
        <v>46</v>
      </c>
      <c r="N14" s="3">
        <v>0</v>
      </c>
      <c r="S14" s="3" t="s">
        <v>43</v>
      </c>
      <c r="T14" s="3" t="s">
        <v>53</v>
      </c>
      <c r="U14" s="3" t="s">
        <v>44</v>
      </c>
      <c r="V14" s="3">
        <v>234000</v>
      </c>
      <c r="W14" s="18">
        <f>200/1100</f>
        <v>0.18181818181818182</v>
      </c>
      <c r="X14" s="3">
        <v>4500</v>
      </c>
      <c r="Y14" s="3">
        <v>1</v>
      </c>
      <c r="Z14" s="3">
        <f>Y14/SIN(AB14/180*PI())</f>
        <v>1.4142135623730951</v>
      </c>
      <c r="AA14" s="3">
        <f t="shared" ref="AA14:AA15" si="23">0.9*G14-(F14-H14)-I14</f>
        <v>374.40000000000003</v>
      </c>
      <c r="AB14" s="3">
        <v>45</v>
      </c>
      <c r="AC14" s="3">
        <v>30</v>
      </c>
      <c r="AD14" s="20">
        <v>338</v>
      </c>
      <c r="AE14" s="3" t="s">
        <v>46</v>
      </c>
      <c r="AF14" s="3">
        <f t="shared" si="4"/>
        <v>0.99024273574256538</v>
      </c>
      <c r="AG14" s="3">
        <f t="shared" si="5"/>
        <v>0.43906135993000239</v>
      </c>
      <c r="AH14" s="3">
        <f t="shared" si="0"/>
        <v>567.75175853017561</v>
      </c>
      <c r="AI14" s="3">
        <f t="shared" si="6"/>
        <v>0.78229176123662669</v>
      </c>
      <c r="AJ14" s="3">
        <f t="shared" si="7"/>
        <v>0.95860869548806915</v>
      </c>
      <c r="AK14" s="3">
        <f t="shared" si="8"/>
        <v>57.424495294517293</v>
      </c>
      <c r="AL14" s="3">
        <f t="shared" si="9"/>
        <v>0</v>
      </c>
      <c r="AM14" s="3">
        <f t="shared" si="10"/>
        <v>0.5</v>
      </c>
      <c r="AN14" s="3">
        <f t="shared" si="11"/>
        <v>196.04945454545452</v>
      </c>
      <c r="AO14" s="20">
        <f t="shared" si="12"/>
        <v>253.47394983997182</v>
      </c>
      <c r="AP14" s="3">
        <f t="shared" si="13"/>
        <v>316.84243729996479</v>
      </c>
      <c r="AQ14" s="3">
        <f t="shared" si="14"/>
        <v>1.0667762907025131</v>
      </c>
      <c r="AR14" s="1">
        <f t="shared" si="15"/>
        <v>71.780619118146618</v>
      </c>
      <c r="AS14" s="1">
        <f t="shared" si="16"/>
        <v>0</v>
      </c>
      <c r="AT14" s="1">
        <f t="shared" si="17"/>
        <v>245.06181818181815</v>
      </c>
      <c r="AU14" s="1">
        <f t="shared" si="18"/>
        <v>3600</v>
      </c>
    </row>
    <row r="15" spans="1:47" x14ac:dyDescent="0.25">
      <c r="A15" s="3">
        <v>12</v>
      </c>
      <c r="B15" s="3" t="s">
        <v>60</v>
      </c>
      <c r="C15" s="3" t="s">
        <v>58</v>
      </c>
      <c r="D15" s="3">
        <v>52</v>
      </c>
      <c r="E15" s="3">
        <v>180</v>
      </c>
      <c r="F15" s="3">
        <v>500</v>
      </c>
      <c r="G15" s="3">
        <f>F15-84</f>
        <v>416</v>
      </c>
      <c r="H15" s="3">
        <v>500</v>
      </c>
      <c r="I15" s="3">
        <v>0</v>
      </c>
      <c r="J15" s="3" t="s">
        <v>36</v>
      </c>
      <c r="K15" s="3">
        <v>1250</v>
      </c>
      <c r="L15" s="19">
        <f t="shared" ref="L15" si="24">K15/G15</f>
        <v>3.0048076923076925</v>
      </c>
      <c r="M15" s="3" t="s">
        <v>46</v>
      </c>
      <c r="N15" s="3">
        <v>0</v>
      </c>
      <c r="S15" s="3" t="s">
        <v>43</v>
      </c>
      <c r="T15" s="3" t="s">
        <v>53</v>
      </c>
      <c r="U15" s="3" t="s">
        <v>44</v>
      </c>
      <c r="V15" s="3">
        <v>234000</v>
      </c>
      <c r="W15" s="18">
        <f t="shared" ref="W15:W16" si="25">200/1100</f>
        <v>0.18181818181818182</v>
      </c>
      <c r="X15" s="3">
        <v>4500</v>
      </c>
      <c r="Y15" s="3">
        <v>1</v>
      </c>
      <c r="Z15" s="3">
        <f>Y15/SIN(AB15/180*PI())</f>
        <v>1</v>
      </c>
      <c r="AA15" s="3">
        <f t="shared" si="23"/>
        <v>374.40000000000003</v>
      </c>
      <c r="AB15" s="3">
        <v>90</v>
      </c>
      <c r="AC15" s="3">
        <v>30</v>
      </c>
      <c r="AD15" s="20">
        <v>367</v>
      </c>
      <c r="AE15" s="3" t="s">
        <v>46</v>
      </c>
      <c r="AF15" s="3">
        <f t="shared" si="4"/>
        <v>0.99024273574256538</v>
      </c>
      <c r="AG15" s="3">
        <f t="shared" si="5"/>
        <v>0.47645537007857303</v>
      </c>
      <c r="AH15" s="3">
        <f t="shared" si="0"/>
        <v>616.10608199815476</v>
      </c>
      <c r="AI15" s="3">
        <f t="shared" si="6"/>
        <v>0.78229176123662669</v>
      </c>
      <c r="AJ15" s="3">
        <f t="shared" si="7"/>
        <v>0.99859610581109171</v>
      </c>
      <c r="AK15" s="3">
        <f t="shared" si="8"/>
        <v>59.819901122507638</v>
      </c>
      <c r="AL15" s="3">
        <f t="shared" si="9"/>
        <v>0</v>
      </c>
      <c r="AM15" s="3">
        <f t="shared" si="10"/>
        <v>0.5</v>
      </c>
      <c r="AN15" s="3">
        <f t="shared" si="11"/>
        <v>196.04945454545455</v>
      </c>
      <c r="AO15" s="20">
        <f t="shared" si="12"/>
        <v>255.8693556679622</v>
      </c>
      <c r="AP15" s="3">
        <f t="shared" si="13"/>
        <v>319.83669458495274</v>
      </c>
      <c r="AQ15" s="3">
        <f t="shared" si="14"/>
        <v>1.1474605828960631</v>
      </c>
      <c r="AR15" s="1">
        <f t="shared" si="15"/>
        <v>74.774876403134542</v>
      </c>
      <c r="AS15" s="1">
        <f t="shared" si="16"/>
        <v>0</v>
      </c>
      <c r="AT15" s="1">
        <f t="shared" si="17"/>
        <v>245.06181818181818</v>
      </c>
      <c r="AU15" s="1">
        <f t="shared" si="18"/>
        <v>3600</v>
      </c>
    </row>
    <row r="16" spans="1:47" x14ac:dyDescent="0.25">
      <c r="A16" s="3">
        <v>13</v>
      </c>
      <c r="C16" s="18" t="s">
        <v>59</v>
      </c>
      <c r="D16" s="3">
        <v>46</v>
      </c>
      <c r="E16" s="3">
        <v>180</v>
      </c>
      <c r="F16" s="3">
        <v>500</v>
      </c>
      <c r="G16" s="3">
        <f>F16-84</f>
        <v>416</v>
      </c>
      <c r="H16" s="3">
        <v>500</v>
      </c>
      <c r="I16" s="3">
        <v>0</v>
      </c>
      <c r="J16" s="3" t="s">
        <v>36</v>
      </c>
      <c r="K16" s="3">
        <v>1250</v>
      </c>
      <c r="L16" s="19">
        <f t="shared" ref="L16:L18" si="26">K16/G16</f>
        <v>3.0048076923076925</v>
      </c>
      <c r="M16" s="3" t="s">
        <v>46</v>
      </c>
      <c r="N16" s="3">
        <v>0</v>
      </c>
      <c r="S16" s="3" t="s">
        <v>43</v>
      </c>
      <c r="T16" s="3" t="s">
        <v>53</v>
      </c>
      <c r="U16" s="3" t="s">
        <v>44</v>
      </c>
      <c r="V16" s="3">
        <v>234000</v>
      </c>
      <c r="W16" s="18">
        <f t="shared" si="25"/>
        <v>0.18181818181818182</v>
      </c>
      <c r="X16" s="3">
        <v>4500</v>
      </c>
      <c r="Y16" s="3">
        <v>1</v>
      </c>
      <c r="Z16" s="3">
        <f>Y16/SIN(AB16/180*PI())</f>
        <v>1</v>
      </c>
      <c r="AA16" s="3">
        <f t="shared" ref="AA16:AA18" si="27">0.9*G16-(F16-H16)-I16</f>
        <v>374.40000000000003</v>
      </c>
      <c r="AB16" s="3">
        <v>90</v>
      </c>
      <c r="AC16" s="3">
        <v>30</v>
      </c>
      <c r="AD16" s="20">
        <v>388</v>
      </c>
      <c r="AE16" s="3" t="s">
        <v>46</v>
      </c>
      <c r="AF16" s="3">
        <f t="shared" si="4"/>
        <v>0.99024273574256538</v>
      </c>
      <c r="AG16" s="3">
        <f t="shared" si="5"/>
        <v>0.43906135993000239</v>
      </c>
      <c r="AH16" s="3">
        <f t="shared" si="0"/>
        <v>567.75175853017561</v>
      </c>
      <c r="AI16" s="3">
        <f t="shared" si="6"/>
        <v>0.78229176123662669</v>
      </c>
      <c r="AJ16" s="3">
        <f t="shared" si="7"/>
        <v>0.95860869548806915</v>
      </c>
      <c r="AK16" s="3">
        <f t="shared" si="8"/>
        <v>57.424495294517293</v>
      </c>
      <c r="AL16" s="3">
        <f t="shared" si="9"/>
        <v>0</v>
      </c>
      <c r="AM16" s="3">
        <f t="shared" si="10"/>
        <v>0.5</v>
      </c>
      <c r="AN16" s="3">
        <f t="shared" si="11"/>
        <v>196.04945454545455</v>
      </c>
      <c r="AO16" s="20">
        <f t="shared" si="12"/>
        <v>253.47394983997185</v>
      </c>
      <c r="AP16" s="3">
        <f t="shared" si="13"/>
        <v>316.84243729996479</v>
      </c>
      <c r="AQ16" s="3">
        <f t="shared" si="14"/>
        <v>1.2245834342975594</v>
      </c>
      <c r="AR16" s="1">
        <f t="shared" si="15"/>
        <v>71.780619118146618</v>
      </c>
      <c r="AS16" s="1">
        <f t="shared" si="16"/>
        <v>0</v>
      </c>
      <c r="AT16" s="1">
        <f t="shared" si="17"/>
        <v>245.06181818181818</v>
      </c>
      <c r="AU16" s="1">
        <f t="shared" si="18"/>
        <v>3600</v>
      </c>
    </row>
    <row r="17" spans="1:47" x14ac:dyDescent="0.25">
      <c r="A17" s="3">
        <v>14</v>
      </c>
      <c r="B17" s="17" t="s">
        <v>61</v>
      </c>
      <c r="C17" s="17" t="s">
        <v>62</v>
      </c>
      <c r="D17" s="3">
        <v>13.3</v>
      </c>
      <c r="E17" s="3">
        <v>250</v>
      </c>
      <c r="F17" s="3">
        <v>450</v>
      </c>
      <c r="G17" s="18">
        <v>400</v>
      </c>
      <c r="H17" s="3">
        <v>450</v>
      </c>
      <c r="I17" s="3">
        <v>0</v>
      </c>
      <c r="J17" s="3" t="s">
        <v>36</v>
      </c>
      <c r="K17" s="3">
        <v>1400</v>
      </c>
      <c r="L17" s="19">
        <f t="shared" si="26"/>
        <v>3.5</v>
      </c>
      <c r="M17" s="3" t="s">
        <v>18</v>
      </c>
      <c r="N17" s="3">
        <v>8</v>
      </c>
      <c r="O17" s="3">
        <v>400</v>
      </c>
      <c r="P17" s="18">
        <v>200000</v>
      </c>
      <c r="Q17" s="3">
        <v>500</v>
      </c>
      <c r="R17" s="3">
        <f t="shared" ref="R17:R18" si="28">100*2*3.1416*N17^2/4/O17/E17</f>
        <v>0.10053119999999999</v>
      </c>
      <c r="S17" s="3" t="s">
        <v>43</v>
      </c>
      <c r="T17" s="3" t="s">
        <v>45</v>
      </c>
      <c r="U17" s="3" t="s">
        <v>44</v>
      </c>
      <c r="V17" s="3">
        <v>390000</v>
      </c>
      <c r="W17" s="3">
        <v>0.22</v>
      </c>
      <c r="X17" s="3">
        <v>3000</v>
      </c>
      <c r="Y17" s="3">
        <v>50</v>
      </c>
      <c r="Z17" s="3">
        <v>100</v>
      </c>
      <c r="AA17" s="3">
        <f t="shared" si="27"/>
        <v>360</v>
      </c>
      <c r="AB17" s="3">
        <v>90</v>
      </c>
      <c r="AC17" s="3">
        <v>45</v>
      </c>
      <c r="AD17" s="20">
        <v>158.5</v>
      </c>
      <c r="AE17" s="3" t="s">
        <v>46</v>
      </c>
      <c r="AF17" s="3">
        <f t="shared" si="4"/>
        <v>1</v>
      </c>
      <c r="AG17" s="3">
        <f t="shared" si="5"/>
        <v>0.4</v>
      </c>
      <c r="AH17" s="3">
        <f t="shared" si="0"/>
        <v>321.83908045977012</v>
      </c>
      <c r="AI17" s="3">
        <f t="shared" si="6"/>
        <v>0.79</v>
      </c>
      <c r="AJ17" s="3">
        <f t="shared" si="7"/>
        <v>0.79</v>
      </c>
      <c r="AK17" s="3">
        <f t="shared" si="8"/>
        <v>63.2</v>
      </c>
      <c r="AL17" s="3">
        <f t="shared" si="9"/>
        <v>43.730969737969914</v>
      </c>
      <c r="AM17" s="3">
        <f t="shared" si="10"/>
        <v>0.5</v>
      </c>
      <c r="AN17" s="3">
        <f t="shared" si="11"/>
        <v>76.031999999999996</v>
      </c>
      <c r="AO17" s="20">
        <f t="shared" si="12"/>
        <v>182.9629697379699</v>
      </c>
      <c r="AP17" s="3">
        <f t="shared" si="13"/>
        <v>224.30548245743668</v>
      </c>
      <c r="AQ17" s="3">
        <f t="shared" si="14"/>
        <v>0.70662561727654749</v>
      </c>
      <c r="AR17" s="1">
        <f t="shared" si="15"/>
        <v>79</v>
      </c>
      <c r="AS17" s="1">
        <f t="shared" si="16"/>
        <v>50.265482457436683</v>
      </c>
      <c r="AT17" s="1">
        <f t="shared" si="17"/>
        <v>95.039999999999992</v>
      </c>
      <c r="AU17" s="1">
        <f t="shared" si="18"/>
        <v>2400</v>
      </c>
    </row>
    <row r="18" spans="1:47" x14ac:dyDescent="0.25">
      <c r="A18" s="3">
        <v>15</v>
      </c>
      <c r="C18" s="3" t="s">
        <v>63</v>
      </c>
      <c r="D18" s="3">
        <v>30.9</v>
      </c>
      <c r="E18" s="3">
        <v>76</v>
      </c>
      <c r="F18" s="3">
        <v>180</v>
      </c>
      <c r="G18" s="3">
        <v>155</v>
      </c>
      <c r="H18" s="3">
        <v>180</v>
      </c>
      <c r="I18" s="3">
        <v>0</v>
      </c>
      <c r="J18" s="3" t="s">
        <v>36</v>
      </c>
      <c r="K18" s="3">
        <v>450</v>
      </c>
      <c r="L18" s="19">
        <f t="shared" si="26"/>
        <v>2.903225806451613</v>
      </c>
      <c r="M18" s="3" t="s">
        <v>42</v>
      </c>
      <c r="N18" s="3">
        <v>4</v>
      </c>
      <c r="O18" s="3">
        <v>120</v>
      </c>
      <c r="P18" s="18">
        <v>200000</v>
      </c>
      <c r="Q18" s="18">
        <v>500</v>
      </c>
      <c r="R18" s="3">
        <f t="shared" si="28"/>
        <v>0.27557894736842103</v>
      </c>
      <c r="S18" s="3" t="s">
        <v>43</v>
      </c>
      <c r="T18" s="3" t="s">
        <v>45</v>
      </c>
      <c r="U18" s="3" t="s">
        <v>44</v>
      </c>
      <c r="V18" s="3">
        <v>235000</v>
      </c>
      <c r="W18" s="3">
        <v>0.11</v>
      </c>
      <c r="X18" s="3">
        <v>4200</v>
      </c>
      <c r="Y18" s="3">
        <v>20</v>
      </c>
      <c r="Z18" s="3">
        <v>60</v>
      </c>
      <c r="AA18" s="3">
        <f t="shared" si="27"/>
        <v>139.5</v>
      </c>
      <c r="AB18" s="3">
        <v>90</v>
      </c>
      <c r="AC18" s="3">
        <v>45</v>
      </c>
      <c r="AD18" s="20">
        <f>132.2/2</f>
        <v>66.099999999999994</v>
      </c>
      <c r="AE18" s="3">
        <f>50.7/2</f>
        <v>25.35</v>
      </c>
      <c r="AF18" s="3">
        <f t="shared" si="4"/>
        <v>1.2674536116974844</v>
      </c>
      <c r="AG18" s="3">
        <f t="shared" si="5"/>
        <v>0.4</v>
      </c>
      <c r="AH18" s="3">
        <f t="shared" si="0"/>
        <v>31.448275862068968</v>
      </c>
      <c r="AI18" s="3">
        <f t="shared" si="6"/>
        <v>1.0012883532410126</v>
      </c>
      <c r="AJ18" s="3">
        <f t="shared" si="7"/>
        <v>1.0745632611917091</v>
      </c>
      <c r="AK18" s="3">
        <f t="shared" si="8"/>
        <v>10.126684173470665</v>
      </c>
      <c r="AL18" s="3">
        <f t="shared" si="9"/>
        <v>14.121458977886121</v>
      </c>
      <c r="AM18" s="3">
        <f t="shared" si="10"/>
        <v>0.5</v>
      </c>
      <c r="AN18" s="3">
        <f t="shared" si="11"/>
        <v>13.749120000000001</v>
      </c>
      <c r="AO18" s="20">
        <f t="shared" si="12"/>
        <v>37.99726315135679</v>
      </c>
      <c r="AP18" s="3">
        <f t="shared" si="13"/>
        <v>46.076317260385601</v>
      </c>
      <c r="AQ18" s="3">
        <f t="shared" si="14"/>
        <v>1.4345764577159441</v>
      </c>
      <c r="AR18" s="1">
        <f t="shared" si="15"/>
        <v>12.658355216838331</v>
      </c>
      <c r="AS18" s="1">
        <f t="shared" si="16"/>
        <v>16.231562043547267</v>
      </c>
      <c r="AT18" s="1">
        <f t="shared" si="17"/>
        <v>17.186400000000003</v>
      </c>
      <c r="AU18" s="1">
        <f t="shared" si="18"/>
        <v>3360</v>
      </c>
    </row>
    <row r="19" spans="1:47" x14ac:dyDescent="0.25">
      <c r="A19" s="3">
        <v>16</v>
      </c>
      <c r="C19" s="3" t="s">
        <v>64</v>
      </c>
      <c r="D19" s="3">
        <v>30.9</v>
      </c>
      <c r="E19" s="3">
        <v>76</v>
      </c>
      <c r="F19" s="3">
        <v>180</v>
      </c>
      <c r="G19" s="3">
        <v>155</v>
      </c>
      <c r="H19" s="3">
        <v>180</v>
      </c>
      <c r="I19" s="3">
        <v>0</v>
      </c>
      <c r="J19" s="3" t="s">
        <v>36</v>
      </c>
      <c r="K19" s="3">
        <v>450</v>
      </c>
      <c r="L19" s="19">
        <f t="shared" ref="L19:L20" si="29">K19/G19</f>
        <v>2.903225806451613</v>
      </c>
      <c r="M19" s="3" t="s">
        <v>42</v>
      </c>
      <c r="N19" s="3">
        <v>4</v>
      </c>
      <c r="O19" s="3">
        <v>120</v>
      </c>
      <c r="P19" s="18">
        <v>200000</v>
      </c>
      <c r="Q19" s="18">
        <v>500</v>
      </c>
      <c r="R19" s="3">
        <f t="shared" ref="R19:R20" si="30">100*2*3.1416*N19^2/4/O19/E19</f>
        <v>0.27557894736842103</v>
      </c>
      <c r="S19" s="3" t="s">
        <v>43</v>
      </c>
      <c r="T19" s="3" t="s">
        <v>45</v>
      </c>
      <c r="U19" s="3" t="s">
        <v>44</v>
      </c>
      <c r="V19" s="3">
        <v>235000</v>
      </c>
      <c r="W19" s="3">
        <v>0.11</v>
      </c>
      <c r="X19" s="3">
        <v>4200</v>
      </c>
      <c r="Y19" s="3">
        <v>20</v>
      </c>
      <c r="Z19" s="3">
        <v>60</v>
      </c>
      <c r="AA19" s="3">
        <f t="shared" ref="AA19:AA20" si="31">0.9*G19-(F19-H19)-I19</f>
        <v>139.5</v>
      </c>
      <c r="AB19" s="3">
        <v>90</v>
      </c>
      <c r="AC19" s="3">
        <v>45</v>
      </c>
      <c r="AD19" s="20">
        <f>133.3/2</f>
        <v>66.650000000000006</v>
      </c>
      <c r="AE19" s="3">
        <f>51.8/2</f>
        <v>25.9</v>
      </c>
      <c r="AF19" s="3">
        <f t="shared" si="4"/>
        <v>1.2674536116974844</v>
      </c>
      <c r="AG19" s="3">
        <f t="shared" si="5"/>
        <v>0.4</v>
      </c>
      <c r="AH19" s="3">
        <f t="shared" si="0"/>
        <v>31.448275862068968</v>
      </c>
      <c r="AI19" s="3">
        <f t="shared" si="6"/>
        <v>1.0012883532410126</v>
      </c>
      <c r="AJ19" s="3">
        <f t="shared" si="7"/>
        <v>1.0745632611917091</v>
      </c>
      <c r="AK19" s="3">
        <f t="shared" si="8"/>
        <v>10.126684173470665</v>
      </c>
      <c r="AL19" s="3">
        <f t="shared" si="9"/>
        <v>14.121458977886121</v>
      </c>
      <c r="AM19" s="3">
        <f t="shared" si="10"/>
        <v>0.5</v>
      </c>
      <c r="AN19" s="3">
        <f t="shared" si="11"/>
        <v>13.749120000000001</v>
      </c>
      <c r="AO19" s="20">
        <f t="shared" si="12"/>
        <v>37.99726315135679</v>
      </c>
      <c r="AP19" s="3">
        <f t="shared" si="13"/>
        <v>46.076317260385601</v>
      </c>
      <c r="AQ19" s="3">
        <f t="shared" si="14"/>
        <v>1.446513175594065</v>
      </c>
      <c r="AR19" s="1">
        <f t="shared" si="15"/>
        <v>12.658355216838331</v>
      </c>
      <c r="AS19" s="1">
        <f t="shared" si="16"/>
        <v>16.231562043547267</v>
      </c>
      <c r="AT19" s="1">
        <f t="shared" si="17"/>
        <v>17.186400000000003</v>
      </c>
      <c r="AU19" s="1">
        <f t="shared" si="18"/>
        <v>3360</v>
      </c>
    </row>
    <row r="20" spans="1:47" x14ac:dyDescent="0.25">
      <c r="A20" s="3">
        <v>17</v>
      </c>
      <c r="B20" s="3" t="s">
        <v>69</v>
      </c>
      <c r="C20" s="3" t="s">
        <v>65</v>
      </c>
      <c r="D20" s="3">
        <v>30.9</v>
      </c>
      <c r="E20" s="3">
        <v>150</v>
      </c>
      <c r="F20" s="3">
        <v>360</v>
      </c>
      <c r="G20" s="3">
        <v>305</v>
      </c>
      <c r="H20" s="3">
        <v>360</v>
      </c>
      <c r="I20" s="3">
        <v>0</v>
      </c>
      <c r="J20" s="3" t="s">
        <v>36</v>
      </c>
      <c r="K20" s="3">
        <v>900</v>
      </c>
      <c r="L20" s="19">
        <f t="shared" si="29"/>
        <v>2.9508196721311477</v>
      </c>
      <c r="M20" s="3" t="s">
        <v>42</v>
      </c>
      <c r="N20" s="3">
        <v>6</v>
      </c>
      <c r="O20" s="3">
        <v>135</v>
      </c>
      <c r="P20" s="18">
        <v>200000</v>
      </c>
      <c r="Q20" s="18">
        <v>500</v>
      </c>
      <c r="R20" s="3">
        <f t="shared" si="30"/>
        <v>0.2792533333333333</v>
      </c>
      <c r="S20" s="3" t="s">
        <v>43</v>
      </c>
      <c r="T20" s="3" t="s">
        <v>45</v>
      </c>
      <c r="U20" s="3" t="s">
        <v>44</v>
      </c>
      <c r="V20" s="3">
        <v>235000</v>
      </c>
      <c r="W20" s="3">
        <v>0.22</v>
      </c>
      <c r="X20" s="3">
        <v>4200</v>
      </c>
      <c r="Y20" s="3">
        <v>40</v>
      </c>
      <c r="Z20" s="3">
        <v>120</v>
      </c>
      <c r="AA20" s="3">
        <f t="shared" si="31"/>
        <v>274.5</v>
      </c>
      <c r="AB20" s="3">
        <v>90</v>
      </c>
      <c r="AC20" s="3">
        <v>45</v>
      </c>
      <c r="AD20" s="20">
        <f>472.7/2</f>
        <v>236.35</v>
      </c>
      <c r="AE20" s="3">
        <f>173/2</f>
        <v>86.5</v>
      </c>
      <c r="AF20" s="3">
        <f t="shared" si="4"/>
        <v>1.0701386212205111</v>
      </c>
      <c r="AG20" s="3">
        <f t="shared" si="5"/>
        <v>0.4</v>
      </c>
      <c r="AH20" s="3">
        <f t="shared" si="0"/>
        <v>124.13793103448276</v>
      </c>
      <c r="AI20" s="3">
        <f t="shared" si="6"/>
        <v>0.84540951076420379</v>
      </c>
      <c r="AJ20" s="3">
        <f t="shared" si="7"/>
        <v>0.90727710752729074</v>
      </c>
      <c r="AK20" s="3">
        <f t="shared" si="8"/>
        <v>33.206342135498836</v>
      </c>
      <c r="AL20" s="3">
        <f t="shared" si="9"/>
        <v>55.574774042003448</v>
      </c>
      <c r="AM20" s="3">
        <f t="shared" si="10"/>
        <v>0.5</v>
      </c>
      <c r="AN20" s="3">
        <f t="shared" si="11"/>
        <v>54.109440000000006</v>
      </c>
      <c r="AO20" s="20">
        <f t="shared" si="12"/>
        <v>142.89055617750228</v>
      </c>
      <c r="AP20" s="3">
        <f t="shared" si="13"/>
        <v>173.02377829236602</v>
      </c>
      <c r="AQ20" s="3">
        <f t="shared" si="14"/>
        <v>1.3659972191835323</v>
      </c>
      <c r="AR20" s="1">
        <f t="shared" si="15"/>
        <v>41.507927669373544</v>
      </c>
      <c r="AS20" s="1">
        <f t="shared" si="16"/>
        <v>63.879050622992466</v>
      </c>
      <c r="AT20" s="1">
        <f t="shared" si="17"/>
        <v>67.636800000000008</v>
      </c>
      <c r="AU20" s="1">
        <f t="shared" si="18"/>
        <v>3360</v>
      </c>
    </row>
    <row r="21" spans="1:47" x14ac:dyDescent="0.25">
      <c r="A21" s="3">
        <v>18</v>
      </c>
      <c r="C21" s="3" t="s">
        <v>66</v>
      </c>
      <c r="D21" s="3">
        <v>30.9</v>
      </c>
      <c r="E21" s="3">
        <v>150</v>
      </c>
      <c r="F21" s="3">
        <v>360</v>
      </c>
      <c r="G21" s="3">
        <v>305</v>
      </c>
      <c r="H21" s="3">
        <v>360</v>
      </c>
      <c r="I21" s="3">
        <v>0</v>
      </c>
      <c r="J21" s="3" t="s">
        <v>36</v>
      </c>
      <c r="K21" s="3">
        <v>900</v>
      </c>
      <c r="L21" s="19">
        <f t="shared" ref="L21:L22" si="32">K21/G21</f>
        <v>2.9508196721311477</v>
      </c>
      <c r="M21" s="3" t="s">
        <v>42</v>
      </c>
      <c r="N21" s="3">
        <v>6</v>
      </c>
      <c r="O21" s="3">
        <v>135</v>
      </c>
      <c r="P21" s="18">
        <v>200000</v>
      </c>
      <c r="Q21" s="18">
        <v>500</v>
      </c>
      <c r="R21" s="3">
        <f t="shared" ref="R21:R22" si="33">100*2*3.1416*N21^2/4/O21/E21</f>
        <v>0.2792533333333333</v>
      </c>
      <c r="S21" s="3" t="s">
        <v>43</v>
      </c>
      <c r="T21" s="3" t="s">
        <v>45</v>
      </c>
      <c r="U21" s="3" t="s">
        <v>44</v>
      </c>
      <c r="V21" s="3">
        <v>235000</v>
      </c>
      <c r="W21" s="3">
        <v>0.22</v>
      </c>
      <c r="X21" s="3">
        <v>4200</v>
      </c>
      <c r="Y21" s="3">
        <v>40</v>
      </c>
      <c r="Z21" s="3">
        <v>120</v>
      </c>
      <c r="AA21" s="3">
        <f t="shared" ref="AA21:AA22" si="34">0.9*G21-(F21-H21)-I21</f>
        <v>274.5</v>
      </c>
      <c r="AB21" s="3">
        <v>90</v>
      </c>
      <c r="AC21" s="3">
        <v>45</v>
      </c>
      <c r="AD21" s="20">
        <f>500.6/2</f>
        <v>250.3</v>
      </c>
      <c r="AE21" s="3">
        <f>200.9/2</f>
        <v>100.45</v>
      </c>
      <c r="AF21" s="3">
        <f t="shared" si="4"/>
        <v>1.0701386212205111</v>
      </c>
      <c r="AG21" s="3">
        <f t="shared" si="5"/>
        <v>0.4</v>
      </c>
      <c r="AH21" s="3">
        <f t="shared" si="0"/>
        <v>124.13793103448276</v>
      </c>
      <c r="AI21" s="3">
        <f t="shared" si="6"/>
        <v>0.84540951076420379</v>
      </c>
      <c r="AJ21" s="3">
        <f t="shared" si="7"/>
        <v>0.90727710752729074</v>
      </c>
      <c r="AK21" s="3">
        <f t="shared" si="8"/>
        <v>33.206342135498836</v>
      </c>
      <c r="AL21" s="3">
        <f t="shared" si="9"/>
        <v>55.574774042003448</v>
      </c>
      <c r="AM21" s="3">
        <f t="shared" si="10"/>
        <v>0.5</v>
      </c>
      <c r="AN21" s="3">
        <f t="shared" si="11"/>
        <v>54.109440000000006</v>
      </c>
      <c r="AO21" s="20">
        <f t="shared" si="12"/>
        <v>142.89055617750228</v>
      </c>
      <c r="AP21" s="3">
        <f t="shared" si="13"/>
        <v>173.02377829236602</v>
      </c>
      <c r="AQ21" s="3">
        <f t="shared" si="14"/>
        <v>1.4466219757209144</v>
      </c>
      <c r="AR21" s="1">
        <f t="shared" si="15"/>
        <v>41.507927669373544</v>
      </c>
      <c r="AS21" s="1">
        <f t="shared" si="16"/>
        <v>63.879050622992466</v>
      </c>
      <c r="AT21" s="1">
        <f t="shared" si="17"/>
        <v>67.636800000000008</v>
      </c>
      <c r="AU21" s="1">
        <f t="shared" si="18"/>
        <v>3360</v>
      </c>
    </row>
    <row r="22" spans="1:47" x14ac:dyDescent="0.25">
      <c r="A22" s="3">
        <v>19</v>
      </c>
      <c r="C22" s="3" t="s">
        <v>67</v>
      </c>
      <c r="D22" s="3">
        <v>30.9</v>
      </c>
      <c r="E22" s="3">
        <v>300</v>
      </c>
      <c r="F22" s="3">
        <v>720</v>
      </c>
      <c r="G22" s="3">
        <v>660</v>
      </c>
      <c r="H22" s="3">
        <v>720</v>
      </c>
      <c r="I22" s="3">
        <v>0</v>
      </c>
      <c r="J22" s="3" t="s">
        <v>36</v>
      </c>
      <c r="K22" s="3">
        <v>1800</v>
      </c>
      <c r="L22" s="19">
        <f t="shared" si="32"/>
        <v>2.7272727272727271</v>
      </c>
      <c r="M22" s="3" t="s">
        <v>42</v>
      </c>
      <c r="N22" s="3">
        <v>8</v>
      </c>
      <c r="O22" s="3">
        <v>240</v>
      </c>
      <c r="P22" s="18">
        <v>200000</v>
      </c>
      <c r="Q22" s="18">
        <v>500</v>
      </c>
      <c r="R22" s="3">
        <f t="shared" si="33"/>
        <v>0.13962666666666665</v>
      </c>
      <c r="S22" s="3" t="s">
        <v>43</v>
      </c>
      <c r="T22" s="3" t="s">
        <v>45</v>
      </c>
      <c r="U22" s="3" t="s">
        <v>44</v>
      </c>
      <c r="V22" s="3">
        <v>235000</v>
      </c>
      <c r="W22" s="3">
        <v>0.44</v>
      </c>
      <c r="X22" s="3">
        <v>4200</v>
      </c>
      <c r="Y22" s="3">
        <v>80</v>
      </c>
      <c r="Z22" s="3">
        <v>240</v>
      </c>
      <c r="AA22" s="3">
        <f t="shared" si="34"/>
        <v>594</v>
      </c>
      <c r="AB22" s="3">
        <v>90</v>
      </c>
      <c r="AC22" s="3">
        <v>45</v>
      </c>
      <c r="AD22" s="20">
        <f>1743.1/2</f>
        <v>871.55</v>
      </c>
      <c r="AE22" s="3">
        <f>667.1/2</f>
        <v>333.55</v>
      </c>
      <c r="AF22" s="3">
        <f t="shared" si="4"/>
        <v>0.88232587186454126</v>
      </c>
      <c r="AG22" s="3">
        <f t="shared" si="5"/>
        <v>0.4</v>
      </c>
      <c r="AH22" s="3">
        <f t="shared" si="0"/>
        <v>496.55172413793105</v>
      </c>
      <c r="AI22" s="3">
        <f t="shared" si="6"/>
        <v>0.69703743877298763</v>
      </c>
      <c r="AJ22" s="3">
        <f t="shared" si="7"/>
        <v>0.74804707450774577</v>
      </c>
      <c r="AK22" s="3">
        <f t="shared" si="8"/>
        <v>118.49065660202695</v>
      </c>
      <c r="AL22" s="3">
        <f t="shared" si="9"/>
        <v>120.26016677941729</v>
      </c>
      <c r="AM22" s="3">
        <f t="shared" si="10"/>
        <v>0.5</v>
      </c>
      <c r="AN22" s="3">
        <f t="shared" si="11"/>
        <v>234.17856000000003</v>
      </c>
      <c r="AO22" s="20">
        <f t="shared" si="12"/>
        <v>472.92938338144427</v>
      </c>
      <c r="AP22" s="3">
        <f t="shared" si="13"/>
        <v>579.0665975104846</v>
      </c>
      <c r="AQ22" s="3">
        <f t="shared" si="14"/>
        <v>1.505094584538214</v>
      </c>
      <c r="AR22" s="1">
        <f t="shared" si="15"/>
        <v>148.1133207525337</v>
      </c>
      <c r="AS22" s="1">
        <f t="shared" si="16"/>
        <v>138.23007675795091</v>
      </c>
      <c r="AT22" s="1">
        <f t="shared" si="17"/>
        <v>292.72320000000002</v>
      </c>
      <c r="AU22" s="1">
        <f t="shared" si="18"/>
        <v>3360</v>
      </c>
    </row>
    <row r="23" spans="1:47" x14ac:dyDescent="0.25">
      <c r="A23" s="3">
        <v>20</v>
      </c>
      <c r="C23" s="3" t="s">
        <v>68</v>
      </c>
      <c r="D23" s="3">
        <v>30.9</v>
      </c>
      <c r="E23" s="3">
        <v>300</v>
      </c>
      <c r="F23" s="3">
        <v>720</v>
      </c>
      <c r="G23" s="3">
        <v>660</v>
      </c>
      <c r="H23" s="3">
        <v>720</v>
      </c>
      <c r="I23" s="3">
        <v>0</v>
      </c>
      <c r="J23" s="3" t="s">
        <v>36</v>
      </c>
      <c r="K23" s="3">
        <v>1800</v>
      </c>
      <c r="L23" s="19">
        <f t="shared" ref="L23:L24" si="35">K23/G23</f>
        <v>2.7272727272727271</v>
      </c>
      <c r="M23" s="3" t="s">
        <v>42</v>
      </c>
      <c r="N23" s="3">
        <v>8</v>
      </c>
      <c r="O23" s="3">
        <v>240</v>
      </c>
      <c r="P23" s="18">
        <v>200000</v>
      </c>
      <c r="Q23" s="18">
        <v>500</v>
      </c>
      <c r="R23" s="3">
        <f t="shared" ref="R23:R24" si="36">100*2*3.1416*N23^2/4/O23/E23</f>
        <v>0.13962666666666665</v>
      </c>
      <c r="S23" s="3" t="s">
        <v>43</v>
      </c>
      <c r="T23" s="3" t="s">
        <v>45</v>
      </c>
      <c r="U23" s="3" t="s">
        <v>44</v>
      </c>
      <c r="V23" s="3">
        <v>235000</v>
      </c>
      <c r="W23" s="3">
        <v>0.44</v>
      </c>
      <c r="X23" s="3">
        <v>4200</v>
      </c>
      <c r="Y23" s="3">
        <v>80</v>
      </c>
      <c r="Z23" s="3">
        <v>240</v>
      </c>
      <c r="AA23" s="3">
        <f t="shared" ref="AA23:AA24" si="37">0.9*G23-(F23-H23)-I23</f>
        <v>594</v>
      </c>
      <c r="AB23" s="3">
        <v>90</v>
      </c>
      <c r="AC23" s="3">
        <v>45</v>
      </c>
      <c r="AD23" s="20">
        <f>1762.3/2</f>
        <v>881.15</v>
      </c>
      <c r="AE23" s="3">
        <f>686.3/2</f>
        <v>343.15</v>
      </c>
      <c r="AF23" s="3">
        <f t="shared" si="4"/>
        <v>0.88232587186454126</v>
      </c>
      <c r="AG23" s="3">
        <f t="shared" si="5"/>
        <v>0.4</v>
      </c>
      <c r="AH23" s="3">
        <f t="shared" si="0"/>
        <v>496.55172413793105</v>
      </c>
      <c r="AI23" s="3">
        <f t="shared" si="6"/>
        <v>0.69703743877298763</v>
      </c>
      <c r="AJ23" s="3">
        <f t="shared" si="7"/>
        <v>0.74804707450774577</v>
      </c>
      <c r="AK23" s="3">
        <f t="shared" si="8"/>
        <v>118.49065660202695</v>
      </c>
      <c r="AL23" s="3">
        <f t="shared" si="9"/>
        <v>120.26016677941729</v>
      </c>
      <c r="AM23" s="3">
        <f t="shared" si="10"/>
        <v>0.5</v>
      </c>
      <c r="AN23" s="3">
        <f t="shared" si="11"/>
        <v>234.17856000000003</v>
      </c>
      <c r="AO23" s="20">
        <f t="shared" si="12"/>
        <v>472.92938338144427</v>
      </c>
      <c r="AP23" s="3">
        <f t="shared" si="13"/>
        <v>579.0665975104846</v>
      </c>
      <c r="AQ23" s="3">
        <f t="shared" si="14"/>
        <v>1.5216729885443718</v>
      </c>
      <c r="AR23" s="1">
        <f t="shared" si="15"/>
        <v>148.1133207525337</v>
      </c>
      <c r="AS23" s="1">
        <f t="shared" si="16"/>
        <v>138.23007675795091</v>
      </c>
      <c r="AT23" s="1">
        <f t="shared" si="17"/>
        <v>292.72320000000002</v>
      </c>
      <c r="AU23" s="1">
        <f t="shared" si="18"/>
        <v>3360</v>
      </c>
    </row>
    <row r="24" spans="1:47" x14ac:dyDescent="0.25">
      <c r="A24" s="3">
        <v>21</v>
      </c>
      <c r="B24" s="17"/>
      <c r="C24" s="17" t="s">
        <v>70</v>
      </c>
      <c r="D24" s="3">
        <v>41.03</v>
      </c>
      <c r="E24" s="3">
        <v>150</v>
      </c>
      <c r="F24" s="3">
        <v>350</v>
      </c>
      <c r="G24" s="18">
        <v>300</v>
      </c>
      <c r="H24" s="3">
        <v>350</v>
      </c>
      <c r="I24" s="3">
        <v>0</v>
      </c>
      <c r="J24" s="3" t="s">
        <v>36</v>
      </c>
      <c r="K24" s="3">
        <v>900</v>
      </c>
      <c r="L24" s="19">
        <f t="shared" si="35"/>
        <v>3</v>
      </c>
      <c r="M24" s="3" t="s">
        <v>42</v>
      </c>
      <c r="N24" s="3">
        <v>6</v>
      </c>
      <c r="O24" s="18">
        <v>160</v>
      </c>
      <c r="P24" s="18">
        <v>200000</v>
      </c>
      <c r="Q24" s="3">
        <v>494.5</v>
      </c>
      <c r="R24" s="3">
        <f t="shared" si="36"/>
        <v>0.23561999999999997</v>
      </c>
      <c r="S24" s="23" t="s">
        <v>56</v>
      </c>
      <c r="T24" s="3" t="s">
        <v>53</v>
      </c>
      <c r="U24" s="3" t="s">
        <v>44</v>
      </c>
      <c r="V24" s="3">
        <v>75900</v>
      </c>
      <c r="W24" s="3">
        <v>0.12</v>
      </c>
      <c r="X24" s="3">
        <v>3600</v>
      </c>
      <c r="Y24" s="3">
        <v>1</v>
      </c>
      <c r="Z24" s="3">
        <v>1</v>
      </c>
      <c r="AA24" s="3">
        <f t="shared" si="37"/>
        <v>270</v>
      </c>
      <c r="AB24" s="3">
        <v>90</v>
      </c>
      <c r="AC24" s="3">
        <v>45</v>
      </c>
      <c r="AD24" s="20">
        <v>242</v>
      </c>
      <c r="AE24" s="3" t="s">
        <v>46</v>
      </c>
      <c r="AF24" s="3">
        <f t="shared" si="4"/>
        <v>1.074569931823542</v>
      </c>
      <c r="AG24" s="3">
        <f t="shared" si="5"/>
        <v>0.40683752950307367</v>
      </c>
      <c r="AH24" s="3">
        <f t="shared" si="0"/>
        <v>127.66422947343759</v>
      </c>
      <c r="AI24" s="3">
        <f t="shared" si="6"/>
        <v>0.84891024614059818</v>
      </c>
      <c r="AJ24" s="3">
        <f t="shared" si="7"/>
        <v>1.0013416443210672</v>
      </c>
      <c r="AK24" s="3">
        <f t="shared" si="8"/>
        <v>36.048299195558421</v>
      </c>
      <c r="AL24" s="3">
        <f t="shared" si="9"/>
        <v>45.615159566914471</v>
      </c>
      <c r="AM24" s="3">
        <f t="shared" si="10"/>
        <v>0.5</v>
      </c>
      <c r="AN24" s="3">
        <f t="shared" si="11"/>
        <v>74.649600000000007</v>
      </c>
      <c r="AO24" s="20">
        <f t="shared" si="12"/>
        <v>156.31305876247291</v>
      </c>
      <c r="AP24" s="3">
        <f t="shared" si="13"/>
        <v>190.80359188745319</v>
      </c>
      <c r="AQ24" s="3">
        <f t="shared" si="14"/>
        <v>1.2683199388759168</v>
      </c>
      <c r="AR24" s="1">
        <f t="shared" si="15"/>
        <v>45.060373994448028</v>
      </c>
      <c r="AS24" s="1">
        <f t="shared" si="16"/>
        <v>52.43121789300514</v>
      </c>
      <c r="AT24" s="1">
        <f t="shared" si="17"/>
        <v>93.312000000000012</v>
      </c>
      <c r="AU24" s="1">
        <f t="shared" si="18"/>
        <v>2880</v>
      </c>
    </row>
    <row r="25" spans="1:47" x14ac:dyDescent="0.25">
      <c r="A25" s="3">
        <v>22</v>
      </c>
      <c r="B25" s="17" t="s">
        <v>74</v>
      </c>
      <c r="C25" s="17" t="s">
        <v>71</v>
      </c>
      <c r="D25" s="3">
        <v>41.03</v>
      </c>
      <c r="E25" s="3">
        <v>150</v>
      </c>
      <c r="F25" s="3">
        <v>350</v>
      </c>
      <c r="G25" s="18">
        <v>300</v>
      </c>
      <c r="H25" s="3">
        <v>350</v>
      </c>
      <c r="I25" s="3">
        <v>0</v>
      </c>
      <c r="J25" s="3" t="s">
        <v>36</v>
      </c>
      <c r="K25" s="3">
        <v>900</v>
      </c>
      <c r="L25" s="19">
        <f t="shared" ref="L25:L28" si="38">K25/G25</f>
        <v>3</v>
      </c>
      <c r="M25" s="3" t="s">
        <v>42</v>
      </c>
      <c r="N25" s="3">
        <v>6</v>
      </c>
      <c r="O25" s="18">
        <v>160</v>
      </c>
      <c r="P25" s="18">
        <v>200000</v>
      </c>
      <c r="Q25" s="3">
        <v>494.5</v>
      </c>
      <c r="R25" s="3">
        <f t="shared" ref="R25:R28" si="39">100*2*3.1416*N25^2/4/O25/E25</f>
        <v>0.23561999999999997</v>
      </c>
      <c r="S25" s="23" t="s">
        <v>56</v>
      </c>
      <c r="T25" s="3" t="s">
        <v>53</v>
      </c>
      <c r="U25" s="3" t="s">
        <v>44</v>
      </c>
      <c r="V25" s="3">
        <v>75900</v>
      </c>
      <c r="W25" s="3">
        <v>0.24</v>
      </c>
      <c r="X25" s="3">
        <v>3600</v>
      </c>
      <c r="Y25" s="3">
        <v>1</v>
      </c>
      <c r="Z25" s="3">
        <v>1</v>
      </c>
      <c r="AA25" s="3">
        <f t="shared" ref="AA25:AA28" si="40">0.9*G25-(F25-H25)-I25</f>
        <v>270</v>
      </c>
      <c r="AB25" s="3">
        <v>90</v>
      </c>
      <c r="AC25" s="3">
        <v>45</v>
      </c>
      <c r="AD25" s="20">
        <v>270</v>
      </c>
      <c r="AE25" s="3" t="s">
        <v>46</v>
      </c>
      <c r="AF25" s="3">
        <f t="shared" si="4"/>
        <v>1.074569931823542</v>
      </c>
      <c r="AG25" s="3">
        <f t="shared" si="5"/>
        <v>0.40683752950307367</v>
      </c>
      <c r="AH25" s="3">
        <f t="shared" si="0"/>
        <v>127.66422947343759</v>
      </c>
      <c r="AI25" s="3">
        <f t="shared" si="6"/>
        <v>0.84891024614059818</v>
      </c>
      <c r="AJ25" s="3">
        <f t="shared" si="7"/>
        <v>1.0013416443210672</v>
      </c>
      <c r="AK25" s="3">
        <f t="shared" si="8"/>
        <v>36.048299195558421</v>
      </c>
      <c r="AL25" s="3">
        <f t="shared" si="9"/>
        <v>45.615159566914471</v>
      </c>
      <c r="AM25" s="3">
        <f t="shared" si="10"/>
        <v>0.5</v>
      </c>
      <c r="AN25" s="3">
        <f t="shared" si="11"/>
        <v>149.29920000000001</v>
      </c>
      <c r="AO25" s="20">
        <f t="shared" si="12"/>
        <v>230.59679095772344</v>
      </c>
      <c r="AP25" s="3">
        <f t="shared" si="13"/>
        <v>284.11559188745321</v>
      </c>
      <c r="AQ25" s="3">
        <f t="shared" si="14"/>
        <v>0.95031743314867134</v>
      </c>
      <c r="AR25" s="1">
        <f t="shared" si="15"/>
        <v>45.060373994448028</v>
      </c>
      <c r="AS25" s="1">
        <f t="shared" si="16"/>
        <v>52.43121789300514</v>
      </c>
      <c r="AT25" s="1">
        <f t="shared" si="17"/>
        <v>186.62400000000002</v>
      </c>
      <c r="AU25" s="1">
        <f t="shared" si="18"/>
        <v>2880</v>
      </c>
    </row>
    <row r="26" spans="1:47" x14ac:dyDescent="0.25">
      <c r="A26" s="3">
        <v>23</v>
      </c>
      <c r="B26" s="17"/>
      <c r="C26" s="17" t="s">
        <v>72</v>
      </c>
      <c r="D26" s="3">
        <v>41.03</v>
      </c>
      <c r="E26" s="3">
        <v>150</v>
      </c>
      <c r="F26" s="3">
        <v>350</v>
      </c>
      <c r="G26" s="18">
        <v>300</v>
      </c>
      <c r="H26" s="3">
        <v>350</v>
      </c>
      <c r="I26" s="3">
        <v>0</v>
      </c>
      <c r="J26" s="3" t="s">
        <v>36</v>
      </c>
      <c r="K26" s="3">
        <v>900</v>
      </c>
      <c r="L26" s="19">
        <f t="shared" si="38"/>
        <v>3</v>
      </c>
      <c r="M26" s="3" t="s">
        <v>42</v>
      </c>
      <c r="N26" s="3">
        <v>6</v>
      </c>
      <c r="O26" s="18">
        <v>160</v>
      </c>
      <c r="P26" s="18">
        <v>200000</v>
      </c>
      <c r="Q26" s="3">
        <v>494.5</v>
      </c>
      <c r="R26" s="3">
        <f t="shared" si="39"/>
        <v>0.23561999999999997</v>
      </c>
      <c r="S26" s="23" t="s">
        <v>56</v>
      </c>
      <c r="T26" s="3" t="s">
        <v>53</v>
      </c>
      <c r="U26" s="3" t="s">
        <v>44</v>
      </c>
      <c r="V26" s="3">
        <v>75900</v>
      </c>
      <c r="W26" s="3">
        <v>0.36</v>
      </c>
      <c r="X26" s="3">
        <v>3600</v>
      </c>
      <c r="Y26" s="3">
        <v>1</v>
      </c>
      <c r="Z26" s="3">
        <v>1</v>
      </c>
      <c r="AA26" s="3">
        <f t="shared" si="40"/>
        <v>270</v>
      </c>
      <c r="AB26" s="3">
        <v>90</v>
      </c>
      <c r="AC26" s="3">
        <v>45</v>
      </c>
      <c r="AD26" s="20">
        <v>318</v>
      </c>
      <c r="AE26" s="3" t="s">
        <v>46</v>
      </c>
      <c r="AF26" s="3">
        <f t="shared" si="4"/>
        <v>1.074569931823542</v>
      </c>
      <c r="AG26" s="3">
        <f t="shared" si="5"/>
        <v>0.40683752950307367</v>
      </c>
      <c r="AH26" s="3">
        <f t="shared" si="0"/>
        <v>127.66422947343759</v>
      </c>
      <c r="AI26" s="3">
        <f t="shared" si="6"/>
        <v>0.84891024614059818</v>
      </c>
      <c r="AJ26" s="3">
        <f t="shared" si="7"/>
        <v>1.0013416443210672</v>
      </c>
      <c r="AK26" s="3">
        <f t="shared" si="8"/>
        <v>36.048299195558421</v>
      </c>
      <c r="AL26" s="3">
        <f t="shared" si="9"/>
        <v>45.615159566914471</v>
      </c>
      <c r="AM26" s="3">
        <f t="shared" si="10"/>
        <v>0.5</v>
      </c>
      <c r="AN26" s="3">
        <f t="shared" si="11"/>
        <v>223.94879999999998</v>
      </c>
      <c r="AO26" s="20">
        <f t="shared" si="12"/>
        <v>230.59679095772344</v>
      </c>
      <c r="AP26" s="3">
        <f t="shared" si="13"/>
        <v>288.2459886971543</v>
      </c>
      <c r="AQ26" s="3">
        <f t="shared" si="14"/>
        <v>1.1032243724789759</v>
      </c>
      <c r="AR26" s="1">
        <f t="shared" si="15"/>
        <v>45.060373994448028</v>
      </c>
      <c r="AS26" s="1">
        <f t="shared" si="16"/>
        <v>52.43121789300514</v>
      </c>
      <c r="AT26" s="1">
        <f t="shared" si="17"/>
        <v>279.93599999999998</v>
      </c>
      <c r="AU26" s="1">
        <f t="shared" si="18"/>
        <v>2880</v>
      </c>
    </row>
    <row r="27" spans="1:47" x14ac:dyDescent="0.25">
      <c r="A27" s="3">
        <v>24</v>
      </c>
      <c r="B27" s="17"/>
      <c r="C27" s="17" t="s">
        <v>73</v>
      </c>
      <c r="D27" s="3">
        <v>41.03</v>
      </c>
      <c r="E27" s="3">
        <v>150</v>
      </c>
      <c r="F27" s="3">
        <v>350</v>
      </c>
      <c r="G27" s="18">
        <v>300</v>
      </c>
      <c r="H27" s="3">
        <v>350</v>
      </c>
      <c r="I27" s="3">
        <v>0</v>
      </c>
      <c r="J27" s="3" t="s">
        <v>36</v>
      </c>
      <c r="K27" s="3">
        <v>900</v>
      </c>
      <c r="L27" s="19">
        <f t="shared" si="38"/>
        <v>3</v>
      </c>
      <c r="M27" s="3" t="s">
        <v>42</v>
      </c>
      <c r="N27" s="3">
        <v>6</v>
      </c>
      <c r="O27" s="18">
        <v>160</v>
      </c>
      <c r="P27" s="18">
        <v>200000</v>
      </c>
      <c r="Q27" s="3">
        <v>494.5</v>
      </c>
      <c r="R27" s="3">
        <f t="shared" si="39"/>
        <v>0.23561999999999997</v>
      </c>
      <c r="S27" s="23" t="s">
        <v>56</v>
      </c>
      <c r="T27" s="3" t="s">
        <v>53</v>
      </c>
      <c r="U27" s="3" t="s">
        <v>44</v>
      </c>
      <c r="V27" s="3">
        <v>75900</v>
      </c>
      <c r="W27" s="3">
        <v>0.36</v>
      </c>
      <c r="X27" s="3">
        <v>3600</v>
      </c>
      <c r="Y27" s="3">
        <v>1</v>
      </c>
      <c r="Z27" s="3">
        <v>1</v>
      </c>
      <c r="AA27" s="3">
        <f t="shared" si="40"/>
        <v>270</v>
      </c>
      <c r="AB27" s="3">
        <v>90</v>
      </c>
      <c r="AC27" s="3">
        <v>45</v>
      </c>
      <c r="AD27" s="20">
        <v>279</v>
      </c>
      <c r="AE27" s="3" t="s">
        <v>46</v>
      </c>
      <c r="AF27" s="3">
        <f t="shared" si="4"/>
        <v>1.074569931823542</v>
      </c>
      <c r="AG27" s="3">
        <f t="shared" si="5"/>
        <v>0.40683752950307367</v>
      </c>
      <c r="AH27" s="3">
        <f t="shared" si="0"/>
        <v>127.66422947343759</v>
      </c>
      <c r="AI27" s="3">
        <f t="shared" si="6"/>
        <v>0.84891024614059818</v>
      </c>
      <c r="AJ27" s="3">
        <f t="shared" si="7"/>
        <v>1.0013416443210672</v>
      </c>
      <c r="AK27" s="3">
        <f t="shared" si="8"/>
        <v>36.048299195558421</v>
      </c>
      <c r="AL27" s="3">
        <f t="shared" si="9"/>
        <v>45.615159566914471</v>
      </c>
      <c r="AM27" s="3">
        <f t="shared" si="10"/>
        <v>0.5</v>
      </c>
      <c r="AN27" s="3">
        <f t="shared" si="11"/>
        <v>223.94879999999998</v>
      </c>
      <c r="AO27" s="20">
        <f t="shared" si="12"/>
        <v>230.59679095772344</v>
      </c>
      <c r="AP27" s="3">
        <f t="shared" si="13"/>
        <v>288.2459886971543</v>
      </c>
      <c r="AQ27" s="3">
        <f t="shared" si="14"/>
        <v>0.96792327019381841</v>
      </c>
      <c r="AR27" s="1">
        <f t="shared" si="15"/>
        <v>45.060373994448028</v>
      </c>
      <c r="AS27" s="1">
        <f t="shared" si="16"/>
        <v>52.43121789300514</v>
      </c>
      <c r="AT27" s="1">
        <f t="shared" si="17"/>
        <v>279.93599999999998</v>
      </c>
      <c r="AU27" s="1">
        <f t="shared" si="18"/>
        <v>2880</v>
      </c>
    </row>
    <row r="28" spans="1:47" x14ac:dyDescent="0.25">
      <c r="A28" s="3">
        <v>25</v>
      </c>
      <c r="C28" s="3" t="s">
        <v>75</v>
      </c>
      <c r="D28" s="3">
        <v>24</v>
      </c>
      <c r="E28" s="3">
        <v>250</v>
      </c>
      <c r="F28" s="3">
        <v>420</v>
      </c>
      <c r="G28" s="3">
        <f>F28-58</f>
        <v>362</v>
      </c>
      <c r="H28" s="3">
        <v>420</v>
      </c>
      <c r="I28" s="3">
        <v>0</v>
      </c>
      <c r="J28" s="3" t="s">
        <v>36</v>
      </c>
      <c r="K28" s="3">
        <v>1360</v>
      </c>
      <c r="L28" s="19">
        <f t="shared" si="38"/>
        <v>3.7569060773480665</v>
      </c>
      <c r="M28" s="3" t="s">
        <v>42</v>
      </c>
      <c r="N28" s="3">
        <v>8</v>
      </c>
      <c r="O28" s="3">
        <v>380</v>
      </c>
      <c r="P28" s="18">
        <v>200000</v>
      </c>
      <c r="Q28" s="18">
        <v>430</v>
      </c>
      <c r="R28" s="3">
        <f t="shared" si="39"/>
        <v>0.10582231578947368</v>
      </c>
      <c r="S28" s="3" t="s">
        <v>43</v>
      </c>
      <c r="T28" s="3" t="s">
        <v>45</v>
      </c>
      <c r="U28" s="3" t="s">
        <v>44</v>
      </c>
      <c r="V28" s="3">
        <v>240000</v>
      </c>
      <c r="W28" s="3">
        <v>0.29299999999999998</v>
      </c>
      <c r="X28" s="3">
        <v>4000</v>
      </c>
      <c r="Y28" s="3">
        <v>300</v>
      </c>
      <c r="Z28" s="3">
        <v>500</v>
      </c>
      <c r="AA28" s="3">
        <f t="shared" si="40"/>
        <v>325.8</v>
      </c>
      <c r="AB28" s="3">
        <v>90</v>
      </c>
      <c r="AC28" s="3">
        <v>45</v>
      </c>
      <c r="AD28" s="20">
        <v>271</v>
      </c>
      <c r="AE28" s="3" t="s">
        <v>46</v>
      </c>
      <c r="AF28" s="3">
        <f t="shared" si="4"/>
        <v>1.0252690683207377</v>
      </c>
      <c r="AG28" s="3">
        <f t="shared" si="5"/>
        <v>0.4</v>
      </c>
      <c r="AH28" s="3">
        <f t="shared" si="0"/>
        <v>363.539160652232</v>
      </c>
      <c r="AI28" s="3">
        <f t="shared" si="6"/>
        <v>0.80996256397338284</v>
      </c>
      <c r="AJ28" s="3">
        <f t="shared" si="7"/>
        <v>0.80996256397338284</v>
      </c>
      <c r="AK28" s="3">
        <f t="shared" si="8"/>
        <v>58.641289631672919</v>
      </c>
      <c r="AL28" s="3">
        <f t="shared" si="9"/>
        <v>35.827172365328416</v>
      </c>
      <c r="AM28" s="3">
        <f t="shared" si="10"/>
        <v>0.5</v>
      </c>
      <c r="AN28" s="3">
        <f t="shared" si="11"/>
        <v>146.62563839999996</v>
      </c>
      <c r="AO28" s="20">
        <f t="shared" si="12"/>
        <v>241.09410039700128</v>
      </c>
      <c r="AP28" s="3">
        <f t="shared" si="13"/>
        <v>297.76431793077319</v>
      </c>
      <c r="AQ28" s="3">
        <f t="shared" si="14"/>
        <v>0.91011576498902202</v>
      </c>
      <c r="AR28" s="1">
        <f t="shared" si="15"/>
        <v>73.301612039591149</v>
      </c>
      <c r="AS28" s="1">
        <f t="shared" si="16"/>
        <v>41.180657891182086</v>
      </c>
      <c r="AT28" s="1">
        <f t="shared" si="17"/>
        <v>183.28204799999995</v>
      </c>
      <c r="AU28" s="1">
        <f t="shared" si="18"/>
        <v>3200</v>
      </c>
    </row>
    <row r="29" spans="1:47" x14ac:dyDescent="0.25">
      <c r="A29" s="3">
        <v>26</v>
      </c>
      <c r="B29" s="3" t="s">
        <v>79</v>
      </c>
      <c r="C29" s="3" t="s">
        <v>76</v>
      </c>
      <c r="D29" s="3">
        <v>24</v>
      </c>
      <c r="E29" s="3">
        <v>250</v>
      </c>
      <c r="F29" s="3">
        <v>420</v>
      </c>
      <c r="G29" s="3">
        <f>F29-58</f>
        <v>362</v>
      </c>
      <c r="H29" s="3">
        <v>420</v>
      </c>
      <c r="I29" s="3">
        <v>0</v>
      </c>
      <c r="J29" s="3" t="s">
        <v>36</v>
      </c>
      <c r="K29" s="3">
        <v>1150</v>
      </c>
      <c r="L29" s="19">
        <f t="shared" ref="L29" si="41">K29/G29</f>
        <v>3.1767955801104972</v>
      </c>
      <c r="M29" s="3" t="s">
        <v>42</v>
      </c>
      <c r="N29" s="3">
        <v>8</v>
      </c>
      <c r="O29" s="3">
        <v>380</v>
      </c>
      <c r="P29" s="18">
        <v>200000</v>
      </c>
      <c r="Q29" s="18">
        <v>430</v>
      </c>
      <c r="R29" s="3">
        <f t="shared" ref="R29" si="42">100*2*3.1416*N29^2/4/O29/E29</f>
        <v>0.10582231578947368</v>
      </c>
      <c r="S29" s="3" t="s">
        <v>43</v>
      </c>
      <c r="T29" s="3" t="s">
        <v>45</v>
      </c>
      <c r="U29" s="3" t="s">
        <v>44</v>
      </c>
      <c r="V29" s="3">
        <v>240000</v>
      </c>
      <c r="W29" s="3">
        <v>0.29299999999999998</v>
      </c>
      <c r="X29" s="3">
        <v>4000</v>
      </c>
      <c r="Y29" s="3">
        <v>300</v>
      </c>
      <c r="Z29" s="3">
        <v>500</v>
      </c>
      <c r="AA29" s="3">
        <f t="shared" ref="AA29" si="43">0.9*G29-(F29-H29)-I29</f>
        <v>325.8</v>
      </c>
      <c r="AB29" s="3">
        <v>90</v>
      </c>
      <c r="AC29" s="3">
        <v>45</v>
      </c>
      <c r="AD29" s="20">
        <v>271</v>
      </c>
      <c r="AE29" s="3" t="s">
        <v>46</v>
      </c>
      <c r="AF29" s="3">
        <f t="shared" si="4"/>
        <v>1.0252690683207377</v>
      </c>
      <c r="AG29" s="3">
        <f t="shared" si="5"/>
        <v>0.4</v>
      </c>
      <c r="AH29" s="3">
        <f t="shared" si="0"/>
        <v>307.4044373162256</v>
      </c>
      <c r="AI29" s="3">
        <f t="shared" si="6"/>
        <v>0.80996256397338284</v>
      </c>
      <c r="AJ29" s="3">
        <f t="shared" si="7"/>
        <v>0.80996256397338284</v>
      </c>
      <c r="AK29" s="3">
        <f t="shared" si="8"/>
        <v>58.641289631672919</v>
      </c>
      <c r="AL29" s="3">
        <f t="shared" si="9"/>
        <v>35.827172365328416</v>
      </c>
      <c r="AM29" s="3">
        <f t="shared" si="10"/>
        <v>0.5</v>
      </c>
      <c r="AN29" s="3">
        <f t="shared" si="11"/>
        <v>146.62563839999996</v>
      </c>
      <c r="AO29" s="20">
        <f t="shared" si="12"/>
        <v>241.09410039700128</v>
      </c>
      <c r="AP29" s="3">
        <f t="shared" si="13"/>
        <v>297.76431793077319</v>
      </c>
      <c r="AQ29" s="3">
        <f t="shared" si="14"/>
        <v>0.91011576498902202</v>
      </c>
      <c r="AR29" s="1">
        <f t="shared" si="15"/>
        <v>73.301612039591149</v>
      </c>
      <c r="AS29" s="1">
        <f t="shared" si="16"/>
        <v>41.180657891182086</v>
      </c>
      <c r="AT29" s="1">
        <f t="shared" si="17"/>
        <v>183.28204799999995</v>
      </c>
      <c r="AU29" s="1">
        <f t="shared" si="18"/>
        <v>3200</v>
      </c>
    </row>
    <row r="30" spans="1:47" x14ac:dyDescent="0.25">
      <c r="A30" s="3">
        <v>27</v>
      </c>
      <c r="C30" s="3" t="s">
        <v>77</v>
      </c>
      <c r="D30" s="3">
        <v>22.6</v>
      </c>
      <c r="E30" s="3">
        <v>250</v>
      </c>
      <c r="F30" s="3">
        <v>420</v>
      </c>
      <c r="G30" s="3">
        <f>F30-58</f>
        <v>362</v>
      </c>
      <c r="H30" s="3">
        <v>420</v>
      </c>
      <c r="I30" s="3">
        <v>0</v>
      </c>
      <c r="J30" s="3" t="s">
        <v>36</v>
      </c>
      <c r="K30" s="3">
        <v>1360</v>
      </c>
      <c r="L30" s="19">
        <f t="shared" ref="L30" si="44">K30/G30</f>
        <v>3.7569060773480665</v>
      </c>
      <c r="M30" s="3" t="s">
        <v>42</v>
      </c>
      <c r="N30" s="3">
        <v>8</v>
      </c>
      <c r="O30" s="3">
        <v>380</v>
      </c>
      <c r="P30" s="18">
        <v>200000</v>
      </c>
      <c r="Q30" s="18">
        <v>430</v>
      </c>
      <c r="R30" s="3">
        <f t="shared" ref="R30" si="45">100*2*3.1416*N30^2/4/O30/E30</f>
        <v>0.10582231578947368</v>
      </c>
      <c r="S30" s="3" t="s">
        <v>43</v>
      </c>
      <c r="T30" s="3" t="s">
        <v>45</v>
      </c>
      <c r="U30" s="3" t="s">
        <v>44</v>
      </c>
      <c r="V30" s="3">
        <v>227000</v>
      </c>
      <c r="W30" s="3">
        <v>0.16500000000000001</v>
      </c>
      <c r="X30" s="3">
        <v>3800</v>
      </c>
      <c r="Y30" s="3">
        <v>300</v>
      </c>
      <c r="Z30" s="3">
        <v>500</v>
      </c>
      <c r="AA30" s="3">
        <f t="shared" ref="AA30" si="46">0.9*G30-(F30-H30)-I30</f>
        <v>325.8</v>
      </c>
      <c r="AB30" s="3">
        <v>90</v>
      </c>
      <c r="AC30" s="3">
        <v>45</v>
      </c>
      <c r="AD30" s="20">
        <v>279</v>
      </c>
      <c r="AE30" s="3" t="s">
        <v>46</v>
      </c>
      <c r="AF30" s="3">
        <f t="shared" si="4"/>
        <v>1.0252690683207377</v>
      </c>
      <c r="AG30" s="3">
        <f t="shared" si="5"/>
        <v>0.4</v>
      </c>
      <c r="AH30" s="3">
        <f t="shared" si="0"/>
        <v>363.539160652232</v>
      </c>
      <c r="AI30" s="3">
        <f t="shared" si="6"/>
        <v>0.80996256397338284</v>
      </c>
      <c r="AJ30" s="3">
        <f t="shared" si="7"/>
        <v>0.80996256397338284</v>
      </c>
      <c r="AK30" s="3">
        <f t="shared" si="8"/>
        <v>58.641289631672919</v>
      </c>
      <c r="AL30" s="3">
        <f t="shared" si="9"/>
        <v>35.827172365328416</v>
      </c>
      <c r="AM30" s="3">
        <f t="shared" si="10"/>
        <v>0.5</v>
      </c>
      <c r="AN30" s="3">
        <f t="shared" si="11"/>
        <v>78.442214400000012</v>
      </c>
      <c r="AO30" s="20">
        <f t="shared" si="12"/>
        <v>172.91067639700134</v>
      </c>
      <c r="AP30" s="3">
        <f t="shared" si="13"/>
        <v>212.53503793077326</v>
      </c>
      <c r="AQ30" s="3">
        <f t="shared" si="14"/>
        <v>1.3127247286674475</v>
      </c>
      <c r="AR30" s="1">
        <f t="shared" si="15"/>
        <v>73.301612039591149</v>
      </c>
      <c r="AS30" s="1">
        <f t="shared" si="16"/>
        <v>41.180657891182086</v>
      </c>
      <c r="AT30" s="1">
        <f t="shared" si="17"/>
        <v>98.052768000000015</v>
      </c>
      <c r="AU30" s="1">
        <f t="shared" si="18"/>
        <v>3040</v>
      </c>
    </row>
    <row r="31" spans="1:47" x14ac:dyDescent="0.25">
      <c r="A31" s="3">
        <v>28</v>
      </c>
      <c r="C31" s="3" t="s">
        <v>78</v>
      </c>
      <c r="D31" s="3">
        <v>22.6</v>
      </c>
      <c r="E31" s="3">
        <v>250</v>
      </c>
      <c r="F31" s="3">
        <v>420</v>
      </c>
      <c r="G31" s="3">
        <f>F31-58</f>
        <v>362</v>
      </c>
      <c r="H31" s="3">
        <v>420</v>
      </c>
      <c r="I31" s="3">
        <v>0</v>
      </c>
      <c r="J31" s="3" t="s">
        <v>36</v>
      </c>
      <c r="K31" s="3">
        <v>1150</v>
      </c>
      <c r="L31" s="19">
        <f t="shared" ref="L31:L32" si="47">K31/G31</f>
        <v>3.1767955801104972</v>
      </c>
      <c r="M31" s="3" t="s">
        <v>42</v>
      </c>
      <c r="N31" s="3">
        <v>8</v>
      </c>
      <c r="O31" s="3">
        <v>380</v>
      </c>
      <c r="P31" s="18">
        <v>200000</v>
      </c>
      <c r="Q31" s="18">
        <v>430</v>
      </c>
      <c r="R31" s="3">
        <f t="shared" ref="R31:R32" si="48">100*2*3.1416*N31^2/4/O31/E31</f>
        <v>0.10582231578947368</v>
      </c>
      <c r="S31" s="3" t="s">
        <v>43</v>
      </c>
      <c r="T31" s="3" t="s">
        <v>45</v>
      </c>
      <c r="U31" s="3" t="s">
        <v>44</v>
      </c>
      <c r="V31" s="3">
        <v>227000</v>
      </c>
      <c r="W31" s="3">
        <v>0.16500000000000001</v>
      </c>
      <c r="X31" s="3">
        <v>3800</v>
      </c>
      <c r="Y31" s="3">
        <v>300</v>
      </c>
      <c r="Z31" s="3">
        <v>500</v>
      </c>
      <c r="AA31" s="3">
        <f t="shared" ref="AA31:AA35" si="49">0.9*G31-(F31-H31)-I31</f>
        <v>325.8</v>
      </c>
      <c r="AB31" s="3">
        <v>90</v>
      </c>
      <c r="AC31" s="3">
        <v>45</v>
      </c>
      <c r="AD31" s="20">
        <v>318</v>
      </c>
      <c r="AE31" s="3" t="s">
        <v>46</v>
      </c>
      <c r="AF31" s="3">
        <f t="shared" si="4"/>
        <v>1.0252690683207377</v>
      </c>
      <c r="AG31" s="3">
        <f t="shared" si="5"/>
        <v>0.4</v>
      </c>
      <c r="AH31" s="3">
        <f t="shared" si="0"/>
        <v>307.4044373162256</v>
      </c>
      <c r="AI31" s="3">
        <f t="shared" si="6"/>
        <v>0.80996256397338284</v>
      </c>
      <c r="AJ31" s="3">
        <f t="shared" si="7"/>
        <v>0.80996256397338284</v>
      </c>
      <c r="AK31" s="3">
        <f t="shared" si="8"/>
        <v>58.641289631672919</v>
      </c>
      <c r="AL31" s="3">
        <f t="shared" si="9"/>
        <v>35.827172365328416</v>
      </c>
      <c r="AM31" s="3">
        <f t="shared" si="10"/>
        <v>0.5</v>
      </c>
      <c r="AN31" s="3">
        <f t="shared" si="11"/>
        <v>78.442214400000012</v>
      </c>
      <c r="AO31" s="20">
        <f t="shared" si="12"/>
        <v>172.91067639700134</v>
      </c>
      <c r="AP31" s="3">
        <f t="shared" si="13"/>
        <v>212.53503793077326</v>
      </c>
      <c r="AQ31" s="3">
        <f t="shared" si="14"/>
        <v>1.4962238842876283</v>
      </c>
      <c r="AR31" s="1">
        <f t="shared" si="15"/>
        <v>73.301612039591149</v>
      </c>
      <c r="AS31" s="1">
        <f t="shared" si="16"/>
        <v>41.180657891182086</v>
      </c>
      <c r="AT31" s="1">
        <f t="shared" si="17"/>
        <v>98.052768000000015</v>
      </c>
      <c r="AU31" s="1">
        <f t="shared" si="18"/>
        <v>3040</v>
      </c>
    </row>
    <row r="32" spans="1:47" x14ac:dyDescent="0.25">
      <c r="A32" s="3">
        <v>29</v>
      </c>
      <c r="B32" s="17"/>
      <c r="C32" s="17">
        <v>6</v>
      </c>
      <c r="D32" s="3">
        <v>45.7</v>
      </c>
      <c r="E32" s="3">
        <v>150</v>
      </c>
      <c r="F32" s="3">
        <v>400</v>
      </c>
      <c r="G32" s="3">
        <v>355</v>
      </c>
      <c r="H32" s="3">
        <v>400</v>
      </c>
      <c r="I32" s="3">
        <v>0</v>
      </c>
      <c r="J32" s="3" t="s">
        <v>82</v>
      </c>
      <c r="K32" s="3">
        <v>1070</v>
      </c>
      <c r="L32" s="19">
        <f t="shared" si="47"/>
        <v>3.0140845070422535</v>
      </c>
      <c r="M32" s="3" t="s">
        <v>42</v>
      </c>
      <c r="N32" s="3">
        <v>4.2</v>
      </c>
      <c r="O32" s="3">
        <v>170</v>
      </c>
      <c r="P32" s="3">
        <f>771/4.34*1000</f>
        <v>177649.76958525347</v>
      </c>
      <c r="Q32" s="3">
        <v>771</v>
      </c>
      <c r="R32" s="3">
        <f t="shared" si="48"/>
        <v>0.10866240000000001</v>
      </c>
      <c r="S32" s="3" t="s">
        <v>43</v>
      </c>
      <c r="T32" s="3" t="s">
        <v>45</v>
      </c>
      <c r="U32" s="3" t="s">
        <v>44</v>
      </c>
      <c r="V32" s="18">
        <v>228000</v>
      </c>
      <c r="W32" s="18">
        <v>0.16500000000000001</v>
      </c>
      <c r="X32" s="18">
        <v>3790</v>
      </c>
      <c r="Y32" s="3">
        <v>150</v>
      </c>
      <c r="Z32" s="3">
        <v>230</v>
      </c>
      <c r="AA32" s="3">
        <f t="shared" si="49"/>
        <v>319.5</v>
      </c>
      <c r="AB32" s="3">
        <v>90</v>
      </c>
      <c r="AC32" s="3">
        <v>45</v>
      </c>
      <c r="AD32" s="20">
        <f>650/2</f>
        <v>325</v>
      </c>
      <c r="AE32" s="3">
        <f>AD32-372/2</f>
        <v>139</v>
      </c>
      <c r="AF32" s="3">
        <f t="shared" si="4"/>
        <v>1.0302862635542369</v>
      </c>
      <c r="AG32" s="3">
        <f t="shared" si="5"/>
        <v>0.4371503164990011</v>
      </c>
      <c r="AH32" s="3">
        <f t="shared" si="0"/>
        <v>104.60012492820144</v>
      </c>
      <c r="AI32" s="3">
        <f t="shared" si="6"/>
        <v>0.81392614820784714</v>
      </c>
      <c r="AJ32" s="3">
        <f t="shared" si="7"/>
        <v>0.99520007022291979</v>
      </c>
      <c r="AK32" s="3">
        <f t="shared" si="8"/>
        <v>42.395522991496385</v>
      </c>
      <c r="AL32" s="3">
        <f t="shared" si="9"/>
        <v>38.812491300072026</v>
      </c>
      <c r="AM32" s="3">
        <f t="shared" si="10"/>
        <v>0.5</v>
      </c>
      <c r="AN32" s="3">
        <f t="shared" si="11"/>
        <v>83.394500869565221</v>
      </c>
      <c r="AO32" s="20">
        <f t="shared" si="12"/>
        <v>164.60251516113362</v>
      </c>
      <c r="AP32" s="3">
        <f t="shared" si="13"/>
        <v>201.84958879192703</v>
      </c>
      <c r="AQ32" s="3">
        <f t="shared" si="14"/>
        <v>1.6101097948483825</v>
      </c>
      <c r="AR32" s="1">
        <f t="shared" si="15"/>
        <v>52.994403739370483</v>
      </c>
      <c r="AS32" s="1">
        <f t="shared" si="16"/>
        <v>44.612058965600028</v>
      </c>
      <c r="AT32" s="1">
        <f t="shared" si="17"/>
        <v>104.24312608695652</v>
      </c>
      <c r="AU32" s="1">
        <f t="shared" si="18"/>
        <v>3032</v>
      </c>
    </row>
    <row r="33" spans="1:47" x14ac:dyDescent="0.25">
      <c r="A33" s="3">
        <v>30</v>
      </c>
      <c r="B33" s="17" t="s">
        <v>80</v>
      </c>
      <c r="C33" s="17">
        <v>7</v>
      </c>
      <c r="D33" s="3">
        <v>45.8</v>
      </c>
      <c r="E33" s="3">
        <v>150</v>
      </c>
      <c r="F33" s="3">
        <v>400</v>
      </c>
      <c r="G33" s="3">
        <v>355</v>
      </c>
      <c r="H33" s="3">
        <v>400</v>
      </c>
      <c r="I33" s="3">
        <v>0</v>
      </c>
      <c r="J33" s="3" t="s">
        <v>82</v>
      </c>
      <c r="K33" s="3">
        <v>1070</v>
      </c>
      <c r="L33" s="19">
        <f t="shared" ref="L33:L34" si="50">K33/G33</f>
        <v>3.0140845070422535</v>
      </c>
      <c r="M33" s="3" t="s">
        <v>42</v>
      </c>
      <c r="N33" s="3">
        <v>4.2</v>
      </c>
      <c r="O33" s="3">
        <v>170</v>
      </c>
      <c r="P33" s="3">
        <f t="shared" ref="P33:P34" si="51">771/4.34*1000</f>
        <v>177649.76958525347</v>
      </c>
      <c r="Q33" s="3">
        <v>772</v>
      </c>
      <c r="R33" s="3">
        <f t="shared" ref="R33:R37" si="52">100*2*3.1416*N33^2/4/O33/E33</f>
        <v>0.10866240000000001</v>
      </c>
      <c r="S33" s="3" t="s">
        <v>43</v>
      </c>
      <c r="T33" s="3" t="s">
        <v>45</v>
      </c>
      <c r="U33" s="3" t="s">
        <v>44</v>
      </c>
      <c r="V33" s="18">
        <v>228000</v>
      </c>
      <c r="W33" s="18">
        <f>0.165*2</f>
        <v>0.33</v>
      </c>
      <c r="X33" s="18">
        <v>3790</v>
      </c>
      <c r="Y33" s="3">
        <v>150</v>
      </c>
      <c r="Z33" s="3">
        <v>230</v>
      </c>
      <c r="AA33" s="3">
        <f t="shared" si="49"/>
        <v>319.5</v>
      </c>
      <c r="AB33" s="3">
        <v>90</v>
      </c>
      <c r="AC33" s="3">
        <v>45</v>
      </c>
      <c r="AD33" s="20">
        <f>778/2</f>
        <v>389</v>
      </c>
      <c r="AE33" s="3">
        <f>AD33-372/2</f>
        <v>203</v>
      </c>
      <c r="AF33" s="3">
        <f t="shared" si="4"/>
        <v>1.0302862635542369</v>
      </c>
      <c r="AG33" s="3">
        <f t="shared" si="5"/>
        <v>0.4377877943163726</v>
      </c>
      <c r="AH33" s="3">
        <f t="shared" si="0"/>
        <v>104.61696889371954</v>
      </c>
      <c r="AI33" s="3">
        <f t="shared" si="6"/>
        <v>0.81392614820784714</v>
      </c>
      <c r="AJ33" s="3">
        <f t="shared" si="7"/>
        <v>0.99592543496239172</v>
      </c>
      <c r="AK33" s="3">
        <f t="shared" si="8"/>
        <v>42.426423529397887</v>
      </c>
      <c r="AL33" s="3">
        <f t="shared" si="9"/>
        <v>38.862831755714147</v>
      </c>
      <c r="AM33" s="3">
        <f t="shared" si="10"/>
        <v>0.5</v>
      </c>
      <c r="AN33" s="3">
        <f t="shared" si="11"/>
        <v>166.78900173913044</v>
      </c>
      <c r="AO33" s="20">
        <f t="shared" si="12"/>
        <v>248.07825702424248</v>
      </c>
      <c r="AP33" s="3">
        <f t="shared" si="13"/>
        <v>306.18920314395251</v>
      </c>
      <c r="AQ33" s="3">
        <f t="shared" si="14"/>
        <v>1.2704562930558809</v>
      </c>
      <c r="AR33" s="1">
        <f t="shared" si="15"/>
        <v>53.033029411747357</v>
      </c>
      <c r="AS33" s="1">
        <f t="shared" si="16"/>
        <v>44.669921558292124</v>
      </c>
      <c r="AT33" s="1">
        <f t="shared" si="17"/>
        <v>208.48625217391304</v>
      </c>
      <c r="AU33" s="1">
        <f t="shared" si="18"/>
        <v>3032</v>
      </c>
    </row>
    <row r="34" spans="1:47" x14ac:dyDescent="0.25">
      <c r="A34" s="3">
        <v>31</v>
      </c>
      <c r="B34" s="17" t="s">
        <v>81</v>
      </c>
      <c r="C34" s="17">
        <v>8</v>
      </c>
      <c r="D34" s="3">
        <v>46.6</v>
      </c>
      <c r="E34" s="3">
        <v>150</v>
      </c>
      <c r="F34" s="3">
        <v>400</v>
      </c>
      <c r="G34" s="3">
        <v>355</v>
      </c>
      <c r="H34" s="3">
        <v>400</v>
      </c>
      <c r="I34" s="3">
        <v>0</v>
      </c>
      <c r="J34" s="3" t="s">
        <v>82</v>
      </c>
      <c r="K34" s="3">
        <v>1070</v>
      </c>
      <c r="L34" s="19">
        <f t="shared" si="50"/>
        <v>3.0140845070422535</v>
      </c>
      <c r="M34" s="3" t="s">
        <v>42</v>
      </c>
      <c r="N34" s="3">
        <v>4.2</v>
      </c>
      <c r="O34" s="3">
        <v>170</v>
      </c>
      <c r="P34" s="3">
        <f t="shared" si="51"/>
        <v>177649.76958525347</v>
      </c>
      <c r="Q34" s="3">
        <v>773</v>
      </c>
      <c r="R34" s="3">
        <f t="shared" si="52"/>
        <v>0.10866240000000001</v>
      </c>
      <c r="S34" s="3" t="s">
        <v>43</v>
      </c>
      <c r="T34" s="3" t="s">
        <v>45</v>
      </c>
      <c r="U34" s="3" t="s">
        <v>44</v>
      </c>
      <c r="V34" s="18">
        <v>228000</v>
      </c>
      <c r="W34" s="18">
        <f>0.165*2</f>
        <v>0.33</v>
      </c>
      <c r="X34" s="18">
        <v>3790</v>
      </c>
      <c r="Y34" s="3">
        <v>150</v>
      </c>
      <c r="Z34" s="3">
        <v>230</v>
      </c>
      <c r="AA34" s="3">
        <f t="shared" si="49"/>
        <v>319.5</v>
      </c>
      <c r="AB34" s="3">
        <v>45</v>
      </c>
      <c r="AC34" s="3">
        <v>45</v>
      </c>
      <c r="AD34" s="20">
        <f>612/2</f>
        <v>306</v>
      </c>
      <c r="AE34" s="3">
        <f>AD34-372/2</f>
        <v>120</v>
      </c>
      <c r="AF34" s="3">
        <f t="shared" si="4"/>
        <v>1.0302862635542369</v>
      </c>
      <c r="AG34" s="3">
        <f t="shared" si="5"/>
        <v>0.44287103271434386</v>
      </c>
      <c r="AH34" s="3">
        <f t="shared" si="0"/>
        <v>105.69478632384973</v>
      </c>
      <c r="AI34" s="3">
        <f t="shared" si="6"/>
        <v>0.81392614820784714</v>
      </c>
      <c r="AJ34" s="3">
        <f t="shared" si="7"/>
        <v>1.0016906889138415</v>
      </c>
      <c r="AK34" s="3">
        <f t="shared" si="8"/>
        <v>42.672023347729649</v>
      </c>
      <c r="AL34" s="3">
        <f t="shared" si="9"/>
        <v>38.913172211356255</v>
      </c>
      <c r="AM34" s="3">
        <f t="shared" si="10"/>
        <v>0.5</v>
      </c>
      <c r="AN34" s="3">
        <f t="shared" si="11"/>
        <v>235.87526831414797</v>
      </c>
      <c r="AO34" s="20">
        <f t="shared" si="12"/>
        <v>290.80546074652727</v>
      </c>
      <c r="AP34" s="3">
        <f t="shared" si="13"/>
        <v>363.50682593315912</v>
      </c>
      <c r="AQ34" s="3">
        <f t="shared" si="14"/>
        <v>0.84179987326088523</v>
      </c>
      <c r="AR34" s="1">
        <f t="shared" si="15"/>
        <v>53.340029184662058</v>
      </c>
      <c r="AS34" s="1">
        <f t="shared" si="16"/>
        <v>44.727784150984199</v>
      </c>
      <c r="AT34" s="1">
        <f t="shared" si="17"/>
        <v>294.84408539268497</v>
      </c>
      <c r="AU34" s="1">
        <f t="shared" si="18"/>
        <v>3032</v>
      </c>
    </row>
    <row r="35" spans="1:47" x14ac:dyDescent="0.25">
      <c r="A35" s="3">
        <v>32</v>
      </c>
      <c r="C35" s="3" t="s">
        <v>83</v>
      </c>
      <c r="D35" s="3">
        <v>35.1</v>
      </c>
      <c r="E35" s="3">
        <v>125</v>
      </c>
      <c r="F35" s="3">
        <v>200</v>
      </c>
      <c r="G35" s="3">
        <v>165</v>
      </c>
      <c r="H35" s="3">
        <v>200</v>
      </c>
      <c r="I35" s="3">
        <v>0</v>
      </c>
      <c r="J35" s="3" t="s">
        <v>36</v>
      </c>
      <c r="K35" s="3">
        <f t="shared" ref="K35:K56" si="53">L35*G35</f>
        <v>495</v>
      </c>
      <c r="L35" s="19">
        <v>3</v>
      </c>
      <c r="M35" s="3" t="s">
        <v>46</v>
      </c>
      <c r="N35" s="3">
        <v>0</v>
      </c>
      <c r="S35" s="3" t="s">
        <v>43</v>
      </c>
      <c r="T35" s="3" t="s">
        <v>45</v>
      </c>
      <c r="U35" s="3" t="s">
        <v>44</v>
      </c>
      <c r="V35" s="3">
        <v>230000</v>
      </c>
      <c r="W35" s="3">
        <v>0.11</v>
      </c>
      <c r="X35" s="3">
        <v>3480</v>
      </c>
      <c r="Y35" s="3">
        <v>20</v>
      </c>
      <c r="Z35" s="3">
        <v>100</v>
      </c>
      <c r="AA35" s="3">
        <f t="shared" si="49"/>
        <v>148.5</v>
      </c>
      <c r="AB35" s="3">
        <v>90</v>
      </c>
      <c r="AC35" s="3">
        <v>45</v>
      </c>
      <c r="AD35" s="20">
        <f>128.1/2</f>
        <v>64.05</v>
      </c>
      <c r="AE35" s="3" t="s">
        <v>46</v>
      </c>
      <c r="AF35" s="3">
        <f t="shared" si="4"/>
        <v>1.2477972144234999</v>
      </c>
      <c r="AG35" s="3">
        <f t="shared" si="5"/>
        <v>0.4</v>
      </c>
      <c r="AH35" s="3">
        <f t="shared" si="0"/>
        <v>142.24137931034483</v>
      </c>
      <c r="AI35" s="3">
        <f t="shared" si="6"/>
        <v>0.98575979939456493</v>
      </c>
      <c r="AJ35" s="3">
        <f t="shared" si="7"/>
        <v>1.1038078347546441</v>
      </c>
      <c r="AK35" s="3">
        <f t="shared" si="8"/>
        <v>18.212829273451625</v>
      </c>
      <c r="AL35" s="3">
        <f t="shared" si="9"/>
        <v>0</v>
      </c>
      <c r="AM35" s="3">
        <f t="shared" si="10"/>
        <v>0.5</v>
      </c>
      <c r="AN35" s="3">
        <f t="shared" si="11"/>
        <v>7.2762623999999994</v>
      </c>
      <c r="AO35" s="20">
        <f t="shared" si="12"/>
        <v>25.489091673451625</v>
      </c>
      <c r="AP35" s="3">
        <f t="shared" si="13"/>
        <v>31.861364591814532</v>
      </c>
      <c r="AQ35" s="3">
        <f t="shared" si="14"/>
        <v>2.0102717137374277</v>
      </c>
      <c r="AR35" s="1">
        <f t="shared" si="15"/>
        <v>22.766036591814533</v>
      </c>
      <c r="AS35" s="1">
        <f t="shared" si="16"/>
        <v>0</v>
      </c>
      <c r="AT35" s="1">
        <f t="shared" si="17"/>
        <v>9.0953279999999985</v>
      </c>
      <c r="AU35" s="1">
        <f t="shared" si="18"/>
        <v>2784</v>
      </c>
    </row>
    <row r="36" spans="1:47" x14ac:dyDescent="0.25">
      <c r="A36" s="3">
        <v>33</v>
      </c>
      <c r="C36" s="3" t="s">
        <v>84</v>
      </c>
      <c r="D36" s="3">
        <v>32.4</v>
      </c>
      <c r="E36" s="3">
        <v>125</v>
      </c>
      <c r="F36" s="3">
        <v>200</v>
      </c>
      <c r="G36" s="3">
        <v>165</v>
      </c>
      <c r="H36" s="3">
        <v>200</v>
      </c>
      <c r="I36" s="3">
        <v>0</v>
      </c>
      <c r="J36" s="3" t="s">
        <v>36</v>
      </c>
      <c r="K36" s="3">
        <f t="shared" si="53"/>
        <v>495</v>
      </c>
      <c r="L36" s="19">
        <v>3</v>
      </c>
      <c r="M36" s="3" t="s">
        <v>46</v>
      </c>
      <c r="N36" s="3">
        <v>0</v>
      </c>
      <c r="S36" s="3" t="s">
        <v>43</v>
      </c>
      <c r="T36" s="3" t="s">
        <v>45</v>
      </c>
      <c r="U36" s="3" t="s">
        <v>44</v>
      </c>
      <c r="V36" s="3">
        <v>230000</v>
      </c>
      <c r="W36" s="3">
        <v>0.11</v>
      </c>
      <c r="X36" s="3">
        <v>3480</v>
      </c>
      <c r="Y36" s="3">
        <v>50</v>
      </c>
      <c r="Z36" s="3">
        <v>100</v>
      </c>
      <c r="AA36" s="3">
        <f t="shared" ref="AA36:AA37" si="54">0.9*G36-(F36-H36)-I36</f>
        <v>148.5</v>
      </c>
      <c r="AB36" s="3">
        <v>90</v>
      </c>
      <c r="AC36" s="3">
        <v>45</v>
      </c>
      <c r="AD36" s="20">
        <f>186.7/2</f>
        <v>93.35</v>
      </c>
      <c r="AE36" s="3" t="s">
        <v>46</v>
      </c>
      <c r="AF36" s="3">
        <f t="shared" si="4"/>
        <v>1.2477972144234999</v>
      </c>
      <c r="AG36" s="3">
        <f t="shared" si="5"/>
        <v>0.4</v>
      </c>
      <c r="AH36" s="3">
        <f t="shared" si="0"/>
        <v>142.24137931034483</v>
      </c>
      <c r="AI36" s="3">
        <f t="shared" si="6"/>
        <v>0.98575979939456493</v>
      </c>
      <c r="AJ36" s="3">
        <f t="shared" si="7"/>
        <v>1.0747466586395658</v>
      </c>
      <c r="AK36" s="3">
        <f t="shared" si="8"/>
        <v>17.733319867552833</v>
      </c>
      <c r="AL36" s="3">
        <f t="shared" si="9"/>
        <v>0</v>
      </c>
      <c r="AM36" s="3">
        <f t="shared" si="10"/>
        <v>0.5</v>
      </c>
      <c r="AN36" s="3">
        <f t="shared" si="11"/>
        <v>18.190656000000004</v>
      </c>
      <c r="AO36" s="20">
        <f t="shared" si="12"/>
        <v>35.923975867552841</v>
      </c>
      <c r="AP36" s="3">
        <f t="shared" si="13"/>
        <v>44.904969834441047</v>
      </c>
      <c r="AQ36" s="3">
        <f t="shared" si="14"/>
        <v>2.0788344885692975</v>
      </c>
      <c r="AR36" s="1">
        <f t="shared" si="15"/>
        <v>22.166649834441042</v>
      </c>
      <c r="AS36" s="1">
        <f t="shared" si="16"/>
        <v>0</v>
      </c>
      <c r="AT36" s="1">
        <f t="shared" si="17"/>
        <v>22.738320000000005</v>
      </c>
      <c r="AU36" s="1">
        <f t="shared" si="18"/>
        <v>2784</v>
      </c>
    </row>
    <row r="37" spans="1:47" x14ac:dyDescent="0.25">
      <c r="A37" s="3">
        <v>34</v>
      </c>
      <c r="B37" s="3" t="s">
        <v>89</v>
      </c>
      <c r="C37" s="3" t="s">
        <v>85</v>
      </c>
      <c r="D37" s="3">
        <v>35</v>
      </c>
      <c r="E37" s="3">
        <v>125</v>
      </c>
      <c r="F37" s="3">
        <v>200</v>
      </c>
      <c r="G37" s="3">
        <v>165</v>
      </c>
      <c r="H37" s="3">
        <v>200</v>
      </c>
      <c r="I37" s="3">
        <v>0</v>
      </c>
      <c r="J37" s="3" t="s">
        <v>36</v>
      </c>
      <c r="K37" s="3">
        <f t="shared" si="53"/>
        <v>445.50000000000006</v>
      </c>
      <c r="L37" s="19">
        <v>2.7</v>
      </c>
      <c r="M37" s="3" t="s">
        <v>18</v>
      </c>
      <c r="N37" s="3">
        <v>6</v>
      </c>
      <c r="O37" s="3">
        <v>150</v>
      </c>
      <c r="P37" s="18">
        <v>200000</v>
      </c>
      <c r="Q37" s="3">
        <v>418</v>
      </c>
      <c r="R37" s="3">
        <f t="shared" si="52"/>
        <v>0.30159359999999996</v>
      </c>
      <c r="S37" s="3" t="s">
        <v>43</v>
      </c>
      <c r="T37" s="3" t="s">
        <v>45</v>
      </c>
      <c r="U37" s="3" t="s">
        <v>44</v>
      </c>
      <c r="V37" s="3">
        <v>230000</v>
      </c>
      <c r="W37" s="3">
        <v>0.11</v>
      </c>
      <c r="X37" s="3">
        <v>3480</v>
      </c>
      <c r="Y37" s="3">
        <v>20</v>
      </c>
      <c r="Z37" s="3">
        <v>100</v>
      </c>
      <c r="AA37" s="3">
        <f t="shared" si="54"/>
        <v>148.5</v>
      </c>
      <c r="AB37" s="3">
        <v>90</v>
      </c>
      <c r="AC37" s="3">
        <v>45</v>
      </c>
      <c r="AD37" s="20">
        <f>182.2/2</f>
        <v>91.1</v>
      </c>
      <c r="AE37" s="3" t="s">
        <v>46</v>
      </c>
      <c r="AF37" s="3">
        <f t="shared" si="4"/>
        <v>1.2477972144234999</v>
      </c>
      <c r="AG37" s="3">
        <f t="shared" si="5"/>
        <v>0.4</v>
      </c>
      <c r="AH37" s="3">
        <f t="shared" si="0"/>
        <v>61.252268602540838</v>
      </c>
      <c r="AI37" s="3">
        <f t="shared" si="6"/>
        <v>0.98575979939456493</v>
      </c>
      <c r="AJ37" s="3">
        <f t="shared" si="7"/>
        <v>1.1027585871310757</v>
      </c>
      <c r="AK37" s="3">
        <f t="shared" si="8"/>
        <v>18.195516687662749</v>
      </c>
      <c r="AL37" s="3">
        <f t="shared" si="9"/>
        <v>22.620937371208392</v>
      </c>
      <c r="AM37" s="3">
        <f t="shared" si="10"/>
        <v>0.5</v>
      </c>
      <c r="AN37" s="3">
        <f t="shared" si="11"/>
        <v>7.2762623999999994</v>
      </c>
      <c r="AO37" s="20">
        <f t="shared" si="12"/>
        <v>48.092716458871145</v>
      </c>
      <c r="AP37" s="3">
        <f t="shared" si="13"/>
        <v>57.840801297748996</v>
      </c>
      <c r="AQ37" s="3">
        <f t="shared" si="14"/>
        <v>1.5750127583994131</v>
      </c>
      <c r="AR37" s="1">
        <f t="shared" si="15"/>
        <v>22.744395859578436</v>
      </c>
      <c r="AS37" s="1">
        <f t="shared" si="16"/>
        <v>26.001077438170565</v>
      </c>
      <c r="AT37" s="1">
        <f t="shared" si="17"/>
        <v>9.0953279999999985</v>
      </c>
      <c r="AU37" s="1">
        <f t="shared" si="18"/>
        <v>2784</v>
      </c>
    </row>
    <row r="38" spans="1:47" x14ac:dyDescent="0.25">
      <c r="A38" s="3">
        <v>35</v>
      </c>
      <c r="C38" s="3" t="s">
        <v>86</v>
      </c>
      <c r="D38" s="3">
        <v>32.4</v>
      </c>
      <c r="E38" s="3">
        <v>125</v>
      </c>
      <c r="F38" s="3">
        <v>200</v>
      </c>
      <c r="G38" s="3">
        <v>165</v>
      </c>
      <c r="H38" s="3">
        <v>200</v>
      </c>
      <c r="I38" s="3">
        <v>0</v>
      </c>
      <c r="J38" s="3" t="s">
        <v>36</v>
      </c>
      <c r="K38" s="3">
        <f t="shared" si="53"/>
        <v>396</v>
      </c>
      <c r="L38" s="19">
        <v>2.4</v>
      </c>
      <c r="M38" s="3" t="s">
        <v>46</v>
      </c>
      <c r="N38" s="3">
        <v>0</v>
      </c>
      <c r="S38" s="3" t="s">
        <v>43</v>
      </c>
      <c r="T38" s="3" t="s">
        <v>45</v>
      </c>
      <c r="U38" s="3" t="s">
        <v>44</v>
      </c>
      <c r="V38" s="3">
        <v>230000</v>
      </c>
      <c r="W38" s="3">
        <v>0.11</v>
      </c>
      <c r="X38" s="3">
        <v>3480</v>
      </c>
      <c r="Y38" s="3">
        <v>20</v>
      </c>
      <c r="Z38" s="3">
        <v>100</v>
      </c>
      <c r="AA38" s="3">
        <f t="shared" ref="AA38" si="55">0.9*G38-(F38-H38)-I38</f>
        <v>148.5</v>
      </c>
      <c r="AB38" s="3">
        <v>90</v>
      </c>
      <c r="AC38" s="3">
        <v>45</v>
      </c>
      <c r="AD38" s="20">
        <f>125.5/2</f>
        <v>62.75</v>
      </c>
      <c r="AE38" s="3" t="s">
        <v>46</v>
      </c>
      <c r="AF38" s="3">
        <f t="shared" si="4"/>
        <v>1.2477972144234999</v>
      </c>
      <c r="AG38" s="3">
        <f t="shared" si="5"/>
        <v>0.4</v>
      </c>
      <c r="AH38" s="3">
        <f t="shared" si="0"/>
        <v>113.79310344827586</v>
      </c>
      <c r="AI38" s="3">
        <f t="shared" si="6"/>
        <v>0.98575979939456493</v>
      </c>
      <c r="AJ38" s="3">
        <f t="shared" si="7"/>
        <v>1.0747466586395658</v>
      </c>
      <c r="AK38" s="3">
        <f t="shared" si="8"/>
        <v>17.733319867552833</v>
      </c>
      <c r="AL38" s="3">
        <f t="shared" si="9"/>
        <v>0</v>
      </c>
      <c r="AM38" s="3">
        <f t="shared" si="10"/>
        <v>0.5</v>
      </c>
      <c r="AN38" s="3">
        <f t="shared" si="11"/>
        <v>7.2762623999999994</v>
      </c>
      <c r="AO38" s="20">
        <f t="shared" si="12"/>
        <v>25.009582267552833</v>
      </c>
      <c r="AP38" s="3">
        <f t="shared" si="13"/>
        <v>31.261977834441041</v>
      </c>
      <c r="AQ38" s="3">
        <f t="shared" si="14"/>
        <v>2.0072306471559482</v>
      </c>
      <c r="AR38" s="1">
        <f t="shared" si="15"/>
        <v>22.166649834441042</v>
      </c>
      <c r="AS38" s="1">
        <f t="shared" si="16"/>
        <v>0</v>
      </c>
      <c r="AT38" s="1">
        <f t="shared" si="17"/>
        <v>9.0953279999999985</v>
      </c>
      <c r="AU38" s="1">
        <f t="shared" si="18"/>
        <v>2784</v>
      </c>
    </row>
    <row r="39" spans="1:47" x14ac:dyDescent="0.25">
      <c r="A39" s="3">
        <v>36</v>
      </c>
      <c r="C39" s="3" t="s">
        <v>87</v>
      </c>
      <c r="D39" s="3">
        <v>32.4</v>
      </c>
      <c r="E39" s="3">
        <v>125</v>
      </c>
      <c r="F39" s="3">
        <v>200</v>
      </c>
      <c r="G39" s="3">
        <v>165</v>
      </c>
      <c r="H39" s="3">
        <v>200</v>
      </c>
      <c r="I39" s="3">
        <v>0</v>
      </c>
      <c r="J39" s="3" t="s">
        <v>36</v>
      </c>
      <c r="K39" s="3">
        <f t="shared" si="53"/>
        <v>297</v>
      </c>
      <c r="L39" s="21">
        <v>1.8</v>
      </c>
      <c r="M39" s="3" t="s">
        <v>46</v>
      </c>
      <c r="N39" s="3">
        <v>0</v>
      </c>
      <c r="S39" s="3" t="s">
        <v>43</v>
      </c>
      <c r="T39" s="3" t="s">
        <v>45</v>
      </c>
      <c r="U39" s="3" t="s">
        <v>44</v>
      </c>
      <c r="V39" s="3">
        <v>230000</v>
      </c>
      <c r="W39" s="3">
        <v>0.11</v>
      </c>
      <c r="X39" s="3">
        <v>3480</v>
      </c>
      <c r="Y39" s="3">
        <v>20</v>
      </c>
      <c r="Z39" s="3">
        <v>100</v>
      </c>
      <c r="AA39" s="3">
        <f t="shared" ref="AA39" si="56">0.9*G39-(F39-H39)-I39</f>
        <v>148.5</v>
      </c>
      <c r="AB39" s="3">
        <v>90</v>
      </c>
      <c r="AC39" s="3">
        <v>45</v>
      </c>
      <c r="AD39" s="20">
        <f>147.3/2</f>
        <v>73.650000000000006</v>
      </c>
      <c r="AE39" s="3" t="s">
        <v>46</v>
      </c>
      <c r="AF39" s="3">
        <f t="shared" si="4"/>
        <v>1.2477972144234999</v>
      </c>
      <c r="AG39" s="3">
        <f t="shared" si="5"/>
        <v>0.4</v>
      </c>
      <c r="AH39" s="3">
        <f t="shared" si="0"/>
        <v>85.34482758620689</v>
      </c>
      <c r="AI39" s="3">
        <f t="shared" si="6"/>
        <v>0.98575979939456493</v>
      </c>
      <c r="AJ39" s="3">
        <f t="shared" si="7"/>
        <v>1.0747466586395658</v>
      </c>
      <c r="AK39" s="3">
        <f t="shared" si="8"/>
        <v>17.733319867552833</v>
      </c>
      <c r="AL39" s="3">
        <f t="shared" si="9"/>
        <v>0</v>
      </c>
      <c r="AM39" s="3">
        <f t="shared" si="10"/>
        <v>0.5</v>
      </c>
      <c r="AN39" s="3">
        <f t="shared" si="11"/>
        <v>7.2762623999999994</v>
      </c>
      <c r="AO39" s="20">
        <f t="shared" si="12"/>
        <v>25.009582267552833</v>
      </c>
      <c r="AP39" s="3">
        <f t="shared" si="13"/>
        <v>31.261977834441041</v>
      </c>
      <c r="AQ39" s="3">
        <f t="shared" si="14"/>
        <v>2.3558970065822407</v>
      </c>
      <c r="AR39" s="1">
        <f t="shared" si="15"/>
        <v>22.166649834441042</v>
      </c>
      <c r="AS39" s="1">
        <f t="shared" si="16"/>
        <v>0</v>
      </c>
      <c r="AT39" s="1">
        <f t="shared" si="17"/>
        <v>9.0953279999999985</v>
      </c>
      <c r="AU39" s="1">
        <f t="shared" si="18"/>
        <v>2784</v>
      </c>
    </row>
    <row r="40" spans="1:47" x14ac:dyDescent="0.25">
      <c r="A40" s="3">
        <v>37</v>
      </c>
      <c r="C40" s="3" t="s">
        <v>88</v>
      </c>
      <c r="D40" s="3">
        <v>39.1</v>
      </c>
      <c r="E40" s="3">
        <v>125</v>
      </c>
      <c r="F40" s="3">
        <v>200</v>
      </c>
      <c r="G40" s="3">
        <v>165</v>
      </c>
      <c r="H40" s="3">
        <v>200</v>
      </c>
      <c r="I40" s="3">
        <v>0</v>
      </c>
      <c r="J40" s="3" t="s">
        <v>36</v>
      </c>
      <c r="K40" s="3">
        <f t="shared" si="53"/>
        <v>330</v>
      </c>
      <c r="L40" s="19">
        <v>2</v>
      </c>
      <c r="M40" s="3" t="s">
        <v>46</v>
      </c>
      <c r="N40" s="3">
        <v>0</v>
      </c>
      <c r="S40" s="3" t="s">
        <v>43</v>
      </c>
      <c r="T40" s="3" t="s">
        <v>45</v>
      </c>
      <c r="U40" s="3" t="s">
        <v>44</v>
      </c>
      <c r="V40" s="3">
        <v>230000</v>
      </c>
      <c r="W40" s="3">
        <v>0.11</v>
      </c>
      <c r="X40" s="3">
        <v>3480</v>
      </c>
      <c r="Y40" s="3">
        <v>50</v>
      </c>
      <c r="Z40" s="3">
        <v>100</v>
      </c>
      <c r="AA40" s="3">
        <f t="shared" ref="AA40:AA56" si="57">0.9*G40-(F40-H40)-I40</f>
        <v>148.5</v>
      </c>
      <c r="AB40" s="3">
        <v>90</v>
      </c>
      <c r="AC40" s="3">
        <v>45</v>
      </c>
      <c r="AD40" s="20">
        <f>186.2/2</f>
        <v>93.1</v>
      </c>
      <c r="AE40" s="3" t="s">
        <v>46</v>
      </c>
      <c r="AF40" s="3">
        <f t="shared" si="4"/>
        <v>1.2477972144234999</v>
      </c>
      <c r="AG40" s="3">
        <f t="shared" si="5"/>
        <v>0.4</v>
      </c>
      <c r="AH40" s="3">
        <f t="shared" si="0"/>
        <v>94.827586206896555</v>
      </c>
      <c r="AI40" s="3">
        <f t="shared" si="6"/>
        <v>0.98575979939456493</v>
      </c>
      <c r="AJ40" s="3">
        <f t="shared" si="7"/>
        <v>1.1442388416375897</v>
      </c>
      <c r="AK40" s="3">
        <f t="shared" si="8"/>
        <v>18.879940887020233</v>
      </c>
      <c r="AL40" s="3">
        <f t="shared" si="9"/>
        <v>0</v>
      </c>
      <c r="AM40" s="3">
        <f t="shared" si="10"/>
        <v>0.5</v>
      </c>
      <c r="AN40" s="3">
        <f t="shared" si="11"/>
        <v>18.190656000000004</v>
      </c>
      <c r="AO40" s="20">
        <f t="shared" si="12"/>
        <v>37.070596887020237</v>
      </c>
      <c r="AP40" s="3">
        <f t="shared" si="13"/>
        <v>46.338246108775294</v>
      </c>
      <c r="AQ40" s="3">
        <f t="shared" si="14"/>
        <v>2.0091394866662684</v>
      </c>
      <c r="AR40" s="1">
        <f t="shared" si="15"/>
        <v>23.599926108775293</v>
      </c>
      <c r="AS40" s="1">
        <f t="shared" si="16"/>
        <v>0</v>
      </c>
      <c r="AT40" s="1">
        <f t="shared" si="17"/>
        <v>22.738320000000005</v>
      </c>
      <c r="AU40" s="1">
        <f t="shared" si="18"/>
        <v>2784</v>
      </c>
    </row>
    <row r="41" spans="1:47" x14ac:dyDescent="0.25">
      <c r="A41" s="3">
        <v>38</v>
      </c>
      <c r="B41" s="18"/>
      <c r="C41" s="18" t="s">
        <v>90</v>
      </c>
      <c r="D41" s="3">
        <v>43</v>
      </c>
      <c r="E41" s="3">
        <v>150</v>
      </c>
      <c r="F41" s="3">
        <v>300</v>
      </c>
      <c r="G41" s="3">
        <f>F41-28</f>
        <v>272</v>
      </c>
      <c r="H41" s="3">
        <f>F41</f>
        <v>300</v>
      </c>
      <c r="I41" s="3">
        <v>0</v>
      </c>
      <c r="J41" s="3" t="s">
        <v>36</v>
      </c>
      <c r="K41" s="3">
        <f t="shared" si="53"/>
        <v>799.68</v>
      </c>
      <c r="L41" s="19">
        <v>2.94</v>
      </c>
      <c r="M41" s="3" t="s">
        <v>46</v>
      </c>
      <c r="N41" s="3">
        <v>0</v>
      </c>
      <c r="S41" s="3" t="s">
        <v>52</v>
      </c>
      <c r="T41" s="3" t="s">
        <v>45</v>
      </c>
      <c r="U41" s="3" t="s">
        <v>44</v>
      </c>
      <c r="V41" s="3">
        <v>73000</v>
      </c>
      <c r="W41" s="3">
        <v>4.3999999999999997E-2</v>
      </c>
      <c r="X41" s="3">
        <v>2700</v>
      </c>
      <c r="Y41" s="3">
        <v>200</v>
      </c>
      <c r="Z41" s="3">
        <v>200</v>
      </c>
      <c r="AA41" s="3">
        <f t="shared" si="57"/>
        <v>244.8</v>
      </c>
      <c r="AB41" s="3">
        <v>90</v>
      </c>
      <c r="AC41" s="3">
        <v>45</v>
      </c>
      <c r="AD41" s="20">
        <v>91</v>
      </c>
      <c r="AE41" s="3" t="s">
        <v>46</v>
      </c>
      <c r="AF41" s="3">
        <f t="shared" si="4"/>
        <v>1.1012166567854234</v>
      </c>
      <c r="AG41" s="3">
        <f t="shared" si="5"/>
        <v>0.41975798604501968</v>
      </c>
      <c r="AH41" s="3">
        <f t="shared" si="0"/>
        <v>289.37247093144941</v>
      </c>
      <c r="AI41" s="3">
        <f t="shared" si="6"/>
        <v>0.86996115886048453</v>
      </c>
      <c r="AJ41" s="3">
        <f t="shared" si="7"/>
        <v>1.0423398588636501</v>
      </c>
      <c r="AK41" s="3">
        <f t="shared" si="8"/>
        <v>34.021972993309539</v>
      </c>
      <c r="AL41" s="3">
        <f t="shared" si="9"/>
        <v>0</v>
      </c>
      <c r="AM41" s="3">
        <f t="shared" si="10"/>
        <v>0.5</v>
      </c>
      <c r="AN41" s="3">
        <f t="shared" si="11"/>
        <v>18.612633600000002</v>
      </c>
      <c r="AO41" s="20">
        <f t="shared" si="12"/>
        <v>52.634606593309542</v>
      </c>
      <c r="AP41" s="3">
        <f t="shared" si="13"/>
        <v>65.79325824163692</v>
      </c>
      <c r="AQ41" s="3">
        <f t="shared" si="14"/>
        <v>1.3831204356195135</v>
      </c>
      <c r="AR41" s="1">
        <f t="shared" si="15"/>
        <v>42.527466241636922</v>
      </c>
      <c r="AS41" s="1">
        <f t="shared" si="16"/>
        <v>0</v>
      </c>
      <c r="AT41" s="1">
        <f t="shared" si="17"/>
        <v>23.265792000000005</v>
      </c>
      <c r="AU41" s="1">
        <f t="shared" si="18"/>
        <v>2160</v>
      </c>
    </row>
    <row r="42" spans="1:47" x14ac:dyDescent="0.25">
      <c r="A42" s="3">
        <v>39</v>
      </c>
      <c r="B42" s="18"/>
      <c r="C42" s="18" t="s">
        <v>91</v>
      </c>
      <c r="D42" s="3">
        <v>43</v>
      </c>
      <c r="E42" s="3">
        <v>150</v>
      </c>
      <c r="F42" s="3">
        <v>300</v>
      </c>
      <c r="G42" s="3">
        <f t="shared" ref="G42:G43" si="58">F42-28</f>
        <v>272</v>
      </c>
      <c r="H42" s="3">
        <f t="shared" ref="H42:H56" si="59">F42</f>
        <v>300</v>
      </c>
      <c r="I42" s="3">
        <v>0</v>
      </c>
      <c r="J42" s="3" t="s">
        <v>36</v>
      </c>
      <c r="K42" s="3">
        <f t="shared" si="53"/>
        <v>799.68</v>
      </c>
      <c r="L42" s="19">
        <v>2.94</v>
      </c>
      <c r="M42" s="3" t="s">
        <v>46</v>
      </c>
      <c r="N42" s="3">
        <v>0</v>
      </c>
      <c r="S42" s="3" t="s">
        <v>52</v>
      </c>
      <c r="T42" s="3" t="s">
        <v>45</v>
      </c>
      <c r="U42" s="3" t="s">
        <v>44</v>
      </c>
      <c r="V42" s="3">
        <v>73000</v>
      </c>
      <c r="W42" s="3">
        <v>4.3999999999999997E-2</v>
      </c>
      <c r="X42" s="3">
        <v>2700</v>
      </c>
      <c r="Y42" s="3">
        <v>100</v>
      </c>
      <c r="Z42" s="3">
        <v>200</v>
      </c>
      <c r="AA42" s="3">
        <f t="shared" si="57"/>
        <v>244.8</v>
      </c>
      <c r="AB42" s="3">
        <v>90</v>
      </c>
      <c r="AC42" s="3">
        <v>45</v>
      </c>
      <c r="AD42" s="20">
        <v>90</v>
      </c>
      <c r="AE42" s="3" t="s">
        <v>46</v>
      </c>
      <c r="AF42" s="3">
        <f t="shared" si="4"/>
        <v>1.1012166567854234</v>
      </c>
      <c r="AG42" s="3">
        <f t="shared" si="5"/>
        <v>0.41975798604501968</v>
      </c>
      <c r="AH42" s="3">
        <f t="shared" si="0"/>
        <v>289.37247093144941</v>
      </c>
      <c r="AI42" s="3">
        <f t="shared" si="6"/>
        <v>0.86996115886048453</v>
      </c>
      <c r="AJ42" s="3">
        <f t="shared" si="7"/>
        <v>1.0423398588636501</v>
      </c>
      <c r="AK42" s="3">
        <f t="shared" si="8"/>
        <v>34.021972993309539</v>
      </c>
      <c r="AL42" s="3">
        <f t="shared" si="9"/>
        <v>0</v>
      </c>
      <c r="AM42" s="3">
        <f t="shared" si="10"/>
        <v>0.5</v>
      </c>
      <c r="AN42" s="3">
        <f t="shared" si="11"/>
        <v>9.3063168000000012</v>
      </c>
      <c r="AO42" s="20">
        <f t="shared" si="12"/>
        <v>43.328289793309537</v>
      </c>
      <c r="AP42" s="3">
        <f t="shared" si="13"/>
        <v>54.160362241636925</v>
      </c>
      <c r="AQ42" s="3">
        <f t="shared" si="14"/>
        <v>1.6617318694890595</v>
      </c>
      <c r="AR42" s="1">
        <f t="shared" si="15"/>
        <v>42.527466241636922</v>
      </c>
      <c r="AS42" s="1">
        <f t="shared" si="16"/>
        <v>0</v>
      </c>
      <c r="AT42" s="1">
        <f t="shared" si="17"/>
        <v>11.632896000000002</v>
      </c>
      <c r="AU42" s="1">
        <f t="shared" si="18"/>
        <v>2160</v>
      </c>
    </row>
    <row r="43" spans="1:47" x14ac:dyDescent="0.25">
      <c r="A43" s="3">
        <v>40</v>
      </c>
      <c r="B43" s="18"/>
      <c r="C43" s="18" t="s">
        <v>92</v>
      </c>
      <c r="D43" s="3">
        <v>44.8</v>
      </c>
      <c r="E43" s="3">
        <v>150</v>
      </c>
      <c r="F43" s="3">
        <v>300</v>
      </c>
      <c r="G43" s="3">
        <f t="shared" si="58"/>
        <v>272</v>
      </c>
      <c r="H43" s="3">
        <f t="shared" si="59"/>
        <v>300</v>
      </c>
      <c r="I43" s="3">
        <v>0</v>
      </c>
      <c r="J43" s="3" t="s">
        <v>36</v>
      </c>
      <c r="K43" s="3">
        <f t="shared" si="53"/>
        <v>799.68</v>
      </c>
      <c r="L43" s="19">
        <v>2.94</v>
      </c>
      <c r="M43" s="3" t="s">
        <v>46</v>
      </c>
      <c r="N43" s="3">
        <v>0</v>
      </c>
      <c r="S43" s="3" t="s">
        <v>52</v>
      </c>
      <c r="T43" s="3" t="s">
        <v>45</v>
      </c>
      <c r="U43" s="3" t="s">
        <v>44</v>
      </c>
      <c r="V43" s="3">
        <v>73000</v>
      </c>
      <c r="W43" s="3">
        <v>8.7999999999999995E-2</v>
      </c>
      <c r="X43" s="3">
        <v>2700</v>
      </c>
      <c r="Y43" s="3">
        <v>200</v>
      </c>
      <c r="Z43" s="3">
        <v>200</v>
      </c>
      <c r="AA43" s="3">
        <f t="shared" si="57"/>
        <v>244.8</v>
      </c>
      <c r="AB43" s="3">
        <v>90</v>
      </c>
      <c r="AC43" s="3">
        <v>45</v>
      </c>
      <c r="AD43" s="20">
        <v>114</v>
      </c>
      <c r="AE43" s="3" t="s">
        <v>46</v>
      </c>
      <c r="AF43" s="3">
        <f t="shared" si="4"/>
        <v>1.1012166567854234</v>
      </c>
      <c r="AG43" s="3">
        <f t="shared" si="5"/>
        <v>0.43139191996413606</v>
      </c>
      <c r="AH43" s="3">
        <f t="shared" si="0"/>
        <v>297.39266427320717</v>
      </c>
      <c r="AI43" s="3">
        <f t="shared" si="6"/>
        <v>0.86996115886048453</v>
      </c>
      <c r="AJ43" s="3">
        <f t="shared" si="7"/>
        <v>1.0566857843823674</v>
      </c>
      <c r="AK43" s="3">
        <f t="shared" si="8"/>
        <v>34.490224002240474</v>
      </c>
      <c r="AL43" s="3">
        <f t="shared" si="9"/>
        <v>0</v>
      </c>
      <c r="AM43" s="3">
        <f t="shared" si="10"/>
        <v>0.5</v>
      </c>
      <c r="AN43" s="3">
        <f t="shared" si="11"/>
        <v>37.225267200000005</v>
      </c>
      <c r="AO43" s="20">
        <f t="shared" si="12"/>
        <v>71.715491202240486</v>
      </c>
      <c r="AP43" s="3">
        <f t="shared" si="13"/>
        <v>89.6443640028006</v>
      </c>
      <c r="AQ43" s="3">
        <f t="shared" si="14"/>
        <v>1.2716917707892768</v>
      </c>
      <c r="AR43" s="1">
        <f t="shared" si="15"/>
        <v>43.112780002800591</v>
      </c>
      <c r="AS43" s="1">
        <f t="shared" si="16"/>
        <v>0</v>
      </c>
      <c r="AT43" s="1">
        <f t="shared" si="17"/>
        <v>46.531584000000009</v>
      </c>
      <c r="AU43" s="1">
        <f t="shared" si="18"/>
        <v>2160</v>
      </c>
    </row>
    <row r="44" spans="1:47" x14ac:dyDescent="0.25">
      <c r="A44" s="3">
        <v>41</v>
      </c>
      <c r="B44" s="18"/>
      <c r="C44" s="18" t="s">
        <v>93</v>
      </c>
      <c r="D44" s="3">
        <v>40.5</v>
      </c>
      <c r="E44" s="3">
        <v>300</v>
      </c>
      <c r="F44" s="3">
        <v>300</v>
      </c>
      <c r="G44" s="3">
        <f>F44-43</f>
        <v>257</v>
      </c>
      <c r="H44" s="3">
        <f t="shared" si="59"/>
        <v>300</v>
      </c>
      <c r="I44" s="3">
        <v>0</v>
      </c>
      <c r="J44" s="3" t="s">
        <v>36</v>
      </c>
      <c r="K44" s="3">
        <f t="shared" si="53"/>
        <v>760.72</v>
      </c>
      <c r="L44" s="3">
        <v>2.96</v>
      </c>
      <c r="M44" s="3" t="s">
        <v>46</v>
      </c>
      <c r="N44" s="3">
        <v>0</v>
      </c>
      <c r="S44" s="3" t="s">
        <v>43</v>
      </c>
      <c r="T44" s="3" t="s">
        <v>45</v>
      </c>
      <c r="U44" s="3" t="s">
        <v>44</v>
      </c>
      <c r="V44" s="3">
        <v>244000</v>
      </c>
      <c r="W44" s="3">
        <v>0.111</v>
      </c>
      <c r="X44" s="3">
        <v>4200</v>
      </c>
      <c r="Y44" s="3">
        <v>200</v>
      </c>
      <c r="Z44" s="3">
        <v>200</v>
      </c>
      <c r="AA44" s="3">
        <f t="shared" si="57"/>
        <v>231.3</v>
      </c>
      <c r="AB44" s="3">
        <v>90</v>
      </c>
      <c r="AC44" s="3">
        <v>45</v>
      </c>
      <c r="AD44" s="20">
        <v>214</v>
      </c>
      <c r="AE44" s="3" t="s">
        <v>46</v>
      </c>
      <c r="AF44" s="3">
        <f t="shared" si="4"/>
        <v>1.1169448164988325</v>
      </c>
      <c r="AG44" s="3">
        <f t="shared" si="5"/>
        <v>0.40332642719014483</v>
      </c>
      <c r="AH44" s="3">
        <f t="shared" si="0"/>
        <v>528.99737877946029</v>
      </c>
      <c r="AI44" s="3">
        <f t="shared" si="6"/>
        <v>0.88238640503407773</v>
      </c>
      <c r="AJ44" s="3">
        <f t="shared" si="7"/>
        <v>1.03632779522257</v>
      </c>
      <c r="AK44" s="3">
        <f t="shared" si="8"/>
        <v>63.920698409328118</v>
      </c>
      <c r="AL44" s="3">
        <f t="shared" si="9"/>
        <v>0</v>
      </c>
      <c r="AM44" s="3">
        <f t="shared" si="10"/>
        <v>0.5</v>
      </c>
      <c r="AN44" s="3">
        <f t="shared" si="11"/>
        <v>69.012518400000005</v>
      </c>
      <c r="AO44" s="20">
        <f t="shared" si="12"/>
        <v>132.93321680932812</v>
      </c>
      <c r="AP44" s="3">
        <f t="shared" si="13"/>
        <v>166.16652101166017</v>
      </c>
      <c r="AQ44" s="3">
        <f t="shared" si="14"/>
        <v>1.2878647196626527</v>
      </c>
      <c r="AR44" s="1">
        <f t="shared" si="15"/>
        <v>79.900873011660153</v>
      </c>
      <c r="AS44" s="1">
        <f t="shared" si="16"/>
        <v>0</v>
      </c>
      <c r="AT44" s="1">
        <f t="shared" si="17"/>
        <v>86.265647999999999</v>
      </c>
      <c r="AU44" s="1">
        <f t="shared" si="18"/>
        <v>3360</v>
      </c>
    </row>
    <row r="45" spans="1:47" x14ac:dyDescent="0.25">
      <c r="A45" s="3">
        <v>42</v>
      </c>
      <c r="B45" s="18"/>
      <c r="C45" s="18" t="s">
        <v>94</v>
      </c>
      <c r="D45" s="3">
        <v>40.5</v>
      </c>
      <c r="E45" s="3">
        <v>300</v>
      </c>
      <c r="F45" s="3">
        <v>300</v>
      </c>
      <c r="G45" s="3">
        <f t="shared" ref="G45:G46" si="60">F45-43</f>
        <v>257</v>
      </c>
      <c r="H45" s="3">
        <f t="shared" si="59"/>
        <v>300</v>
      </c>
      <c r="I45" s="3">
        <v>0</v>
      </c>
      <c r="J45" s="3" t="s">
        <v>36</v>
      </c>
      <c r="K45" s="3">
        <f t="shared" si="53"/>
        <v>809.55</v>
      </c>
      <c r="L45" s="3">
        <v>3.15</v>
      </c>
      <c r="M45" s="3" t="s">
        <v>46</v>
      </c>
      <c r="N45" s="3">
        <v>0</v>
      </c>
      <c r="S45" s="3" t="s">
        <v>43</v>
      </c>
      <c r="T45" s="3" t="s">
        <v>45</v>
      </c>
      <c r="U45" s="3" t="s">
        <v>44</v>
      </c>
      <c r="V45" s="3">
        <v>244000</v>
      </c>
      <c r="W45" s="3">
        <v>0.111</v>
      </c>
      <c r="X45" s="3">
        <v>4200</v>
      </c>
      <c r="Y45" s="3">
        <v>100</v>
      </c>
      <c r="Z45" s="3">
        <v>200</v>
      </c>
      <c r="AA45" s="3">
        <f t="shared" si="57"/>
        <v>231.3</v>
      </c>
      <c r="AB45" s="3">
        <v>90</v>
      </c>
      <c r="AC45" s="3">
        <v>45</v>
      </c>
      <c r="AD45" s="20">
        <v>159</v>
      </c>
      <c r="AE45" s="3" t="s">
        <v>46</v>
      </c>
      <c r="AF45" s="3">
        <f t="shared" si="4"/>
        <v>1.1169448164988325</v>
      </c>
      <c r="AG45" s="3">
        <f t="shared" si="5"/>
        <v>0.40332642719014483</v>
      </c>
      <c r="AH45" s="3">
        <f t="shared" si="0"/>
        <v>562.95329160652022</v>
      </c>
      <c r="AI45" s="3">
        <f t="shared" si="6"/>
        <v>0.88238640503407773</v>
      </c>
      <c r="AJ45" s="3">
        <f t="shared" si="7"/>
        <v>1.03632779522257</v>
      </c>
      <c r="AK45" s="3">
        <f t="shared" si="8"/>
        <v>63.920698409328118</v>
      </c>
      <c r="AL45" s="3">
        <f t="shared" si="9"/>
        <v>0</v>
      </c>
      <c r="AM45" s="3">
        <f t="shared" si="10"/>
        <v>0.5</v>
      </c>
      <c r="AN45" s="3">
        <f t="shared" si="11"/>
        <v>34.506259200000002</v>
      </c>
      <c r="AO45" s="20">
        <f t="shared" si="12"/>
        <v>98.426957609328127</v>
      </c>
      <c r="AP45" s="3">
        <f t="shared" si="13"/>
        <v>123.03369701166015</v>
      </c>
      <c r="AQ45" s="3">
        <f t="shared" si="14"/>
        <v>1.2923288811270237</v>
      </c>
      <c r="AR45" s="1">
        <f t="shared" si="15"/>
        <v>79.900873011660153</v>
      </c>
      <c r="AS45" s="1">
        <f t="shared" si="16"/>
        <v>0</v>
      </c>
      <c r="AT45" s="1">
        <f t="shared" si="17"/>
        <v>43.132823999999999</v>
      </c>
      <c r="AU45" s="1">
        <f t="shared" si="18"/>
        <v>3360</v>
      </c>
    </row>
    <row r="46" spans="1:47" x14ac:dyDescent="0.25">
      <c r="A46" s="3">
        <v>43</v>
      </c>
      <c r="B46" s="18"/>
      <c r="C46" s="18" t="s">
        <v>95</v>
      </c>
      <c r="D46" s="3">
        <v>44.8</v>
      </c>
      <c r="E46" s="3">
        <v>150</v>
      </c>
      <c r="F46" s="3">
        <v>300</v>
      </c>
      <c r="G46" s="3">
        <f t="shared" si="60"/>
        <v>257</v>
      </c>
      <c r="H46" s="3">
        <f t="shared" si="59"/>
        <v>300</v>
      </c>
      <c r="I46" s="3">
        <v>0</v>
      </c>
      <c r="J46" s="3" t="s">
        <v>36</v>
      </c>
      <c r="K46" s="3">
        <f t="shared" si="53"/>
        <v>809.55</v>
      </c>
      <c r="L46" s="3">
        <v>3.15</v>
      </c>
      <c r="M46" s="3" t="s">
        <v>46</v>
      </c>
      <c r="N46" s="3">
        <v>0</v>
      </c>
      <c r="S46" s="3" t="s">
        <v>43</v>
      </c>
      <c r="T46" s="3" t="s">
        <v>45</v>
      </c>
      <c r="U46" s="3" t="s">
        <v>44</v>
      </c>
      <c r="V46" s="3">
        <v>244000</v>
      </c>
      <c r="W46" s="3">
        <v>0.111</v>
      </c>
      <c r="X46" s="3">
        <v>4200</v>
      </c>
      <c r="Y46" s="3">
        <v>100</v>
      </c>
      <c r="Z46" s="3">
        <v>200</v>
      </c>
      <c r="AA46" s="3">
        <f t="shared" si="57"/>
        <v>231.3</v>
      </c>
      <c r="AB46" s="3">
        <v>90</v>
      </c>
      <c r="AC46" s="3">
        <v>45</v>
      </c>
      <c r="AD46" s="20">
        <v>116</v>
      </c>
      <c r="AE46" s="3" t="s">
        <v>46</v>
      </c>
      <c r="AF46" s="3">
        <f t="shared" si="4"/>
        <v>1.1169448164988325</v>
      </c>
      <c r="AG46" s="3">
        <f t="shared" si="5"/>
        <v>0.43139191996413606</v>
      </c>
      <c r="AH46" s="3">
        <f t="shared" si="0"/>
        <v>301.06321448876406</v>
      </c>
      <c r="AI46" s="3">
        <f t="shared" si="6"/>
        <v>0.88238640503407773</v>
      </c>
      <c r="AJ46" s="3">
        <f t="shared" si="7"/>
        <v>1.0717779305837967</v>
      </c>
      <c r="AK46" s="3">
        <f t="shared" si="8"/>
        <v>33.05363137920429</v>
      </c>
      <c r="AL46" s="3">
        <f t="shared" si="9"/>
        <v>0</v>
      </c>
      <c r="AM46" s="3">
        <f t="shared" si="10"/>
        <v>0.5</v>
      </c>
      <c r="AN46" s="3">
        <f t="shared" si="11"/>
        <v>34.506259200000002</v>
      </c>
      <c r="AO46" s="20">
        <f t="shared" si="12"/>
        <v>67.559890579204293</v>
      </c>
      <c r="AP46" s="3">
        <f t="shared" si="13"/>
        <v>84.449863224005355</v>
      </c>
      <c r="AQ46" s="3">
        <f t="shared" si="14"/>
        <v>1.3735960671991514</v>
      </c>
      <c r="AR46" s="1">
        <f t="shared" si="15"/>
        <v>41.317039224005363</v>
      </c>
      <c r="AS46" s="1">
        <f t="shared" si="16"/>
        <v>0</v>
      </c>
      <c r="AT46" s="1">
        <f t="shared" si="17"/>
        <v>43.132823999999999</v>
      </c>
      <c r="AU46" s="1">
        <f t="shared" si="18"/>
        <v>3360</v>
      </c>
    </row>
    <row r="47" spans="1:47" x14ac:dyDescent="0.25">
      <c r="A47" s="3">
        <v>44</v>
      </c>
      <c r="B47" s="18"/>
      <c r="C47" s="18" t="s">
        <v>96</v>
      </c>
      <c r="D47" s="3">
        <v>41.9</v>
      </c>
      <c r="E47" s="3">
        <v>150</v>
      </c>
      <c r="F47" s="3">
        <v>300</v>
      </c>
      <c r="G47" s="3">
        <f>F47-47</f>
        <v>253</v>
      </c>
      <c r="H47" s="3">
        <f t="shared" si="59"/>
        <v>300</v>
      </c>
      <c r="I47" s="3">
        <v>0</v>
      </c>
      <c r="J47" s="3" t="s">
        <v>36</v>
      </c>
      <c r="K47" s="3">
        <f t="shared" si="53"/>
        <v>809.6</v>
      </c>
      <c r="L47" s="19">
        <v>3.2</v>
      </c>
      <c r="M47" s="3" t="s">
        <v>46</v>
      </c>
      <c r="N47" s="3">
        <v>0</v>
      </c>
      <c r="S47" s="3" t="s">
        <v>52</v>
      </c>
      <c r="T47" s="3" t="s">
        <v>45</v>
      </c>
      <c r="U47" s="3" t="s">
        <v>44</v>
      </c>
      <c r="V47" s="3">
        <v>73000</v>
      </c>
      <c r="W47" s="3">
        <v>4.3999999999999997E-2</v>
      </c>
      <c r="X47" s="3">
        <v>2700</v>
      </c>
      <c r="Y47" s="3">
        <v>200</v>
      </c>
      <c r="Z47" s="3">
        <v>200</v>
      </c>
      <c r="AA47" s="3">
        <f t="shared" si="57"/>
        <v>227.70000000000002</v>
      </c>
      <c r="AB47" s="3">
        <v>90</v>
      </c>
      <c r="AC47" s="3">
        <v>45</v>
      </c>
      <c r="AD47" s="20">
        <v>110</v>
      </c>
      <c r="AE47" s="3" t="s">
        <v>46</v>
      </c>
      <c r="AF47" s="3">
        <f t="shared" si="4"/>
        <v>1.121333682239084</v>
      </c>
      <c r="AG47" s="3">
        <f t="shared" si="5"/>
        <v>0.41256844900233897</v>
      </c>
      <c r="AH47" s="3">
        <f t="shared" si="0"/>
        <v>287.94432440714968</v>
      </c>
      <c r="AI47" s="3">
        <f t="shared" si="6"/>
        <v>0.88585360896887644</v>
      </c>
      <c r="AJ47" s="3">
        <f t="shared" si="7"/>
        <v>1.0522524935816517</v>
      </c>
      <c r="AK47" s="3">
        <f t="shared" si="8"/>
        <v>31.946385705138947</v>
      </c>
      <c r="AL47" s="3">
        <f t="shared" si="9"/>
        <v>0</v>
      </c>
      <c r="AM47" s="3">
        <f t="shared" si="10"/>
        <v>0.5</v>
      </c>
      <c r="AN47" s="3">
        <f t="shared" si="11"/>
        <v>17.312486400000001</v>
      </c>
      <c r="AO47" s="20">
        <f t="shared" si="12"/>
        <v>49.258872105138948</v>
      </c>
      <c r="AP47" s="3">
        <f t="shared" si="13"/>
        <v>61.573590131423686</v>
      </c>
      <c r="AQ47" s="3">
        <f t="shared" si="14"/>
        <v>1.7864802062899725</v>
      </c>
      <c r="AR47" s="1">
        <f t="shared" si="15"/>
        <v>39.932982131423685</v>
      </c>
      <c r="AS47" s="1">
        <f t="shared" si="16"/>
        <v>0</v>
      </c>
      <c r="AT47" s="1">
        <f t="shared" si="17"/>
        <v>21.640608</v>
      </c>
      <c r="AU47" s="1">
        <f t="shared" si="18"/>
        <v>2160</v>
      </c>
    </row>
    <row r="48" spans="1:47" x14ac:dyDescent="0.25">
      <c r="A48" s="3">
        <v>45</v>
      </c>
      <c r="B48" s="18" t="s">
        <v>105</v>
      </c>
      <c r="C48" s="18" t="s">
        <v>97</v>
      </c>
      <c r="D48" s="3">
        <v>45.6</v>
      </c>
      <c r="E48" s="3">
        <v>300</v>
      </c>
      <c r="F48" s="3">
        <v>300</v>
      </c>
      <c r="G48" s="3">
        <f t="shared" ref="G48:G52" si="61">F48-47</f>
        <v>253</v>
      </c>
      <c r="H48" s="3">
        <f t="shared" si="59"/>
        <v>300</v>
      </c>
      <c r="I48" s="3">
        <v>0</v>
      </c>
      <c r="J48" s="3" t="s">
        <v>36</v>
      </c>
      <c r="K48" s="3">
        <f t="shared" si="53"/>
        <v>809.6</v>
      </c>
      <c r="L48" s="19">
        <v>3.2</v>
      </c>
      <c r="M48" s="3" t="s">
        <v>46</v>
      </c>
      <c r="N48" s="3">
        <v>0</v>
      </c>
      <c r="S48" s="3" t="s">
        <v>52</v>
      </c>
      <c r="T48" s="3" t="s">
        <v>45</v>
      </c>
      <c r="U48" s="3" t="s">
        <v>44</v>
      </c>
      <c r="V48" s="3">
        <v>73000</v>
      </c>
      <c r="W48" s="3">
        <v>4.3999999999999997E-2</v>
      </c>
      <c r="X48" s="3">
        <v>2700</v>
      </c>
      <c r="Y48" s="3">
        <v>200</v>
      </c>
      <c r="Z48" s="3">
        <v>200</v>
      </c>
      <c r="AA48" s="3">
        <f t="shared" si="57"/>
        <v>227.70000000000002</v>
      </c>
      <c r="AB48" s="3">
        <v>90</v>
      </c>
      <c r="AC48" s="3">
        <v>45</v>
      </c>
      <c r="AD48" s="20">
        <v>173</v>
      </c>
      <c r="AE48" s="3" t="s">
        <v>46</v>
      </c>
      <c r="AF48" s="3">
        <f t="shared" si="4"/>
        <v>1.121333682239084</v>
      </c>
      <c r="AG48" s="3">
        <f t="shared" si="5"/>
        <v>0.43651237353870159</v>
      </c>
      <c r="AH48" s="3">
        <f t="shared" si="0"/>
        <v>609.31106485678072</v>
      </c>
      <c r="AI48" s="3">
        <f t="shared" si="6"/>
        <v>0.88585360896887644</v>
      </c>
      <c r="AJ48" s="3">
        <f t="shared" si="7"/>
        <v>1.0823562687667845</v>
      </c>
      <c r="AK48" s="3">
        <f t="shared" si="8"/>
        <v>65.720672639519151</v>
      </c>
      <c r="AL48" s="3">
        <f t="shared" si="9"/>
        <v>0</v>
      </c>
      <c r="AM48" s="3">
        <f t="shared" si="10"/>
        <v>0.5</v>
      </c>
      <c r="AN48" s="3">
        <f t="shared" si="11"/>
        <v>17.312486400000001</v>
      </c>
      <c r="AO48" s="20">
        <f t="shared" si="12"/>
        <v>83.033159039519148</v>
      </c>
      <c r="AP48" s="3">
        <f t="shared" si="13"/>
        <v>103.79144879939894</v>
      </c>
      <c r="AQ48" s="3">
        <f t="shared" si="14"/>
        <v>1.6668039804932548</v>
      </c>
      <c r="AR48" s="1">
        <f t="shared" si="15"/>
        <v>82.150840799398935</v>
      </c>
      <c r="AS48" s="1">
        <f t="shared" si="16"/>
        <v>0</v>
      </c>
      <c r="AT48" s="1">
        <f t="shared" si="17"/>
        <v>21.640608</v>
      </c>
      <c r="AU48" s="1">
        <f t="shared" si="18"/>
        <v>2160</v>
      </c>
    </row>
    <row r="49" spans="1:47" x14ac:dyDescent="0.25">
      <c r="A49" s="3">
        <v>46</v>
      </c>
      <c r="B49" s="18"/>
      <c r="C49" s="18" t="s">
        <v>98</v>
      </c>
      <c r="D49" s="3">
        <v>41.9</v>
      </c>
      <c r="E49" s="3">
        <v>300</v>
      </c>
      <c r="F49" s="3">
        <v>300</v>
      </c>
      <c r="G49" s="3">
        <f t="shared" si="61"/>
        <v>253</v>
      </c>
      <c r="H49" s="3">
        <f t="shared" si="59"/>
        <v>300</v>
      </c>
      <c r="I49" s="3">
        <v>0</v>
      </c>
      <c r="J49" s="3" t="s">
        <v>36</v>
      </c>
      <c r="K49" s="3">
        <f t="shared" si="53"/>
        <v>809.6</v>
      </c>
      <c r="L49" s="19">
        <v>3.2</v>
      </c>
      <c r="M49" s="3" t="s">
        <v>46</v>
      </c>
      <c r="N49" s="3">
        <v>0</v>
      </c>
      <c r="S49" s="3" t="s">
        <v>52</v>
      </c>
      <c r="T49" s="3" t="s">
        <v>45</v>
      </c>
      <c r="U49" s="3" t="s">
        <v>44</v>
      </c>
      <c r="V49" s="3">
        <v>73000</v>
      </c>
      <c r="W49" s="3">
        <v>8.7999999999999995E-2</v>
      </c>
      <c r="X49" s="3">
        <v>2700</v>
      </c>
      <c r="Y49" s="3">
        <v>200</v>
      </c>
      <c r="Z49" s="3">
        <v>200</v>
      </c>
      <c r="AA49" s="3">
        <f t="shared" si="57"/>
        <v>227.70000000000002</v>
      </c>
      <c r="AB49" s="3">
        <v>90</v>
      </c>
      <c r="AC49" s="3">
        <v>45</v>
      </c>
      <c r="AD49" s="20">
        <v>209</v>
      </c>
      <c r="AE49" s="3" t="s">
        <v>46</v>
      </c>
      <c r="AF49" s="3">
        <f t="shared" si="4"/>
        <v>1.121333682239084</v>
      </c>
      <c r="AG49" s="3">
        <f t="shared" si="5"/>
        <v>0.41256844900233897</v>
      </c>
      <c r="AH49" s="3">
        <f t="shared" si="0"/>
        <v>575.88864881429936</v>
      </c>
      <c r="AI49" s="3">
        <f t="shared" si="6"/>
        <v>0.88585360896887644</v>
      </c>
      <c r="AJ49" s="3">
        <f t="shared" si="7"/>
        <v>1.0522524935816517</v>
      </c>
      <c r="AK49" s="3">
        <f t="shared" si="8"/>
        <v>63.892771410277895</v>
      </c>
      <c r="AL49" s="3">
        <f t="shared" si="9"/>
        <v>0</v>
      </c>
      <c r="AM49" s="3">
        <f t="shared" si="10"/>
        <v>0.5</v>
      </c>
      <c r="AN49" s="3">
        <f t="shared" si="11"/>
        <v>34.624972800000002</v>
      </c>
      <c r="AO49" s="20">
        <f t="shared" si="12"/>
        <v>98.517744210277897</v>
      </c>
      <c r="AP49" s="3">
        <f t="shared" si="13"/>
        <v>123.14718026284737</v>
      </c>
      <c r="AQ49" s="3">
        <f t="shared" si="14"/>
        <v>1.697156195975474</v>
      </c>
      <c r="AR49" s="1">
        <f t="shared" si="15"/>
        <v>79.86596426284737</v>
      </c>
      <c r="AS49" s="1">
        <f t="shared" si="16"/>
        <v>0</v>
      </c>
      <c r="AT49" s="1">
        <f t="shared" si="17"/>
        <v>43.281216000000001</v>
      </c>
      <c r="AU49" s="1">
        <f t="shared" si="18"/>
        <v>2160</v>
      </c>
    </row>
    <row r="50" spans="1:47" x14ac:dyDescent="0.25">
      <c r="A50" s="3">
        <v>47</v>
      </c>
      <c r="B50" s="18"/>
      <c r="C50" s="18" t="s">
        <v>99</v>
      </c>
      <c r="D50" s="3">
        <v>41.9</v>
      </c>
      <c r="E50" s="3">
        <v>300</v>
      </c>
      <c r="F50" s="3">
        <v>300</v>
      </c>
      <c r="G50" s="3">
        <f t="shared" si="61"/>
        <v>253</v>
      </c>
      <c r="H50" s="3">
        <f t="shared" si="59"/>
        <v>300</v>
      </c>
      <c r="I50" s="3">
        <v>0</v>
      </c>
      <c r="J50" s="3" t="s">
        <v>36</v>
      </c>
      <c r="K50" s="3">
        <f t="shared" si="53"/>
        <v>809.6</v>
      </c>
      <c r="L50" s="19">
        <v>3.2</v>
      </c>
      <c r="M50" s="3" t="s">
        <v>46</v>
      </c>
      <c r="N50" s="3">
        <v>0</v>
      </c>
      <c r="S50" s="3" t="s">
        <v>52</v>
      </c>
      <c r="T50" s="3" t="s">
        <v>45</v>
      </c>
      <c r="U50" s="3" t="s">
        <v>44</v>
      </c>
      <c r="V50" s="3">
        <v>73000</v>
      </c>
      <c r="W50" s="3">
        <v>8.7999999999999995E-2</v>
      </c>
      <c r="X50" s="3">
        <v>2700</v>
      </c>
      <c r="Y50" s="3">
        <v>200</v>
      </c>
      <c r="Z50" s="3">
        <v>200</v>
      </c>
      <c r="AA50" s="3">
        <f t="shared" si="57"/>
        <v>227.70000000000002</v>
      </c>
      <c r="AB50" s="3">
        <v>90</v>
      </c>
      <c r="AC50" s="3">
        <v>45</v>
      </c>
      <c r="AD50" s="20">
        <v>224</v>
      </c>
      <c r="AE50" s="3" t="s">
        <v>46</v>
      </c>
      <c r="AF50" s="3">
        <f t="shared" si="4"/>
        <v>1.121333682239084</v>
      </c>
      <c r="AG50" s="3">
        <f t="shared" si="5"/>
        <v>0.41256844900233897</v>
      </c>
      <c r="AH50" s="3">
        <f t="shared" si="0"/>
        <v>575.88864881429936</v>
      </c>
      <c r="AI50" s="3">
        <f t="shared" si="6"/>
        <v>0.88585360896887644</v>
      </c>
      <c r="AJ50" s="3">
        <f t="shared" si="7"/>
        <v>1.0522524935816517</v>
      </c>
      <c r="AK50" s="3">
        <f t="shared" si="8"/>
        <v>63.892771410277895</v>
      </c>
      <c r="AL50" s="3">
        <f t="shared" si="9"/>
        <v>0</v>
      </c>
      <c r="AM50" s="3">
        <f t="shared" si="10"/>
        <v>0.5</v>
      </c>
      <c r="AN50" s="3">
        <f t="shared" si="11"/>
        <v>34.624972800000002</v>
      </c>
      <c r="AO50" s="20">
        <f t="shared" si="12"/>
        <v>98.517744210277897</v>
      </c>
      <c r="AP50" s="3">
        <f t="shared" si="13"/>
        <v>123.14718026284737</v>
      </c>
      <c r="AQ50" s="3">
        <f t="shared" si="14"/>
        <v>1.8189616645861537</v>
      </c>
      <c r="AR50" s="1">
        <f t="shared" si="15"/>
        <v>79.86596426284737</v>
      </c>
      <c r="AS50" s="1">
        <f t="shared" si="16"/>
        <v>0</v>
      </c>
      <c r="AT50" s="1">
        <f t="shared" si="17"/>
        <v>43.281216000000001</v>
      </c>
      <c r="AU50" s="1">
        <f t="shared" si="18"/>
        <v>2160</v>
      </c>
    </row>
    <row r="51" spans="1:47" x14ac:dyDescent="0.25">
      <c r="A51" s="3">
        <v>48</v>
      </c>
      <c r="B51" s="18"/>
      <c r="C51" s="18" t="s">
        <v>100</v>
      </c>
      <c r="D51" s="3">
        <v>42.7</v>
      </c>
      <c r="E51" s="3">
        <v>300</v>
      </c>
      <c r="F51" s="3">
        <v>300</v>
      </c>
      <c r="G51" s="3">
        <f t="shared" si="61"/>
        <v>253</v>
      </c>
      <c r="H51" s="3">
        <f t="shared" si="59"/>
        <v>300</v>
      </c>
      <c r="I51" s="3">
        <v>0</v>
      </c>
      <c r="J51" s="3" t="s">
        <v>36</v>
      </c>
      <c r="K51" s="3">
        <f t="shared" si="53"/>
        <v>809.6</v>
      </c>
      <c r="L51" s="19">
        <v>3.2</v>
      </c>
      <c r="M51" s="3" t="s">
        <v>46</v>
      </c>
      <c r="N51" s="3">
        <v>0</v>
      </c>
      <c r="S51" s="3" t="s">
        <v>52</v>
      </c>
      <c r="T51" s="3" t="s">
        <v>45</v>
      </c>
      <c r="U51" s="3" t="s">
        <v>44</v>
      </c>
      <c r="V51" s="3">
        <v>73000</v>
      </c>
      <c r="W51" s="3">
        <v>0.14399999999999999</v>
      </c>
      <c r="X51" s="3">
        <v>2700</v>
      </c>
      <c r="Y51" s="3">
        <v>200</v>
      </c>
      <c r="Z51" s="3">
        <v>200</v>
      </c>
      <c r="AA51" s="3">
        <f t="shared" si="57"/>
        <v>227.70000000000002</v>
      </c>
      <c r="AB51" s="3">
        <v>90</v>
      </c>
      <c r="AC51" s="3">
        <v>45</v>
      </c>
      <c r="AD51" s="20">
        <v>254</v>
      </c>
      <c r="AE51" s="3" t="s">
        <v>46</v>
      </c>
      <c r="AF51" s="3">
        <f t="shared" si="4"/>
        <v>1.121333682239084</v>
      </c>
      <c r="AG51" s="3">
        <f t="shared" si="5"/>
        <v>0.41780334606188402</v>
      </c>
      <c r="AH51" s="3">
        <f t="shared" si="0"/>
        <v>583.19584305465742</v>
      </c>
      <c r="AI51" s="3">
        <f t="shared" si="6"/>
        <v>0.88585360896887644</v>
      </c>
      <c r="AJ51" s="3">
        <f t="shared" si="7"/>
        <v>1.0589072316854253</v>
      </c>
      <c r="AK51" s="3">
        <f t="shared" si="8"/>
        <v>64.29684710793903</v>
      </c>
      <c r="AL51" s="3">
        <f t="shared" si="9"/>
        <v>0</v>
      </c>
      <c r="AM51" s="3">
        <f t="shared" si="10"/>
        <v>0.5</v>
      </c>
      <c r="AN51" s="3">
        <f t="shared" si="11"/>
        <v>56.659046400000008</v>
      </c>
      <c r="AO51" s="20">
        <f t="shared" si="12"/>
        <v>120.95589350793904</v>
      </c>
      <c r="AP51" s="3">
        <f t="shared" si="13"/>
        <v>151.19486688492378</v>
      </c>
      <c r="AQ51" s="3">
        <f t="shared" si="14"/>
        <v>1.6799512128498544</v>
      </c>
      <c r="AR51" s="1">
        <f t="shared" si="15"/>
        <v>80.371058884923784</v>
      </c>
      <c r="AS51" s="1">
        <f t="shared" si="16"/>
        <v>0</v>
      </c>
      <c r="AT51" s="1">
        <f t="shared" si="17"/>
        <v>70.823808000000014</v>
      </c>
      <c r="AU51" s="1">
        <f t="shared" si="18"/>
        <v>2160</v>
      </c>
    </row>
    <row r="52" spans="1:47" x14ac:dyDescent="0.25">
      <c r="A52" s="3">
        <v>49</v>
      </c>
      <c r="B52" s="18"/>
      <c r="C52" s="18" t="s">
        <v>101</v>
      </c>
      <c r="D52" s="3">
        <v>43.5</v>
      </c>
      <c r="E52" s="3">
        <v>600</v>
      </c>
      <c r="F52" s="3">
        <v>300</v>
      </c>
      <c r="G52" s="3">
        <f t="shared" si="61"/>
        <v>253</v>
      </c>
      <c r="H52" s="3">
        <f t="shared" si="59"/>
        <v>300</v>
      </c>
      <c r="I52" s="3">
        <v>0</v>
      </c>
      <c r="J52" s="3" t="s">
        <v>36</v>
      </c>
      <c r="K52" s="3">
        <f t="shared" si="53"/>
        <v>809.6</v>
      </c>
      <c r="L52" s="19">
        <v>3.2</v>
      </c>
      <c r="M52" s="3" t="s">
        <v>46</v>
      </c>
      <c r="N52" s="3">
        <v>0</v>
      </c>
      <c r="S52" s="3" t="s">
        <v>52</v>
      </c>
      <c r="T52" s="3" t="s">
        <v>45</v>
      </c>
      <c r="U52" s="3" t="s">
        <v>44</v>
      </c>
      <c r="V52" s="3">
        <v>73000</v>
      </c>
      <c r="W52" s="3">
        <v>0.14399999999999999</v>
      </c>
      <c r="X52" s="3">
        <v>2700</v>
      </c>
      <c r="Y52" s="3">
        <v>200</v>
      </c>
      <c r="Z52" s="3">
        <v>200</v>
      </c>
      <c r="AA52" s="3">
        <f t="shared" si="57"/>
        <v>227.70000000000002</v>
      </c>
      <c r="AB52" s="3">
        <v>90</v>
      </c>
      <c r="AC52" s="3">
        <v>45</v>
      </c>
      <c r="AD52" s="20">
        <v>424</v>
      </c>
      <c r="AE52" s="3" t="s">
        <v>46</v>
      </c>
      <c r="AF52" s="3">
        <f t="shared" si="4"/>
        <v>1.121333682239084</v>
      </c>
      <c r="AG52" s="3">
        <f t="shared" si="5"/>
        <v>0.42300565021039471</v>
      </c>
      <c r="AH52" s="3">
        <f t="shared" si="0"/>
        <v>1180.9150841735709</v>
      </c>
      <c r="AI52" s="3">
        <f t="shared" si="6"/>
        <v>0.88585360896887644</v>
      </c>
      <c r="AJ52" s="3">
        <f t="shared" si="7"/>
        <v>1.0654793610312241</v>
      </c>
      <c r="AK52" s="3">
        <f t="shared" si="8"/>
        <v>129.39181360363185</v>
      </c>
      <c r="AL52" s="3">
        <f t="shared" si="9"/>
        <v>0</v>
      </c>
      <c r="AM52" s="3">
        <f t="shared" si="10"/>
        <v>0.5</v>
      </c>
      <c r="AN52" s="3">
        <f t="shared" si="11"/>
        <v>56.659046400000008</v>
      </c>
      <c r="AO52" s="20">
        <f t="shared" si="12"/>
        <v>186.05086000363184</v>
      </c>
      <c r="AP52" s="3">
        <f t="shared" si="13"/>
        <v>232.56357500453981</v>
      </c>
      <c r="AQ52" s="3">
        <f t="shared" si="14"/>
        <v>1.8231573882183536</v>
      </c>
      <c r="AR52" s="1">
        <f t="shared" si="15"/>
        <v>161.7397670045398</v>
      </c>
      <c r="AS52" s="1">
        <f t="shared" si="16"/>
        <v>0</v>
      </c>
      <c r="AT52" s="1">
        <f t="shared" si="17"/>
        <v>70.823808000000014</v>
      </c>
      <c r="AU52" s="1">
        <f t="shared" si="18"/>
        <v>2160</v>
      </c>
    </row>
    <row r="53" spans="1:47" x14ac:dyDescent="0.25">
      <c r="A53" s="3">
        <v>50</v>
      </c>
      <c r="B53" s="18"/>
      <c r="C53" s="18" t="s">
        <v>102</v>
      </c>
      <c r="D53" s="3">
        <v>39.9</v>
      </c>
      <c r="E53" s="3">
        <v>450</v>
      </c>
      <c r="F53" s="3">
        <v>450</v>
      </c>
      <c r="G53" s="3">
        <f>F53-51</f>
        <v>399</v>
      </c>
      <c r="H53" s="3">
        <f t="shared" si="59"/>
        <v>450</v>
      </c>
      <c r="I53" s="3">
        <v>0</v>
      </c>
      <c r="J53" s="3" t="s">
        <v>36</v>
      </c>
      <c r="K53" s="3">
        <f t="shared" si="53"/>
        <v>1200.99</v>
      </c>
      <c r="L53" s="19">
        <v>3.01</v>
      </c>
      <c r="M53" s="3" t="s">
        <v>46</v>
      </c>
      <c r="N53" s="3">
        <v>0</v>
      </c>
      <c r="S53" s="3" t="s">
        <v>52</v>
      </c>
      <c r="T53" s="3" t="s">
        <v>45</v>
      </c>
      <c r="U53" s="3" t="s">
        <v>44</v>
      </c>
      <c r="V53" s="3">
        <v>73000</v>
      </c>
      <c r="W53" s="3">
        <v>0.14399999999999999</v>
      </c>
      <c r="X53" s="3">
        <v>2700</v>
      </c>
      <c r="Y53" s="3">
        <v>200</v>
      </c>
      <c r="Z53" s="3">
        <v>200</v>
      </c>
      <c r="AA53" s="3">
        <f t="shared" si="57"/>
        <v>359.1</v>
      </c>
      <c r="AB53" s="3">
        <v>90</v>
      </c>
      <c r="AC53" s="3">
        <v>45</v>
      </c>
      <c r="AD53" s="20">
        <v>379</v>
      </c>
      <c r="AE53" s="3" t="s">
        <v>46</v>
      </c>
      <c r="AF53" s="3">
        <f t="shared" si="4"/>
        <v>1.000625978397282</v>
      </c>
      <c r="AG53" s="3">
        <f t="shared" si="5"/>
        <v>0.4</v>
      </c>
      <c r="AH53" s="3">
        <f t="shared" si="0"/>
        <v>1242.403448275862</v>
      </c>
      <c r="AI53" s="3">
        <f t="shared" si="6"/>
        <v>0.79049452293385281</v>
      </c>
      <c r="AJ53" s="3">
        <f t="shared" si="7"/>
        <v>0.92379688651745462</v>
      </c>
      <c r="AK53" s="3">
        <f t="shared" si="8"/>
        <v>132.69418477936716</v>
      </c>
      <c r="AL53" s="3">
        <f t="shared" si="9"/>
        <v>0</v>
      </c>
      <c r="AM53" s="3">
        <f t="shared" si="10"/>
        <v>0.5</v>
      </c>
      <c r="AN53" s="3">
        <f t="shared" si="11"/>
        <v>89.3555712</v>
      </c>
      <c r="AO53" s="20">
        <f t="shared" si="12"/>
        <v>222.04975597936715</v>
      </c>
      <c r="AP53" s="3">
        <f t="shared" si="13"/>
        <v>277.56219497420892</v>
      </c>
      <c r="AQ53" s="3">
        <f t="shared" si="14"/>
        <v>1.3654597306928513</v>
      </c>
      <c r="AR53" s="1">
        <f t="shared" si="15"/>
        <v>165.86773097420894</v>
      </c>
      <c r="AS53" s="1">
        <f t="shared" si="16"/>
        <v>0</v>
      </c>
      <c r="AT53" s="1">
        <f t="shared" si="17"/>
        <v>111.694464</v>
      </c>
      <c r="AU53" s="1">
        <f t="shared" si="18"/>
        <v>2160</v>
      </c>
    </row>
    <row r="54" spans="1:47" x14ac:dyDescent="0.25">
      <c r="A54" s="3">
        <v>51</v>
      </c>
      <c r="B54" s="18"/>
      <c r="C54" s="18" t="s">
        <v>103</v>
      </c>
      <c r="D54" s="3">
        <v>39.9</v>
      </c>
      <c r="E54" s="3">
        <v>550</v>
      </c>
      <c r="F54" s="3">
        <v>550</v>
      </c>
      <c r="G54" s="3">
        <f>F54-51</f>
        <v>499</v>
      </c>
      <c r="H54" s="3">
        <f t="shared" si="59"/>
        <v>550</v>
      </c>
      <c r="I54" s="3">
        <v>0</v>
      </c>
      <c r="J54" s="3" t="s">
        <v>36</v>
      </c>
      <c r="K54" s="3">
        <f t="shared" si="53"/>
        <v>1501.9899999999998</v>
      </c>
      <c r="L54" s="19">
        <v>3.01</v>
      </c>
      <c r="M54" s="3" t="s">
        <v>46</v>
      </c>
      <c r="N54" s="3">
        <v>0</v>
      </c>
      <c r="S54" s="3" t="s">
        <v>52</v>
      </c>
      <c r="T54" s="3" t="s">
        <v>45</v>
      </c>
      <c r="U54" s="3" t="s">
        <v>44</v>
      </c>
      <c r="V54" s="3">
        <v>73000</v>
      </c>
      <c r="W54" s="3">
        <v>0.14399999999999999</v>
      </c>
      <c r="X54" s="3">
        <v>2700</v>
      </c>
      <c r="Y54" s="3">
        <v>200</v>
      </c>
      <c r="Z54" s="3">
        <v>200</v>
      </c>
      <c r="AA54" s="3">
        <f t="shared" si="57"/>
        <v>449.1</v>
      </c>
      <c r="AB54" s="3">
        <v>90</v>
      </c>
      <c r="AC54" s="3">
        <v>45</v>
      </c>
      <c r="AD54" s="20">
        <v>569</v>
      </c>
      <c r="AE54" s="3" t="s">
        <v>46</v>
      </c>
      <c r="AF54" s="3">
        <f t="shared" si="4"/>
        <v>0.94621507178425901</v>
      </c>
      <c r="AG54" s="3">
        <f t="shared" si="5"/>
        <v>0.4</v>
      </c>
      <c r="AH54" s="3">
        <f t="shared" si="0"/>
        <v>1899.0678160919535</v>
      </c>
      <c r="AI54" s="3">
        <f t="shared" si="6"/>
        <v>0.74750990670956463</v>
      </c>
      <c r="AJ54" s="3">
        <f t="shared" si="7"/>
        <v>0.8735637052820322</v>
      </c>
      <c r="AK54" s="3">
        <f t="shared" si="8"/>
        <v>191.79964713172296</v>
      </c>
      <c r="AL54" s="3">
        <f t="shared" si="9"/>
        <v>0</v>
      </c>
      <c r="AM54" s="3">
        <f t="shared" si="10"/>
        <v>0.5</v>
      </c>
      <c r="AN54" s="3">
        <f t="shared" si="11"/>
        <v>111.75045120000001</v>
      </c>
      <c r="AO54" s="20">
        <f t="shared" si="12"/>
        <v>303.55009833172301</v>
      </c>
      <c r="AP54" s="3">
        <f t="shared" si="13"/>
        <v>379.43762291465373</v>
      </c>
      <c r="AQ54" s="3">
        <f t="shared" si="14"/>
        <v>1.4995877204511801</v>
      </c>
      <c r="AR54" s="1">
        <f t="shared" si="15"/>
        <v>239.7495589146537</v>
      </c>
      <c r="AS54" s="1">
        <f t="shared" si="16"/>
        <v>0</v>
      </c>
      <c r="AT54" s="1">
        <f t="shared" si="17"/>
        <v>139.68806400000003</v>
      </c>
      <c r="AU54" s="1">
        <f t="shared" si="18"/>
        <v>2160</v>
      </c>
    </row>
    <row r="55" spans="1:47" x14ac:dyDescent="0.25">
      <c r="A55" s="3">
        <v>52</v>
      </c>
      <c r="B55" s="18"/>
      <c r="C55" s="18" t="s">
        <v>104</v>
      </c>
      <c r="D55" s="3">
        <v>40.6</v>
      </c>
      <c r="E55" s="3">
        <v>550</v>
      </c>
      <c r="F55" s="3">
        <v>550</v>
      </c>
      <c r="G55" s="3">
        <f>F55-51</f>
        <v>499</v>
      </c>
      <c r="H55" s="3">
        <f t="shared" si="59"/>
        <v>550</v>
      </c>
      <c r="I55" s="3">
        <v>0</v>
      </c>
      <c r="J55" s="3" t="s">
        <v>36</v>
      </c>
      <c r="K55" s="3">
        <f t="shared" si="53"/>
        <v>1501.9899999999998</v>
      </c>
      <c r="L55" s="19">
        <v>3.01</v>
      </c>
      <c r="M55" s="3" t="s">
        <v>46</v>
      </c>
      <c r="N55" s="3">
        <v>0</v>
      </c>
      <c r="S55" s="3" t="s">
        <v>52</v>
      </c>
      <c r="T55" s="3" t="s">
        <v>45</v>
      </c>
      <c r="U55" s="3" t="s">
        <v>44</v>
      </c>
      <c r="V55" s="3">
        <v>73000</v>
      </c>
      <c r="W55" s="3">
        <v>0.28799999999999998</v>
      </c>
      <c r="X55" s="3">
        <v>2700</v>
      </c>
      <c r="Y55" s="3">
        <v>200</v>
      </c>
      <c r="Z55" s="3">
        <v>200</v>
      </c>
      <c r="AA55" s="3">
        <f t="shared" si="57"/>
        <v>449.1</v>
      </c>
      <c r="AB55" s="3">
        <v>90</v>
      </c>
      <c r="AC55" s="3">
        <v>45</v>
      </c>
      <c r="AD55" s="20">
        <v>662</v>
      </c>
      <c r="AE55" s="3" t="s">
        <v>46</v>
      </c>
      <c r="AF55" s="3">
        <f t="shared" si="4"/>
        <v>0.94621507178425901</v>
      </c>
      <c r="AG55" s="3">
        <f t="shared" si="5"/>
        <v>0.40399006608910426</v>
      </c>
      <c r="AH55" s="3">
        <f t="shared" si="0"/>
        <v>1918.0113313266982</v>
      </c>
      <c r="AI55" s="3">
        <f t="shared" si="6"/>
        <v>0.74750990670956463</v>
      </c>
      <c r="AJ55" s="3">
        <f t="shared" si="7"/>
        <v>0.87864267815730845</v>
      </c>
      <c r="AK55" s="3">
        <f t="shared" si="8"/>
        <v>192.91478641621865</v>
      </c>
      <c r="AL55" s="3">
        <f t="shared" si="9"/>
        <v>0</v>
      </c>
      <c r="AM55" s="3">
        <f t="shared" si="10"/>
        <v>0.5</v>
      </c>
      <c r="AN55" s="3">
        <f t="shared" si="11"/>
        <v>223.50090240000003</v>
      </c>
      <c r="AO55" s="20">
        <f t="shared" si="12"/>
        <v>416.41568881621868</v>
      </c>
      <c r="AP55" s="3">
        <f t="shared" si="13"/>
        <v>520.51961102027337</v>
      </c>
      <c r="AQ55" s="3">
        <f t="shared" si="14"/>
        <v>1.2718060683677415</v>
      </c>
      <c r="AR55" s="1">
        <f t="shared" si="15"/>
        <v>241.14348302027332</v>
      </c>
      <c r="AS55" s="1">
        <f t="shared" si="16"/>
        <v>0</v>
      </c>
      <c r="AT55" s="1">
        <f t="shared" si="17"/>
        <v>279.37612800000005</v>
      </c>
      <c r="AU55" s="1">
        <f t="shared" si="18"/>
        <v>2160</v>
      </c>
    </row>
    <row r="56" spans="1:47" x14ac:dyDescent="0.25">
      <c r="A56" s="3">
        <v>53</v>
      </c>
      <c r="B56" s="18" t="s">
        <v>107</v>
      </c>
      <c r="C56" s="18" t="s">
        <v>106</v>
      </c>
      <c r="D56" s="3">
        <v>34.700000000000003</v>
      </c>
      <c r="E56" s="3">
        <v>200</v>
      </c>
      <c r="F56" s="3">
        <v>450</v>
      </c>
      <c r="G56" s="3">
        <v>395</v>
      </c>
      <c r="H56" s="3">
        <f t="shared" si="59"/>
        <v>450</v>
      </c>
      <c r="I56" s="3">
        <v>0</v>
      </c>
      <c r="J56" s="3" t="s">
        <v>36</v>
      </c>
      <c r="K56" s="3">
        <f t="shared" si="53"/>
        <v>1248.2</v>
      </c>
      <c r="L56" s="19">
        <v>3.16</v>
      </c>
      <c r="M56" s="18" t="s">
        <v>42</v>
      </c>
      <c r="N56" s="3">
        <v>6</v>
      </c>
      <c r="O56" s="3">
        <v>400</v>
      </c>
      <c r="P56" s="18">
        <v>200000</v>
      </c>
      <c r="Q56" s="3">
        <v>486.1</v>
      </c>
      <c r="R56" s="3">
        <f t="shared" ref="R56" si="62">100*2*3.1416*N56^2/4/O56/E56</f>
        <v>7.0685999999999985E-2</v>
      </c>
      <c r="S56" s="3" t="s">
        <v>43</v>
      </c>
      <c r="T56" s="3" t="s">
        <v>45</v>
      </c>
      <c r="U56" s="3" t="s">
        <v>44</v>
      </c>
      <c r="V56" s="3">
        <v>240000</v>
      </c>
      <c r="W56" s="3">
        <v>0.11</v>
      </c>
      <c r="X56" s="3">
        <v>3400</v>
      </c>
      <c r="Y56" s="3">
        <v>50</v>
      </c>
      <c r="Z56" s="3">
        <v>200</v>
      </c>
      <c r="AA56" s="3">
        <f t="shared" si="57"/>
        <v>355.5</v>
      </c>
      <c r="AB56" s="3">
        <v>90</v>
      </c>
      <c r="AC56" s="3">
        <v>45</v>
      </c>
      <c r="AD56" s="20">
        <v>236</v>
      </c>
      <c r="AE56" s="3" t="s">
        <v>46</v>
      </c>
      <c r="AF56" s="3">
        <f t="shared" si="4"/>
        <v>1.0031496452938891</v>
      </c>
      <c r="AG56" s="3">
        <f t="shared" si="5"/>
        <v>0.4</v>
      </c>
      <c r="AH56" s="3">
        <f t="shared" si="0"/>
        <v>236.11810634489376</v>
      </c>
      <c r="AI56" s="3">
        <f t="shared" si="6"/>
        <v>0.79248821978217243</v>
      </c>
      <c r="AJ56" s="3">
        <f t="shared" si="7"/>
        <v>0.88400754267673398</v>
      </c>
      <c r="AK56" s="3">
        <f t="shared" si="8"/>
        <v>55.869276697169582</v>
      </c>
      <c r="AL56" s="3">
        <f t="shared" si="9"/>
        <v>23.615892095351445</v>
      </c>
      <c r="AM56" s="3">
        <f t="shared" si="10"/>
        <v>0.5</v>
      </c>
      <c r="AN56" s="3">
        <f t="shared" si="11"/>
        <v>21.273119999999999</v>
      </c>
      <c r="AO56" s="20">
        <f t="shared" si="12"/>
        <v>100.75828879252103</v>
      </c>
      <c r="AP56" s="3">
        <f t="shared" si="13"/>
        <v>123.57269942933721</v>
      </c>
      <c r="AQ56" s="3">
        <f t="shared" si="14"/>
        <v>1.9098069483782079</v>
      </c>
      <c r="AR56" s="1">
        <f t="shared" si="15"/>
        <v>69.836595871461981</v>
      </c>
      <c r="AS56" s="1">
        <f t="shared" si="16"/>
        <v>27.144703557875225</v>
      </c>
      <c r="AT56" s="1">
        <f t="shared" si="17"/>
        <v>26.5914</v>
      </c>
      <c r="AU56" s="1">
        <f t="shared" si="18"/>
        <v>2720</v>
      </c>
    </row>
    <row r="57" spans="1:47" x14ac:dyDescent="0.25">
      <c r="A57" s="3"/>
      <c r="C57" s="23"/>
      <c r="D57" s="3"/>
      <c r="H57" s="3"/>
      <c r="I57" s="3"/>
      <c r="J57" s="3"/>
      <c r="L57" s="3"/>
    </row>
    <row r="58" spans="1:47" x14ac:dyDescent="0.25">
      <c r="A58" s="3"/>
      <c r="C58" s="23"/>
      <c r="D58" s="3"/>
      <c r="H58" s="3"/>
      <c r="I58" s="3"/>
      <c r="J58" s="3"/>
      <c r="L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2013-04-15T07:28:52Z</dcterms:created>
  <dcterms:modified xsi:type="dcterms:W3CDTF">2013-04-24T02:40:04Z</dcterms:modified>
</cp:coreProperties>
</file>