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21"/>
  <workbookPr defaultThemeVersion="166925"/>
  <mc:AlternateContent xmlns:mc="http://schemas.openxmlformats.org/markup-compatibility/2006">
    <mc:Choice Requires="x15">
      <x15ac:absPath xmlns:x15ac="http://schemas.microsoft.com/office/spreadsheetml/2010/11/ac" url="/Users/cedricmary/Desktop/"/>
    </mc:Choice>
  </mc:AlternateContent>
  <xr:revisionPtr revIDLastSave="0" documentId="13_ncr:1_{7390878A-F673-3B43-9AB6-13E79C9658DD}" xr6:coauthVersionLast="47" xr6:coauthVersionMax="47" xr10:uidLastSave="{00000000-0000-0000-0000-000000000000}"/>
  <bookViews>
    <workbookView xWindow="0" yWindow="500" windowWidth="25600" windowHeight="14040" activeTab="5" xr2:uid="{00000000-000D-0000-FFFF-FFFF00000000}"/>
  </bookViews>
  <sheets>
    <sheet name="1- écart rémunération" sheetId="5" r:id="rId1"/>
    <sheet name="2- écart augmentations" sheetId="9" r:id="rId2"/>
    <sheet name="2 - message" sheetId="13" state="hidden" r:id="rId3"/>
    <sheet name="3- AI maternité" sheetId="12" r:id="rId4"/>
    <sheet name="4- 10 + hautes rému" sheetId="10" r:id="rId5"/>
    <sheet name="index" sheetId="7" r:id="rId6"/>
    <sheet name="barèmes" sheetId="8" r:id="rId7"/>
  </sheets>
  <definedNames>
    <definedName name="_xlnm.Print_Area" localSheetId="0">'1- écart rémunération'!$A$1:$K$33</definedName>
    <definedName name="_xlnm.Print_Area" localSheetId="1">'2- écart augmentations'!$A$1:$M$20</definedName>
    <definedName name="_xlnm.Print_Area" localSheetId="3">'3- AI maternité'!$A$1:$M$14</definedName>
    <definedName name="_xlnm.Print_Area" localSheetId="4">'4- 10 + hautes rému'!$A$1:$M$12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5" l="1"/>
  <c r="C12" i="12"/>
  <c r="D9" i="9" l="1"/>
  <c r="E9" i="9"/>
  <c r="D14" i="9" l="1"/>
  <c r="E14" i="9" s="1"/>
  <c r="F9" i="9"/>
  <c r="C9" i="13"/>
  <c r="C6" i="13"/>
  <c r="G28" i="5"/>
  <c r="E22" i="5"/>
  <c r="G9" i="9" l="1"/>
  <c r="I9" i="9" l="1"/>
  <c r="H9" i="9"/>
  <c r="D28" i="5"/>
  <c r="I10" i="9" l="1"/>
  <c r="D15" i="9"/>
  <c r="E15" i="9"/>
  <c r="J9" i="9"/>
  <c r="D16" i="9" s="1"/>
  <c r="E16" i="9"/>
  <c r="D12" i="12"/>
  <c r="I13" i="5"/>
  <c r="J13" i="5" s="1"/>
  <c r="I14" i="5"/>
  <c r="J14" i="5" s="1"/>
  <c r="I15" i="5"/>
  <c r="J15" i="5" s="1"/>
  <c r="I16" i="5"/>
  <c r="J16" i="5" s="1"/>
  <c r="I17" i="5"/>
  <c r="J17" i="5" s="1"/>
  <c r="I18" i="5"/>
  <c r="J18" i="5" s="1"/>
  <c r="I19" i="5"/>
  <c r="J19" i="5" s="1"/>
  <c r="I20" i="5"/>
  <c r="J20" i="5" s="1"/>
  <c r="I21" i="5"/>
  <c r="J21" i="5" s="1"/>
  <c r="I22" i="5"/>
  <c r="J22" i="5" s="1"/>
  <c r="I23" i="5"/>
  <c r="J23" i="5" s="1"/>
  <c r="I24" i="5"/>
  <c r="J24" i="5" s="1"/>
  <c r="I25" i="5"/>
  <c r="J25" i="5" s="1"/>
  <c r="I26" i="5"/>
  <c r="J26" i="5" s="1"/>
  <c r="I27" i="5"/>
  <c r="J27" i="5" s="1"/>
  <c r="E13" i="5"/>
  <c r="F13" i="5" s="1"/>
  <c r="E14" i="5"/>
  <c r="F14" i="5" s="1"/>
  <c r="E15" i="5"/>
  <c r="F15" i="5" s="1"/>
  <c r="E16" i="5"/>
  <c r="F16" i="5" s="1"/>
  <c r="E17" i="5"/>
  <c r="F17" i="5" s="1"/>
  <c r="E18" i="5"/>
  <c r="F18" i="5" s="1"/>
  <c r="E19" i="5"/>
  <c r="F19" i="5" s="1"/>
  <c r="E20" i="5"/>
  <c r="F20" i="5" s="1"/>
  <c r="E21" i="5"/>
  <c r="F21" i="5" s="1"/>
  <c r="F22" i="5"/>
  <c r="E23" i="5"/>
  <c r="F23" i="5" s="1"/>
  <c r="E24" i="5"/>
  <c r="F24" i="5" s="1"/>
  <c r="E25" i="5"/>
  <c r="F25" i="5" s="1"/>
  <c r="E26" i="5"/>
  <c r="F26" i="5" s="1"/>
  <c r="E27" i="5"/>
  <c r="F27" i="5" s="1"/>
  <c r="K15" i="5" l="1"/>
  <c r="B8" i="7"/>
  <c r="K13" i="5"/>
  <c r="K14" i="5"/>
  <c r="D8" i="12"/>
  <c r="B7" i="8"/>
  <c r="B8" i="8" s="1"/>
  <c r="B9" i="8" s="1"/>
  <c r="B10" i="8" s="1"/>
  <c r="B11" i="8" s="1"/>
  <c r="B12" i="8" s="1"/>
  <c r="B13" i="8" s="1"/>
  <c r="B14" i="8" s="1"/>
  <c r="B15" i="8" s="1"/>
  <c r="B16" i="8" s="1"/>
  <c r="B17" i="8" s="1"/>
  <c r="B18" i="8" s="1"/>
  <c r="B19" i="8" s="1"/>
  <c r="B20" i="8" s="1"/>
  <c r="B21" i="8" s="1"/>
  <c r="B22" i="8" s="1"/>
  <c r="B23" i="8" s="1"/>
  <c r="B24" i="8" s="1"/>
  <c r="B25" i="8" s="1"/>
  <c r="B26" i="8" s="1"/>
  <c r="C13" i="12" l="1"/>
  <c r="C8" i="7" s="1"/>
  <c r="F9" i="7"/>
  <c r="D8" i="10"/>
  <c r="E8" i="10" s="1"/>
  <c r="C11" i="10" s="1"/>
  <c r="E12" i="5"/>
  <c r="F12" i="5" s="1"/>
  <c r="E28" i="5"/>
  <c r="I12" i="5"/>
  <c r="K12" i="5" s="1"/>
  <c r="D11" i="10" l="1"/>
  <c r="C14" i="12"/>
  <c r="D14" i="12" s="1"/>
  <c r="F8" i="7"/>
  <c r="J12" i="5"/>
  <c r="J28" i="5" s="1"/>
  <c r="K27" i="5" s="1"/>
  <c r="D32" i="5" l="1"/>
  <c r="K20" i="5"/>
  <c r="D8" i="7"/>
  <c r="K23" i="5"/>
  <c r="K24" i="5"/>
  <c r="K25" i="5"/>
  <c r="K19" i="5"/>
  <c r="K16" i="5"/>
  <c r="K18" i="5"/>
  <c r="K26" i="5"/>
  <c r="K17" i="5"/>
  <c r="K22" i="5"/>
  <c r="K21" i="5"/>
  <c r="C12" i="10"/>
  <c r="D9" i="7" s="1"/>
  <c r="C9" i="7"/>
  <c r="E32" i="5" l="1"/>
  <c r="B7" i="7"/>
  <c r="C7" i="7" s="1"/>
  <c r="K28" i="5"/>
  <c r="E33" i="5" s="1"/>
  <c r="F7" i="7" l="1"/>
  <c r="D33" i="5"/>
  <c r="D34" i="5" l="1"/>
  <c r="E20" i="9" s="1"/>
  <c r="B6" i="7"/>
  <c r="F6" i="7" l="1"/>
  <c r="F10" i="7" s="1"/>
  <c r="A12" i="7" s="1"/>
  <c r="D18" i="9"/>
  <c r="D19" i="9"/>
  <c r="D6" i="7"/>
  <c r="D20" i="9" l="1"/>
  <c r="D7" i="7" s="1"/>
  <c r="C6" i="7"/>
  <c r="D10" i="7" l="1"/>
  <c r="D1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CECI-RENAUD, Nila 2 (DARES)</author>
  </authors>
  <commentList>
    <comment ref="C10" authorId="0" shapeId="0" xr:uid="{00000000-0006-0000-0000-000001000000}">
      <text>
        <r>
          <rPr>
            <sz val="14"/>
            <color rgb="FF000000"/>
            <rFont val="Tahoma"/>
            <family val="2"/>
          </rPr>
          <t xml:space="preserve">Prendre en compte tous les éléments de rémunération, sauf :
</t>
        </r>
        <r>
          <rPr>
            <sz val="14"/>
            <color rgb="FF000000"/>
            <rFont val="Tahoma"/>
            <family val="2"/>
          </rPr>
          <t xml:space="preserve">- indemnités de licenciement ou de départ à la retraite ;
</t>
        </r>
        <r>
          <rPr>
            <sz val="14"/>
            <color rgb="FF000000"/>
            <rFont val="Tahoma"/>
            <family val="2"/>
          </rPr>
          <t xml:space="preserve">- primes liées à une sujétion particulière qui ne concerne pas la personne du salarié ;
</t>
        </r>
        <r>
          <rPr>
            <sz val="14"/>
            <color rgb="FF000000"/>
            <rFont val="Tahoma"/>
            <family val="2"/>
          </rPr>
          <t xml:space="preserve">- primes d'ancienneté ;
</t>
        </r>
        <r>
          <rPr>
            <sz val="14"/>
            <color rgb="FF000000"/>
            <rFont val="Tahoma"/>
            <family val="2"/>
          </rPr>
          <t xml:space="preserve">- heures supplémentaires ou complémentaires.
</t>
        </r>
        <r>
          <rPr>
            <sz val="14"/>
            <color rgb="FF000000"/>
            <rFont val="Tahoma"/>
            <family val="2"/>
          </rPr>
          <t xml:space="preserve">- intéressement et participation.
</t>
        </r>
        <r>
          <rPr>
            <sz val="14"/>
            <color rgb="FF000000"/>
            <rFont val="Tahoma"/>
            <family val="2"/>
          </rPr>
          <t xml:space="preserve">Pour chaque salarié, la rémunération est rapportée au nombre d'équivalent temps plein (EQTP) en tenant compte de la durée de présence du salarié au cours de la période de référence annuelle, et le cas échéant de sa quotité de temps partiel.
</t>
        </r>
        <r>
          <rPr>
            <sz val="14"/>
            <color rgb="FF000000"/>
            <rFont val="Tahoma"/>
            <family val="2"/>
          </rPr>
          <t>Puis on calcule la moyenne des salaires par EQTP.</t>
        </r>
      </text>
    </comment>
    <comment ref="G10" authorId="0" shapeId="0" xr:uid="{00000000-0006-0000-0000-000002000000}">
      <text>
        <r>
          <rPr>
            <sz val="14"/>
            <color indexed="81"/>
            <rFont val="Tahoma"/>
            <family val="2"/>
          </rPr>
          <t>Prendre en compte l'ensemble des salariés présents pendant la période annuelle de référence, sauf :
- apprentis ou titulaires d'un contrat de professionnalisation ;
- salariés mis à disposition par une entreprise extérieure ;
- salariés expatriés ;
- salariés absents plus de la moitié de la période de référence.</t>
        </r>
      </text>
    </comment>
  </commentList>
</comments>
</file>

<file path=xl/sharedStrings.xml><?xml version="1.0" encoding="utf-8"?>
<sst xmlns="http://schemas.openxmlformats.org/spreadsheetml/2006/main" count="150" uniqueCount="94">
  <si>
    <t>femmes</t>
  </si>
  <si>
    <t>hommes</t>
  </si>
  <si>
    <t>catégorie socioprofessionnelle (CSP)</t>
  </si>
  <si>
    <t>tranche d'âge</t>
  </si>
  <si>
    <t>30 à 39 ans</t>
  </si>
  <si>
    <t>40 à 49 ans</t>
  </si>
  <si>
    <t>50 ans et plus</t>
  </si>
  <si>
    <t>moins de 30 ans</t>
  </si>
  <si>
    <t>validité du groupe (1=oui, 0=non)</t>
  </si>
  <si>
    <t>écart pondéré</t>
  </si>
  <si>
    <t>écart après application du seuil de pertinence</t>
  </si>
  <si>
    <t>ensemble</t>
  </si>
  <si>
    <t>ingénieurs et cadres</t>
  </si>
  <si>
    <t>indicateur calculable (1=oui, 0=non)</t>
  </si>
  <si>
    <t>plancher</t>
  </si>
  <si>
    <t>note</t>
  </si>
  <si>
    <t>indicateur d'écart de rémunération (%) :</t>
  </si>
  <si>
    <t>note obtenue sur 40 :</t>
  </si>
  <si>
    <t>indicateur calculable (1=oui, 0=non) :</t>
  </si>
  <si>
    <t>employés</t>
  </si>
  <si>
    <t>ouvriers</t>
  </si>
  <si>
    <t>valeur de l'indicateur</t>
  </si>
  <si>
    <t>nombre de points maximum de l'indicateur</t>
  </si>
  <si>
    <t>nombre de salariés</t>
  </si>
  <si>
    <t>Calculs automatiques, ne pas modifier.</t>
  </si>
  <si>
    <t>Nombre de salariés parmi les 10 plus hautes rémunérations*</t>
  </si>
  <si>
    <t>* Les rémunérations à considérer sont les rémunérations brutes annuelles par EQTP utilisées pour l'indicateur 1.</t>
  </si>
  <si>
    <t>ensemble des salariés</t>
  </si>
  <si>
    <t>nombre de salariés du sexe sous-représenté</t>
  </si>
  <si>
    <t>note obtenue sur 10 :</t>
  </si>
  <si>
    <t>indicateur du nombre de salariés du sexe sous-représenté parmi les 10 plus hautes rémunérations :</t>
  </si>
  <si>
    <t>Calcul de l'index d'égalité professionnelle femmes-hommes</t>
  </si>
  <si>
    <t>points obtenus</t>
  </si>
  <si>
    <t>Catégories de postes équivalents :</t>
  </si>
  <si>
    <t>Seuil de pertinence associé :</t>
  </si>
  <si>
    <t>4 CSP</t>
  </si>
  <si>
    <t>techniciens et agents de maîtrise</t>
  </si>
  <si>
    <t>effectifs valides (groupes pris en compte)</t>
  </si>
  <si>
    <t>rémunération annuelle brute moyenne par EQTP</t>
  </si>
  <si>
    <t>écart de rémunération moyenne</t>
  </si>
  <si>
    <t>1- Indicateur d'écart de rémunération</t>
  </si>
  <si>
    <t>2- indicateur d'écart de taux d'augmentations individuelles</t>
  </si>
  <si>
    <t>écart de taux d'augmen-tation</t>
  </si>
  <si>
    <t>Indicateur 1 : écart de rémunération (%)</t>
  </si>
  <si>
    <t>Indicateur 2 : écart de taux d'augmentations individuelles (points de %)</t>
  </si>
  <si>
    <t>1- écart de remuneration (en %)</t>
  </si>
  <si>
    <t>total</t>
  </si>
  <si>
    <t>pourcentage de salariés augmentés</t>
  </si>
  <si>
    <t>indicateur de pourcentage de salariés ayant bénéficié d'une augmentation dans l'année suivant leur retour de congé maternité (%) :</t>
  </si>
  <si>
    <t>note obtenue sur 15 :</t>
  </si>
  <si>
    <t>INDEX (sur 100 points)</t>
  </si>
  <si>
    <t>Total des indicateurs calculables</t>
  </si>
  <si>
    <t xml:space="preserve">Ne pas modifier les barèmes des indicateurs. </t>
  </si>
  <si>
    <t>nombre de points maximum des indicateurs calculables</t>
  </si>
  <si>
    <t>En l'absence de modification de votre part, les nombres de salariés sont calculés d'après les données renseignées pour l'indicateur d'écarts de rémunération (cellules grises).</t>
  </si>
  <si>
    <t xml:space="preserve">Saisir vos données dans les seules cellules vertes. Ne rien saisir dans les autres cellules. </t>
  </si>
  <si>
    <t>Ne renseigner les salaires moyens que lorsqu'ils sont calculés sur au moins trois personnes.</t>
  </si>
  <si>
    <t xml:space="preserve">Les résultats apparaissent dans les cellules jaunes. Ils peuvent être accompagnés de commmentaires pour les interpréter. </t>
  </si>
  <si>
    <t>Pour des catégories de postes équivalents plus fines que les 4 CSP, dupliquer et insérer les lignes 12 à 15 après la ligne 19 autant de fois que nécessaire et modifier les intitulés de catégories de postes.</t>
  </si>
  <si>
    <t>Par défaut, les catégories de postes équivalents sont les 4 catégories socioprofessionnelles (CSP).</t>
  </si>
  <si>
    <t>Par défaut, le seuil de pertinence est fixé à 5 % (pour une catégorisation en 4 CSP). Pour toute autre catégorisation, il est fixé à 2 %. Remplacer 5 % par 2 % si vous êtes dans ce cas.</t>
  </si>
  <si>
    <t>nombre de salariés augmentés au cours de la période de référence *</t>
  </si>
  <si>
    <t>taux d'augmentation</t>
  </si>
  <si>
    <t>Il ne faut comptabiliser les salariés augmentés que parmi ceux qui entrent dans le calcul de l'index.</t>
  </si>
  <si>
    <t>écart absolu de taux d'augmen-tation</t>
  </si>
  <si>
    <t>écart en nombre équivalent de salariés</t>
  </si>
  <si>
    <t>écart absolu de taux d'augmentation (points de %) :</t>
  </si>
  <si>
    <t>note correspondant à l'écart absolu de taux d'augmentation :</t>
  </si>
  <si>
    <t>note correspondant à l'écart en nombre équivalent de salariés :</t>
  </si>
  <si>
    <t>écart en nombre équivalent de salariés :</t>
  </si>
  <si>
    <t>Situation</t>
  </si>
  <si>
    <t>écart en faveur des :</t>
  </si>
  <si>
    <t>Plus petit nombre de salariés :</t>
  </si>
  <si>
    <t>Si ce nombre d'hommes n'avait pas reçu d'augmentation parmi les bénéficiaires, les taux d'augmentation seraient égaux entre hommes et femmes.</t>
  </si>
  <si>
    <t>Si ce nombre de femmes n'avait pas reçu d'augmentation parmi les bénéficiaires, les taux d'augmentation seraient égaux entre hommes et femmes.</t>
  </si>
  <si>
    <t>Si ce nombre de femmes supplémentaires avait bénéficié d'une augmentation, les taux d'augmentation seraient égaux entre hommes et femmes.</t>
  </si>
  <si>
    <t>Si ce nombre d'hommes supplémentaires avait bénéficié d'une augmentation, les taux d'augmentation seraient égaux entre hommes et femmes.</t>
  </si>
  <si>
    <t>aucun</t>
  </si>
  <si>
    <t>égal</t>
  </si>
  <si>
    <t>Message accompagnant l'écart en nombre équivalent de salariés :</t>
  </si>
  <si>
    <t>2- écarts d'augmentations individuelles (en points de % ou en nombre équivalent de salariés)</t>
  </si>
  <si>
    <t>3- pourcentage de salariés augmentés au retour d'un congé maternité (%)</t>
  </si>
  <si>
    <t>4- nombre de salariés du sexe sous-représenté parmi les 10 plus hautes rémunérations</t>
  </si>
  <si>
    <t>Indicateur 3 : pourcentage de salariés ayant bénéficié d'une augmentation dans l'année suivant leur retour de congé maternité (%)</t>
  </si>
  <si>
    <t>Indicateur 4 : nombre de salariés du sexe sous-représenté parmi les 10 plus hautes rémunérations</t>
  </si>
  <si>
    <t>note obtenue sur 35 :</t>
  </si>
  <si>
    <t xml:space="preserve">* Seules les augmentations individuelles du salaire de base sont à prendre en compte, qu'elles correspondent ou non à une promotion. </t>
  </si>
  <si>
    <t>La période de référence retenue pour évaluer la présence d'augmentations peut être allongée à deux ou trois ans. Son caractère pluriannuel peut alors être révisé tous les trois ans</t>
  </si>
  <si>
    <t xml:space="preserve">Les résultats apparaissent dans les cellules jaunes. Ils peuvent être accompagnés de commentaires pour les interpréter. </t>
  </si>
  <si>
    <t xml:space="preserve">*  Les salariés à considérer sont les salariés revenus de congé maternité ou d’adoption (éventuellement prolongé par un congé parental) pendant la période de référence, et durant lequel sont intervenues des augmentations générales et/ou individuelles pour les salariés relevant de la même catégorie professionnelle, ou à défaut, pour l’ensemble des salariés de l’entreprise. Même si ces salariés ont été absents plus de la moitié de la période de référence, ils doivent être pris en compte pour le calcul de l'indicateur. </t>
  </si>
  <si>
    <t>3- pourcentage de salariés ayant bénéficié d'une augmentation dans l'année suivant leur retour de congé maternité</t>
  </si>
  <si>
    <t>augmentés**</t>
  </si>
  <si>
    <t>nombre de salariés de retour de congé maternité/adoption*</t>
  </si>
  <si>
    <t>** Les augmentations à prendre en compte sont celles qui sont intervenues soit pendant le congé maternité/adoption, soit à son retour, avant la fin de la période de référence.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</si>
</sst>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26"/>
      <color rgb="FF87D200"/>
      <name val="Arial"/>
      <family val="2"/>
    </font>
    <font>
      <sz val="18"/>
      <color theme="1"/>
      <name val="Calibri"/>
      <family val="2"/>
      <scheme val="minor"/>
    </font>
    <font>
      <b/>
      <sz val="18"/>
      <color rgb="FFFFFFFF"/>
      <name val="Calibri"/>
      <family val="2"/>
      <scheme val="minor"/>
    </font>
    <font>
      <sz val="18"/>
      <color rgb="FFFF0000"/>
      <name val="Calibri"/>
      <family val="2"/>
      <scheme val="minor"/>
    </font>
    <font>
      <sz val="18"/>
      <color rgb="FF000000"/>
      <name val="Calibri"/>
      <family val="2"/>
      <scheme val="minor"/>
    </font>
    <font>
      <sz val="18"/>
      <name val="Calibri"/>
      <family val="2"/>
      <scheme val="minor"/>
    </font>
    <font>
      <b/>
      <sz val="18"/>
      <name val="Calibri"/>
      <family val="2"/>
      <scheme val="minor"/>
    </font>
    <font>
      <sz val="18"/>
      <name val="Arial"/>
      <family val="2"/>
    </font>
    <font>
      <b/>
      <sz val="14"/>
      <color rgb="FF850032"/>
      <name val="Arial"/>
      <family val="2"/>
    </font>
    <font>
      <sz val="14"/>
      <color rgb="FF850032"/>
      <name val="Arial"/>
      <family val="2"/>
    </font>
    <font>
      <b/>
      <sz val="11"/>
      <color theme="1"/>
      <name val="Calibri"/>
      <family val="2"/>
      <scheme val="minor"/>
    </font>
    <font>
      <sz val="11"/>
      <color theme="1"/>
      <name val="Calibri"/>
      <family val="2"/>
      <scheme val="minor"/>
    </font>
    <font>
      <b/>
      <sz val="16"/>
      <color rgb="FFFF0000"/>
      <name val="Calibri"/>
      <family val="2"/>
      <scheme val="minor"/>
    </font>
    <font>
      <b/>
      <sz val="26"/>
      <color theme="4"/>
      <name val="Arial"/>
      <family val="2"/>
    </font>
    <font>
      <sz val="16"/>
      <color theme="1"/>
      <name val="Calibri"/>
      <family val="2"/>
      <scheme val="minor"/>
    </font>
    <font>
      <b/>
      <sz val="18"/>
      <color theme="1"/>
      <name val="Calibri"/>
      <family val="2"/>
      <scheme val="minor"/>
    </font>
    <font>
      <b/>
      <sz val="18"/>
      <color rgb="FF000000"/>
      <name val="Calibri"/>
      <family val="2"/>
      <scheme val="minor"/>
    </font>
    <font>
      <sz val="16"/>
      <name val="Calibri"/>
      <family val="2"/>
      <scheme val="minor"/>
    </font>
    <font>
      <b/>
      <sz val="16"/>
      <color theme="1"/>
      <name val="Calibri"/>
      <family val="2"/>
      <scheme val="minor"/>
    </font>
    <font>
      <b/>
      <sz val="28"/>
      <color theme="4"/>
      <name val="Arial"/>
      <family val="2"/>
    </font>
    <font>
      <sz val="11"/>
      <name val="Calibri"/>
      <family val="2"/>
      <scheme val="minor"/>
    </font>
    <font>
      <b/>
      <sz val="16"/>
      <name val="Calibri"/>
      <family val="2"/>
      <scheme val="minor"/>
    </font>
    <font>
      <sz val="14"/>
      <color indexed="81"/>
      <name val="Tahoma"/>
      <family val="2"/>
    </font>
    <font>
      <sz val="14"/>
      <color rgb="FF000000"/>
      <name val="Tahoma"/>
      <family val="2"/>
    </font>
  </fonts>
  <fills count="12">
    <fill>
      <patternFill patternType="none"/>
    </fill>
    <fill>
      <patternFill patternType="gray125"/>
    </fill>
    <fill>
      <patternFill patternType="solid">
        <fgColor rgb="FFFFD100"/>
        <bgColor indexed="64"/>
      </patternFill>
    </fill>
    <fill>
      <patternFill patternType="solid">
        <fgColor rgb="FFFFEECB"/>
        <bgColor indexed="64"/>
      </patternFill>
    </fill>
    <fill>
      <patternFill patternType="solid">
        <fgColor rgb="FFFFF7E7"/>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0"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indexed="64"/>
      </bottom>
      <diagonal/>
    </border>
  </borders>
  <cellStyleXfs count="2">
    <xf numFmtId="0" fontId="0" fillId="0" borderId="0"/>
    <xf numFmtId="9" fontId="12" fillId="0" borderId="0" applyFont="0" applyFill="0" applyBorder="0" applyAlignment="0" applyProtection="0"/>
  </cellStyleXfs>
  <cellXfs count="104">
    <xf numFmtId="0" fontId="0" fillId="0" borderId="0" xfId="0"/>
    <xf numFmtId="0" fontId="1" fillId="0" borderId="0" xfId="0" applyFont="1" applyAlignment="1">
      <alignment horizontal="left" vertical="center" readingOrder="1"/>
    </xf>
    <xf numFmtId="0" fontId="10" fillId="3" borderId="4" xfId="0" applyFont="1" applyFill="1" applyBorder="1" applyAlignment="1">
      <alignment horizontal="left" vertical="center" wrapText="1" readingOrder="1"/>
    </xf>
    <xf numFmtId="0" fontId="10" fillId="4" borderId="5" xfId="0" applyFont="1" applyFill="1" applyBorder="1" applyAlignment="1">
      <alignment horizontal="left" vertical="center" wrapText="1" readingOrder="1"/>
    </xf>
    <xf numFmtId="0" fontId="4" fillId="0" borderId="0" xfId="0" applyFont="1"/>
    <xf numFmtId="0" fontId="9" fillId="2" borderId="3" xfId="0" applyFont="1" applyFill="1" applyBorder="1" applyAlignment="1">
      <alignment horizontal="center" vertical="center" wrapText="1" readingOrder="1"/>
    </xf>
    <xf numFmtId="0" fontId="8" fillId="2" borderId="3" xfId="0" applyFont="1" applyFill="1" applyBorder="1" applyAlignment="1">
      <alignment vertical="top" wrapText="1"/>
    </xf>
    <xf numFmtId="0" fontId="13" fillId="0" borderId="0" xfId="0" applyFont="1"/>
    <xf numFmtId="0" fontId="3" fillId="7" borderId="1" xfId="0" applyFont="1" applyFill="1" applyBorder="1" applyAlignment="1">
      <alignment horizontal="center" vertical="center" wrapText="1" readingOrder="1"/>
    </xf>
    <xf numFmtId="0" fontId="3" fillId="7" borderId="1" xfId="0" applyFont="1" applyFill="1" applyBorder="1" applyAlignment="1">
      <alignment horizontal="left" vertical="center" wrapText="1" readingOrder="1"/>
    </xf>
    <xf numFmtId="0" fontId="14" fillId="0" borderId="0" xfId="0" applyFont="1" applyAlignment="1">
      <alignment horizontal="left" vertical="center" readingOrder="1"/>
    </xf>
    <xf numFmtId="0" fontId="7" fillId="0" borderId="0" xfId="0" applyFont="1"/>
    <xf numFmtId="164" fontId="6" fillId="0" borderId="0" xfId="1" applyNumberFormat="1" applyFont="1"/>
    <xf numFmtId="9" fontId="0" fillId="0" borderId="0" xfId="0" applyNumberFormat="1"/>
    <xf numFmtId="165" fontId="7" fillId="6" borderId="0" xfId="1" applyNumberFormat="1" applyFont="1" applyFill="1" applyAlignment="1">
      <alignment horizontal="right" indent="2"/>
    </xf>
    <xf numFmtId="1" fontId="0" fillId="0" borderId="0" xfId="0" applyNumberFormat="1"/>
    <xf numFmtId="165" fontId="0" fillId="0" borderId="0" xfId="0" applyNumberFormat="1"/>
    <xf numFmtId="1" fontId="7" fillId="6" borderId="0" xfId="0" applyNumberFormat="1" applyFont="1" applyFill="1" applyAlignment="1">
      <alignment horizontal="right" indent="2"/>
    </xf>
    <xf numFmtId="3" fontId="2" fillId="8" borderId="1" xfId="0" applyNumberFormat="1" applyFont="1" applyFill="1" applyBorder="1" applyAlignment="1" applyProtection="1">
      <alignment horizontal="center" wrapText="1" readingOrder="1"/>
      <protection locked="0"/>
    </xf>
    <xf numFmtId="164" fontId="2" fillId="5" borderId="1" xfId="0" applyNumberFormat="1" applyFont="1" applyFill="1" applyBorder="1" applyAlignment="1" applyProtection="1">
      <alignment horizontal="right" wrapText="1" indent="2" readingOrder="1"/>
      <protection locked="0"/>
    </xf>
    <xf numFmtId="0" fontId="2" fillId="8" borderId="1" xfId="0" applyFont="1" applyFill="1" applyBorder="1" applyAlignment="1" applyProtection="1">
      <alignment horizontal="center" wrapText="1" readingOrder="1"/>
      <protection locked="0"/>
    </xf>
    <xf numFmtId="0" fontId="2" fillId="0" borderId="1" xfId="0" applyFont="1" applyBorder="1" applyAlignment="1">
      <alignment horizontal="center" wrapText="1" readingOrder="1"/>
    </xf>
    <xf numFmtId="10" fontId="2" fillId="0" borderId="1" xfId="0" applyNumberFormat="1" applyFont="1" applyBorder="1" applyAlignment="1">
      <alignment horizontal="center" wrapText="1"/>
    </xf>
    <xf numFmtId="0" fontId="10" fillId="3" borderId="2" xfId="0" applyFont="1" applyFill="1" applyBorder="1" applyAlignment="1">
      <alignment horizontal="left" vertical="center" wrapText="1" readingOrder="1"/>
    </xf>
    <xf numFmtId="164" fontId="2" fillId="0" borderId="0" xfId="0" applyNumberFormat="1" applyFont="1" applyAlignment="1" applyProtection="1">
      <alignment horizontal="center" vertical="top" wrapText="1" readingOrder="1"/>
      <protection locked="0"/>
    </xf>
    <xf numFmtId="164" fontId="2" fillId="0" borderId="0" xfId="0" applyNumberFormat="1" applyFont="1" applyAlignment="1" applyProtection="1">
      <alignment horizontal="right" wrapText="1" indent="2" readingOrder="1"/>
      <protection locked="0"/>
    </xf>
    <xf numFmtId="0" fontId="5" fillId="0" borderId="0" xfId="0" applyFont="1" applyAlignment="1">
      <alignment horizontal="center" wrapText="1" readingOrder="1"/>
    </xf>
    <xf numFmtId="0" fontId="6" fillId="0" borderId="0" xfId="0" applyFont="1" applyAlignment="1">
      <alignment horizontal="left" vertical="center" readingOrder="1"/>
    </xf>
    <xf numFmtId="0" fontId="15" fillId="0" borderId="0" xfId="0" applyFont="1"/>
    <xf numFmtId="3" fontId="16" fillId="0" borderId="1" xfId="0" applyNumberFormat="1" applyFont="1" applyBorder="1" applyAlignment="1" applyProtection="1">
      <alignment horizontal="center" vertical="center" wrapText="1" readingOrder="1"/>
      <protection locked="0"/>
    </xf>
    <xf numFmtId="164" fontId="16" fillId="5" borderId="1" xfId="0" applyNumberFormat="1" applyFont="1" applyFill="1" applyBorder="1" applyAlignment="1" applyProtection="1">
      <alignment horizontal="right" vertical="center" wrapText="1" readingOrder="1"/>
      <protection locked="0"/>
    </xf>
    <xf numFmtId="0" fontId="17" fillId="5" borderId="1"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1" fontId="2" fillId="8" borderId="1" xfId="0" applyNumberFormat="1" applyFont="1" applyFill="1" applyBorder="1" applyAlignment="1" applyProtection="1">
      <alignment horizontal="center" vertical="center" wrapText="1" readingOrder="1"/>
      <protection locked="0"/>
    </xf>
    <xf numFmtId="1" fontId="2" fillId="0" borderId="1" xfId="0" applyNumberFormat="1" applyFont="1" applyBorder="1" applyAlignment="1" applyProtection="1">
      <alignment horizontal="center" vertical="center" wrapText="1" readingOrder="1"/>
      <protection locked="0"/>
    </xf>
    <xf numFmtId="1" fontId="2" fillId="6" borderId="1" xfId="0" applyNumberFormat="1" applyFont="1" applyFill="1" applyBorder="1" applyAlignment="1" applyProtection="1">
      <alignment horizontal="center" vertical="center" wrapText="1" readingOrder="1"/>
      <protection locked="0"/>
    </xf>
    <xf numFmtId="1" fontId="7" fillId="0" borderId="0" xfId="0" applyNumberFormat="1" applyFont="1" applyAlignment="1">
      <alignment horizontal="right" indent="2"/>
    </xf>
    <xf numFmtId="0" fontId="19" fillId="0" borderId="0" xfId="0" applyFont="1"/>
    <xf numFmtId="0" fontId="7" fillId="0" borderId="0" xfId="0" applyFont="1" applyAlignment="1">
      <alignment wrapText="1"/>
    </xf>
    <xf numFmtId="0" fontId="7" fillId="0" borderId="0" xfId="0" applyFont="1" applyAlignment="1">
      <alignment vertical="center" wrapText="1"/>
    </xf>
    <xf numFmtId="0" fontId="0" fillId="0" borderId="0" xfId="0" applyAlignment="1">
      <alignment vertical="center" wrapText="1"/>
    </xf>
    <xf numFmtId="1" fontId="7" fillId="6" borderId="0" xfId="0" applyNumberFormat="1" applyFont="1" applyFill="1" applyAlignment="1">
      <alignment horizontal="right" vertical="center" wrapText="1" indent="2"/>
    </xf>
    <xf numFmtId="1" fontId="10" fillId="3" borderId="4" xfId="0" applyNumberFormat="1" applyFont="1" applyFill="1" applyBorder="1" applyAlignment="1">
      <alignment horizontal="right" vertical="center" wrapText="1" indent="5" readingOrder="1"/>
    </xf>
    <xf numFmtId="0" fontId="10" fillId="3" borderId="4" xfId="0" applyFont="1" applyFill="1" applyBorder="1" applyAlignment="1">
      <alignment horizontal="right" vertical="center" wrapText="1" indent="5" readingOrder="1"/>
    </xf>
    <xf numFmtId="0" fontId="10" fillId="4" borderId="5" xfId="0" applyFont="1" applyFill="1" applyBorder="1" applyAlignment="1">
      <alignment horizontal="right" vertical="center" wrapText="1" indent="5" readingOrder="1"/>
    </xf>
    <xf numFmtId="1" fontId="10" fillId="4" borderId="5" xfId="0" applyNumberFormat="1" applyFont="1" applyFill="1" applyBorder="1" applyAlignment="1">
      <alignment horizontal="right" vertical="center" wrapText="1" indent="5" readingOrder="1"/>
    </xf>
    <xf numFmtId="1" fontId="10" fillId="3" borderId="2" xfId="0" applyNumberFormat="1" applyFont="1" applyFill="1" applyBorder="1" applyAlignment="1">
      <alignment horizontal="right" vertical="center" wrapText="1" indent="5" readingOrder="1"/>
    </xf>
    <xf numFmtId="0" fontId="10" fillId="3" borderId="4" xfId="0" applyFont="1" applyFill="1" applyBorder="1" applyAlignment="1">
      <alignment horizontal="right" vertical="center" wrapText="1" indent="8" readingOrder="1"/>
    </xf>
    <xf numFmtId="0" fontId="10" fillId="4" borderId="5" xfId="0" applyFont="1" applyFill="1" applyBorder="1" applyAlignment="1">
      <alignment horizontal="right" vertical="center" wrapText="1" indent="8" readingOrder="1"/>
    </xf>
    <xf numFmtId="0" fontId="10" fillId="3" borderId="2" xfId="0" applyFont="1" applyFill="1" applyBorder="1" applyAlignment="1">
      <alignment horizontal="right" vertical="center" wrapText="1" indent="8" readingOrder="1"/>
    </xf>
    <xf numFmtId="0" fontId="20" fillId="0" borderId="0" xfId="0" applyFont="1" applyAlignment="1">
      <alignment horizontal="left" vertical="center" readingOrder="1"/>
    </xf>
    <xf numFmtId="0" fontId="9" fillId="4" borderId="0" xfId="0" applyFont="1" applyFill="1" applyAlignment="1">
      <alignment horizontal="left" vertical="center" wrapText="1" readingOrder="1"/>
    </xf>
    <xf numFmtId="0" fontId="10" fillId="4" borderId="0" xfId="0" applyFont="1" applyFill="1" applyAlignment="1">
      <alignment horizontal="right" vertical="center" wrapText="1" indent="5" readingOrder="1"/>
    </xf>
    <xf numFmtId="1" fontId="9" fillId="4" borderId="0" xfId="0" applyNumberFormat="1" applyFont="1" applyFill="1" applyAlignment="1">
      <alignment horizontal="right" vertical="center" wrapText="1" indent="5" readingOrder="1"/>
    </xf>
    <xf numFmtId="0" fontId="9" fillId="4" borderId="0" xfId="0" applyFont="1" applyFill="1" applyAlignment="1">
      <alignment horizontal="right" vertical="center" wrapText="1" indent="8" readingOrder="1"/>
    </xf>
    <xf numFmtId="0" fontId="9" fillId="6" borderId="0" xfId="0" applyFont="1" applyFill="1" applyAlignment="1">
      <alignment horizontal="left" vertical="center" wrapText="1" readingOrder="1"/>
    </xf>
    <xf numFmtId="2" fontId="10" fillId="6" borderId="0" xfId="0" applyNumberFormat="1" applyFont="1" applyFill="1" applyAlignment="1">
      <alignment horizontal="right" vertical="center" wrapText="1" indent="5" readingOrder="1"/>
    </xf>
    <xf numFmtId="1" fontId="9" fillId="6" borderId="0" xfId="0" applyNumberFormat="1" applyFont="1" applyFill="1" applyAlignment="1">
      <alignment horizontal="right" vertical="center" wrapText="1" indent="5" readingOrder="1"/>
    </xf>
    <xf numFmtId="1" fontId="9" fillId="6" borderId="0" xfId="0" applyNumberFormat="1" applyFont="1" applyFill="1" applyAlignment="1">
      <alignment horizontal="right" vertical="center" wrapText="1" indent="8" readingOrder="1"/>
    </xf>
    <xf numFmtId="0" fontId="19" fillId="8" borderId="0" xfId="0" applyFont="1" applyFill="1"/>
    <xf numFmtId="0" fontId="19" fillId="0" borderId="0" xfId="0" applyFont="1" applyAlignment="1">
      <alignment vertical="center"/>
    </xf>
    <xf numFmtId="0" fontId="15" fillId="0" borderId="0" xfId="0" applyFont="1" applyAlignment="1">
      <alignment vertical="center"/>
    </xf>
    <xf numFmtId="9" fontId="19" fillId="8" borderId="0" xfId="0" applyNumberFormat="1" applyFont="1" applyFill="1" applyAlignment="1">
      <alignment horizontal="left" vertical="center"/>
    </xf>
    <xf numFmtId="1" fontId="7" fillId="6" borderId="0" xfId="1" applyNumberFormat="1" applyFont="1" applyFill="1" applyAlignment="1">
      <alignment horizontal="left" wrapText="1" indent="2"/>
    </xf>
    <xf numFmtId="1" fontId="7" fillId="6" borderId="0" xfId="0" applyNumberFormat="1" applyFont="1" applyFill="1" applyAlignment="1">
      <alignment horizontal="left" indent="2"/>
    </xf>
    <xf numFmtId="0" fontId="21" fillId="0" borderId="0" xfId="0" applyFont="1"/>
    <xf numFmtId="0" fontId="6" fillId="0" borderId="0" xfId="0" applyFont="1"/>
    <xf numFmtId="0" fontId="22" fillId="0" borderId="0" xfId="0" applyFont="1"/>
    <xf numFmtId="164" fontId="7" fillId="6" borderId="1" xfId="0" applyNumberFormat="1" applyFont="1" applyFill="1" applyBorder="1" applyAlignment="1">
      <alignment horizontal="center" vertical="center" wrapText="1" readingOrder="1"/>
    </xf>
    <xf numFmtId="164" fontId="0" fillId="0" borderId="0" xfId="1" applyNumberFormat="1" applyFont="1"/>
    <xf numFmtId="164" fontId="2" fillId="6" borderId="1" xfId="1" applyNumberFormat="1" applyFont="1" applyFill="1" applyBorder="1" applyAlignment="1" applyProtection="1">
      <alignment horizontal="center" vertical="center" wrapText="1" readingOrder="1"/>
      <protection locked="0"/>
    </xf>
    <xf numFmtId="1" fontId="2" fillId="8" borderId="1" xfId="0" applyNumberFormat="1" applyFont="1" applyFill="1" applyBorder="1" applyAlignment="1" applyProtection="1">
      <alignment horizontal="right" vertical="center" wrapText="1" indent="2" readingOrder="1"/>
      <protection locked="0"/>
    </xf>
    <xf numFmtId="164" fontId="5" fillId="5" borderId="7" xfId="1" applyNumberFormat="1" applyFont="1" applyFill="1" applyBorder="1" applyAlignment="1">
      <alignment horizontal="center" vertical="center" wrapText="1" readingOrder="1"/>
    </xf>
    <xf numFmtId="164" fontId="7" fillId="6" borderId="1" xfId="0" applyNumberFormat="1" applyFont="1" applyFill="1" applyBorder="1" applyAlignment="1">
      <alignment horizontal="right" vertical="center" wrapText="1" indent="2"/>
    </xf>
    <xf numFmtId="1" fontId="7" fillId="0" borderId="0" xfId="1" applyNumberFormat="1" applyFont="1" applyFill="1" applyAlignment="1">
      <alignment horizontal="right" indent="2"/>
    </xf>
    <xf numFmtId="165" fontId="16" fillId="6" borderId="1" xfId="0" applyNumberFormat="1" applyFont="1" applyFill="1" applyBorder="1" applyAlignment="1" applyProtection="1">
      <alignment horizontal="right" vertical="center" wrapText="1" indent="2" readingOrder="1"/>
      <protection locked="0"/>
    </xf>
    <xf numFmtId="0" fontId="0" fillId="0" borderId="10" xfId="0" applyBorder="1" applyAlignment="1">
      <alignment vertical="top" wrapText="1"/>
    </xf>
    <xf numFmtId="0" fontId="0" fillId="10" borderId="0" xfId="0" applyFill="1"/>
    <xf numFmtId="165" fontId="10" fillId="4" borderId="5" xfId="0" applyNumberFormat="1" applyFont="1" applyFill="1" applyBorder="1" applyAlignment="1">
      <alignment horizontal="right" vertical="center" wrapText="1" indent="5" readingOrder="1"/>
    </xf>
    <xf numFmtId="1" fontId="2" fillId="11" borderId="1" xfId="0" applyNumberFormat="1" applyFont="1" applyFill="1" applyBorder="1" applyAlignment="1" applyProtection="1">
      <alignment horizontal="right" vertical="center" wrapText="1" indent="2" readingOrder="1"/>
      <protection locked="0"/>
    </xf>
    <xf numFmtId="0" fontId="19" fillId="0" borderId="0" xfId="0" applyFont="1" applyAlignment="1">
      <alignment horizontal="right" indent="2"/>
    </xf>
    <xf numFmtId="165" fontId="7" fillId="0" borderId="0" xfId="1" applyNumberFormat="1" applyFont="1" applyFill="1" applyAlignment="1">
      <alignment horizontal="right" indent="2"/>
    </xf>
    <xf numFmtId="0" fontId="6" fillId="0" borderId="9" xfId="0" applyFont="1" applyBorder="1" applyAlignment="1">
      <alignment horizontal="left" vertical="center" readingOrder="1"/>
    </xf>
    <xf numFmtId="0" fontId="4" fillId="0" borderId="9" xfId="0" applyFont="1" applyBorder="1" applyAlignment="1">
      <alignment horizontal="left" vertical="center" readingOrder="1"/>
    </xf>
    <xf numFmtId="0" fontId="17" fillId="5" borderId="6" xfId="0" applyFont="1" applyFill="1" applyBorder="1" applyAlignment="1">
      <alignment horizontal="center" vertical="center" wrapText="1" readingOrder="1"/>
    </xf>
    <xf numFmtId="0" fontId="17" fillId="5" borderId="7" xfId="0" applyFont="1" applyFill="1" applyBorder="1" applyAlignment="1">
      <alignment horizontal="center" vertical="center" wrapText="1" readingOrder="1"/>
    </xf>
    <xf numFmtId="0" fontId="15" fillId="0" borderId="0" xfId="0" applyFont="1" applyAlignment="1">
      <alignment horizontal="left" vertical="center" wrapText="1"/>
    </xf>
    <xf numFmtId="0" fontId="3" fillId="7" borderId="1" xfId="0" applyFont="1" applyFill="1" applyBorder="1" applyAlignment="1">
      <alignment horizontal="center" vertical="center" wrapText="1" readingOrder="1"/>
    </xf>
    <xf numFmtId="0" fontId="3" fillId="7" borderId="6" xfId="0" applyFont="1" applyFill="1" applyBorder="1" applyAlignment="1">
      <alignment horizontal="center" vertical="center" wrapText="1" readingOrder="1"/>
    </xf>
    <xf numFmtId="0" fontId="3" fillId="7" borderId="7"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0" fontId="15" fillId="0" borderId="0" xfId="0" applyFont="1" applyAlignment="1">
      <alignment horizontal="left"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9" xfId="0" applyBorder="1" applyAlignment="1">
      <alignment horizontal="center" vertical="top"/>
    </xf>
    <xf numFmtId="0" fontId="14" fillId="0" borderId="0" xfId="0" applyFont="1" applyAlignment="1">
      <alignment horizontal="left" vertical="center" wrapText="1" readingOrder="1"/>
    </xf>
    <xf numFmtId="0" fontId="0" fillId="0" borderId="0" xfId="0" applyAlignment="1">
      <alignment wrapText="1"/>
    </xf>
    <xf numFmtId="0" fontId="18" fillId="0" borderId="9" xfId="0" applyFont="1" applyBorder="1" applyAlignment="1">
      <alignment horizontal="left" vertical="center" wrapText="1" readingOrder="1"/>
    </xf>
    <xf numFmtId="0" fontId="15" fillId="0" borderId="9" xfId="0" applyFont="1" applyBorder="1" applyAlignment="1">
      <alignment wrapText="1" readingOrder="1"/>
    </xf>
    <xf numFmtId="0" fontId="18" fillId="0" borderId="0" xfId="0" applyFont="1" applyAlignment="1">
      <alignment horizontal="left" vertical="center" wrapText="1" readingOrder="1"/>
    </xf>
    <xf numFmtId="0" fontId="0" fillId="0" borderId="0" xfId="0" applyAlignment="1">
      <alignment wrapText="1" readingOrder="1"/>
    </xf>
    <xf numFmtId="0" fontId="7" fillId="0" borderId="0" xfId="0" applyFont="1" applyAlignment="1">
      <alignment wrapText="1"/>
    </xf>
    <xf numFmtId="0" fontId="3" fillId="7" borderId="8" xfId="0" applyFont="1" applyFill="1" applyBorder="1" applyAlignment="1">
      <alignment horizontal="center" vertical="center" wrapText="1" readingOrder="1"/>
    </xf>
    <xf numFmtId="0" fontId="11" fillId="0" borderId="0" xfId="0" applyFont="1" applyAlignment="1">
      <alignment horizontal="left"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topLeftCell="A18" zoomScale="80" zoomScaleNormal="80" workbookViewId="0">
      <selection activeCell="K28" sqref="K28"/>
    </sheetView>
  </sheetViews>
  <sheetFormatPr baseColWidth="10" defaultRowHeight="15" x14ac:dyDescent="0.2"/>
  <cols>
    <col min="1" max="1" width="24" customWidth="1"/>
    <col min="2" max="2" width="28.6640625" customWidth="1"/>
    <col min="3" max="3" width="19.5" customWidth="1"/>
    <col min="4" max="4" width="22.6640625" customWidth="1"/>
    <col min="5" max="5" width="23.33203125" customWidth="1"/>
    <col min="6" max="6" width="30.1640625" customWidth="1"/>
    <col min="7" max="8" width="16.83203125" customWidth="1"/>
    <col min="9" max="9" width="22.1640625" customWidth="1"/>
    <col min="10" max="10" width="26.83203125" customWidth="1"/>
    <col min="11" max="11" width="17.1640625" customWidth="1"/>
    <col min="12" max="12" width="9.5" customWidth="1"/>
  </cols>
  <sheetData>
    <row r="1" spans="1:11" ht="33" x14ac:dyDescent="0.2">
      <c r="A1" s="10" t="s">
        <v>40</v>
      </c>
      <c r="D1" s="1"/>
    </row>
    <row r="3" spans="1:11" ht="24" x14ac:dyDescent="0.3">
      <c r="A3" s="11" t="s">
        <v>55</v>
      </c>
      <c r="B3" s="65"/>
      <c r="C3" s="65"/>
      <c r="D3" s="65"/>
      <c r="E3" s="65"/>
      <c r="F3" s="65"/>
      <c r="G3" s="65"/>
      <c r="H3" s="65"/>
    </row>
    <row r="4" spans="1:11" ht="24" x14ac:dyDescent="0.3">
      <c r="A4" s="11" t="s">
        <v>88</v>
      </c>
      <c r="B4" s="65"/>
      <c r="C4" s="65"/>
      <c r="D4" s="65"/>
      <c r="E4" s="65"/>
      <c r="F4" s="65"/>
      <c r="G4" s="65"/>
      <c r="H4" s="65"/>
    </row>
    <row r="5" spans="1:11" ht="24" x14ac:dyDescent="0.3">
      <c r="A5" s="11" t="s">
        <v>56</v>
      </c>
      <c r="B5" s="65"/>
      <c r="C5" s="65"/>
      <c r="D5" s="65"/>
      <c r="E5" s="65"/>
      <c r="F5" s="65"/>
      <c r="G5" s="65"/>
      <c r="H5" s="65"/>
    </row>
    <row r="6" spans="1:11" ht="21" x14ac:dyDescent="0.25">
      <c r="A6" s="7"/>
    </row>
    <row r="7" spans="1:11" ht="21" x14ac:dyDescent="0.25">
      <c r="A7" s="37" t="s">
        <v>33</v>
      </c>
      <c r="B7" s="28"/>
      <c r="C7" s="59" t="s">
        <v>35</v>
      </c>
      <c r="D7" s="28" t="s">
        <v>59</v>
      </c>
    </row>
    <row r="8" spans="1:11" ht="44.25" customHeight="1" x14ac:dyDescent="0.2">
      <c r="A8" s="60" t="s">
        <v>34</v>
      </c>
      <c r="B8" s="61"/>
      <c r="C8" s="62">
        <v>0.05</v>
      </c>
      <c r="D8" s="86" t="s">
        <v>60</v>
      </c>
      <c r="E8" s="86"/>
      <c r="F8" s="86"/>
      <c r="G8" s="86"/>
      <c r="H8" s="86"/>
      <c r="I8" s="86"/>
      <c r="J8" s="86"/>
      <c r="K8" s="86"/>
    </row>
    <row r="10" spans="1:11" ht="45.75" customHeight="1" x14ac:dyDescent="0.2">
      <c r="A10" s="87" t="s">
        <v>2</v>
      </c>
      <c r="B10" s="87" t="s">
        <v>3</v>
      </c>
      <c r="C10" s="87" t="s">
        <v>38</v>
      </c>
      <c r="D10" s="87"/>
      <c r="E10" s="87" t="s">
        <v>39</v>
      </c>
      <c r="F10" s="87" t="s">
        <v>10</v>
      </c>
      <c r="G10" s="88" t="s">
        <v>23</v>
      </c>
      <c r="H10" s="89"/>
      <c r="I10" s="87" t="s">
        <v>8</v>
      </c>
      <c r="J10" s="87" t="s">
        <v>37</v>
      </c>
      <c r="K10" s="87" t="s">
        <v>9</v>
      </c>
    </row>
    <row r="11" spans="1:11" ht="25" x14ac:dyDescent="0.2">
      <c r="A11" s="87"/>
      <c r="B11" s="87"/>
      <c r="C11" s="8" t="s">
        <v>0</v>
      </c>
      <c r="D11" s="8" t="s">
        <v>1</v>
      </c>
      <c r="E11" s="87"/>
      <c r="F11" s="87"/>
      <c r="G11" s="8" t="s">
        <v>0</v>
      </c>
      <c r="H11" s="8" t="s">
        <v>1</v>
      </c>
      <c r="I11" s="87"/>
      <c r="J11" s="87"/>
      <c r="K11" s="87"/>
    </row>
    <row r="12" spans="1:11" ht="23.25" customHeight="1" x14ac:dyDescent="0.3">
      <c r="A12" s="87" t="s">
        <v>20</v>
      </c>
      <c r="B12" s="9" t="s">
        <v>7</v>
      </c>
      <c r="C12" s="18"/>
      <c r="D12" s="18"/>
      <c r="E12" s="19" t="str">
        <f>IF(AND(C12&gt;0,D12&gt;0),(D12-C12)/D12," ")</f>
        <v xml:space="preserve"> </v>
      </c>
      <c r="F12" s="19" t="str">
        <f t="shared" ref="F12" si="0">IF(ISNUMBER(E12),SIGN(E12)*MAX(0,ABS(E12)-$C$8)," ")</f>
        <v xml:space="preserve"> </v>
      </c>
      <c r="G12" s="20">
        <v>0</v>
      </c>
      <c r="H12" s="20">
        <v>0</v>
      </c>
      <c r="I12" s="21">
        <f>IF(AND(G12&gt;=3,H12&gt;=3),1,0)</f>
        <v>0</v>
      </c>
      <c r="J12" s="21">
        <f>I12*SUM(G12:H12)</f>
        <v>0</v>
      </c>
      <c r="K12" s="22">
        <f t="shared" ref="K12:K27" si="1">IF(I12=1,F12*J12/J$28,0)</f>
        <v>0</v>
      </c>
    </row>
    <row r="13" spans="1:11" ht="25" x14ac:dyDescent="0.3">
      <c r="A13" s="87"/>
      <c r="B13" s="9" t="s">
        <v>4</v>
      </c>
      <c r="C13" s="18"/>
      <c r="D13" s="18"/>
      <c r="E13" s="19" t="str">
        <f t="shared" ref="E13:E27" si="2">IF(AND(C13&gt;0,D13&gt;0),(D13-C13)/D13," ")</f>
        <v xml:space="preserve"> </v>
      </c>
      <c r="F13" s="19" t="str">
        <f t="shared" ref="F13:F27" si="3">IF(ISNUMBER(E13),SIGN(E13)*MAX(0,ABS(E13)-$C$8)," ")</f>
        <v xml:space="preserve"> </v>
      </c>
      <c r="G13" s="20">
        <v>0</v>
      </c>
      <c r="H13" s="20">
        <v>0</v>
      </c>
      <c r="I13" s="21">
        <f t="shared" ref="I13:I27" si="4">IF(AND(G13&gt;=3,H13&gt;=3),1,0)</f>
        <v>0</v>
      </c>
      <c r="J13" s="21">
        <f t="shared" ref="J13:J27" si="5">I13*SUM(G13:H13)</f>
        <v>0</v>
      </c>
      <c r="K13" s="22">
        <f t="shared" si="1"/>
        <v>0</v>
      </c>
    </row>
    <row r="14" spans="1:11" ht="25" x14ac:dyDescent="0.3">
      <c r="A14" s="87"/>
      <c r="B14" s="9" t="s">
        <v>5</v>
      </c>
      <c r="C14" s="18"/>
      <c r="D14" s="18"/>
      <c r="E14" s="19" t="str">
        <f t="shared" si="2"/>
        <v xml:space="preserve"> </v>
      </c>
      <c r="F14" s="19" t="str">
        <f t="shared" si="3"/>
        <v xml:space="preserve"> </v>
      </c>
      <c r="G14" s="20">
        <v>0</v>
      </c>
      <c r="H14" s="20">
        <v>0</v>
      </c>
      <c r="I14" s="21">
        <f t="shared" si="4"/>
        <v>0</v>
      </c>
      <c r="J14" s="21">
        <f t="shared" si="5"/>
        <v>0</v>
      </c>
      <c r="K14" s="22">
        <f t="shared" si="1"/>
        <v>0</v>
      </c>
    </row>
    <row r="15" spans="1:11" ht="25" x14ac:dyDescent="0.3">
      <c r="A15" s="87"/>
      <c r="B15" s="9" t="s">
        <v>6</v>
      </c>
      <c r="C15" s="18"/>
      <c r="D15" s="18"/>
      <c r="E15" s="19" t="str">
        <f t="shared" si="2"/>
        <v xml:space="preserve"> </v>
      </c>
      <c r="F15" s="19" t="str">
        <f t="shared" si="3"/>
        <v xml:space="preserve"> </v>
      </c>
      <c r="G15" s="20">
        <v>0</v>
      </c>
      <c r="H15" s="20">
        <v>0</v>
      </c>
      <c r="I15" s="21">
        <f t="shared" si="4"/>
        <v>0</v>
      </c>
      <c r="J15" s="21">
        <f t="shared" si="5"/>
        <v>0</v>
      </c>
      <c r="K15" s="22">
        <f t="shared" si="1"/>
        <v>0</v>
      </c>
    </row>
    <row r="16" spans="1:11" ht="23.25" customHeight="1" x14ac:dyDescent="0.3">
      <c r="A16" s="87" t="s">
        <v>19</v>
      </c>
      <c r="B16" s="9" t="s">
        <v>7</v>
      </c>
      <c r="C16" s="18"/>
      <c r="D16" s="18"/>
      <c r="E16" s="19" t="str">
        <f t="shared" si="2"/>
        <v xml:space="preserve"> </v>
      </c>
      <c r="F16" s="19" t="str">
        <f t="shared" si="3"/>
        <v xml:space="preserve"> </v>
      </c>
      <c r="G16" s="20">
        <v>0</v>
      </c>
      <c r="H16" s="20">
        <v>0</v>
      </c>
      <c r="I16" s="21">
        <f t="shared" si="4"/>
        <v>0</v>
      </c>
      <c r="J16" s="21">
        <f t="shared" si="5"/>
        <v>0</v>
      </c>
      <c r="K16" s="22">
        <f t="shared" si="1"/>
        <v>0</v>
      </c>
    </row>
    <row r="17" spans="1:11" ht="25" x14ac:dyDescent="0.3">
      <c r="A17" s="87"/>
      <c r="B17" s="9" t="s">
        <v>4</v>
      </c>
      <c r="C17" s="18"/>
      <c r="D17" s="18"/>
      <c r="E17" s="19" t="str">
        <f t="shared" si="2"/>
        <v xml:space="preserve"> </v>
      </c>
      <c r="F17" s="19" t="str">
        <f t="shared" si="3"/>
        <v xml:space="preserve"> </v>
      </c>
      <c r="G17" s="20">
        <v>0</v>
      </c>
      <c r="H17" s="20">
        <v>0</v>
      </c>
      <c r="I17" s="21">
        <f t="shared" si="4"/>
        <v>0</v>
      </c>
      <c r="J17" s="21">
        <f t="shared" si="5"/>
        <v>0</v>
      </c>
      <c r="K17" s="22">
        <f t="shared" si="1"/>
        <v>0</v>
      </c>
    </row>
    <row r="18" spans="1:11" ht="25" x14ac:dyDescent="0.3">
      <c r="A18" s="87"/>
      <c r="B18" s="9" t="s">
        <v>5</v>
      </c>
      <c r="C18" s="18"/>
      <c r="D18" s="18"/>
      <c r="E18" s="19" t="str">
        <f t="shared" si="2"/>
        <v xml:space="preserve"> </v>
      </c>
      <c r="F18" s="19" t="str">
        <f t="shared" si="3"/>
        <v xml:space="preserve"> </v>
      </c>
      <c r="G18" s="20">
        <v>0</v>
      </c>
      <c r="H18" s="20">
        <v>0</v>
      </c>
      <c r="I18" s="21">
        <f t="shared" si="4"/>
        <v>0</v>
      </c>
      <c r="J18" s="21">
        <f t="shared" si="5"/>
        <v>0</v>
      </c>
      <c r="K18" s="22">
        <f t="shared" si="1"/>
        <v>0</v>
      </c>
    </row>
    <row r="19" spans="1:11" ht="25" x14ac:dyDescent="0.3">
      <c r="A19" s="87"/>
      <c r="B19" s="9" t="s">
        <v>6</v>
      </c>
      <c r="C19" s="18"/>
      <c r="D19" s="18"/>
      <c r="E19" s="19" t="str">
        <f t="shared" si="2"/>
        <v xml:space="preserve"> </v>
      </c>
      <c r="F19" s="19" t="str">
        <f t="shared" si="3"/>
        <v xml:space="preserve"> </v>
      </c>
      <c r="G19" s="20">
        <v>0</v>
      </c>
      <c r="H19" s="20">
        <v>0</v>
      </c>
      <c r="I19" s="21">
        <f t="shared" si="4"/>
        <v>0</v>
      </c>
      <c r="J19" s="21">
        <f t="shared" si="5"/>
        <v>0</v>
      </c>
      <c r="K19" s="22">
        <f t="shared" si="1"/>
        <v>0</v>
      </c>
    </row>
    <row r="20" spans="1:11" ht="23.25" customHeight="1" x14ac:dyDescent="0.3">
      <c r="A20" s="87" t="s">
        <v>36</v>
      </c>
      <c r="B20" s="9" t="s">
        <v>7</v>
      </c>
      <c r="C20" s="18"/>
      <c r="D20" s="18"/>
      <c r="E20" s="19" t="str">
        <f t="shared" si="2"/>
        <v xml:space="preserve"> </v>
      </c>
      <c r="F20" s="19" t="str">
        <f t="shared" si="3"/>
        <v xml:space="preserve"> </v>
      </c>
      <c r="G20" s="20">
        <v>0</v>
      </c>
      <c r="H20" s="20">
        <v>0</v>
      </c>
      <c r="I20" s="21">
        <f t="shared" si="4"/>
        <v>0</v>
      </c>
      <c r="J20" s="21">
        <f t="shared" si="5"/>
        <v>0</v>
      </c>
      <c r="K20" s="22">
        <f>IF(I20=1,F20*J20/J$28,0)</f>
        <v>0</v>
      </c>
    </row>
    <row r="21" spans="1:11" ht="25" x14ac:dyDescent="0.3">
      <c r="A21" s="87"/>
      <c r="B21" s="9" t="s">
        <v>4</v>
      </c>
      <c r="C21" s="18"/>
      <c r="D21" s="18"/>
      <c r="E21" s="19" t="str">
        <f t="shared" si="2"/>
        <v xml:space="preserve"> </v>
      </c>
      <c r="F21" s="19" t="str">
        <f t="shared" si="3"/>
        <v xml:space="preserve"> </v>
      </c>
      <c r="G21" s="20">
        <v>0</v>
      </c>
      <c r="H21" s="20">
        <v>0</v>
      </c>
      <c r="I21" s="21">
        <f t="shared" si="4"/>
        <v>0</v>
      </c>
      <c r="J21" s="21">
        <f t="shared" si="5"/>
        <v>0</v>
      </c>
      <c r="K21" s="22">
        <f t="shared" si="1"/>
        <v>0</v>
      </c>
    </row>
    <row r="22" spans="1:11" ht="25" x14ac:dyDescent="0.3">
      <c r="A22" s="87"/>
      <c r="B22" s="9" t="s">
        <v>5</v>
      </c>
      <c r="C22" s="18"/>
      <c r="D22" s="18"/>
      <c r="E22" s="19" t="str">
        <f>IF(AND(C22&gt;0,D22&gt;0),(D22-C22)/D22," ")</f>
        <v xml:space="preserve"> </v>
      </c>
      <c r="F22" s="19" t="str">
        <f t="shared" si="3"/>
        <v xml:space="preserve"> </v>
      </c>
      <c r="G22" s="20">
        <v>0</v>
      </c>
      <c r="H22" s="20">
        <v>0</v>
      </c>
      <c r="I22" s="21">
        <f t="shared" si="4"/>
        <v>0</v>
      </c>
      <c r="J22" s="21">
        <f t="shared" si="5"/>
        <v>0</v>
      </c>
      <c r="K22" s="22">
        <f t="shared" si="1"/>
        <v>0</v>
      </c>
    </row>
    <row r="23" spans="1:11" ht="25" x14ac:dyDescent="0.3">
      <c r="A23" s="87"/>
      <c r="B23" s="9" t="s">
        <v>6</v>
      </c>
      <c r="C23" s="18"/>
      <c r="D23" s="18"/>
      <c r="E23" s="19" t="str">
        <f t="shared" si="2"/>
        <v xml:space="preserve"> </v>
      </c>
      <c r="F23" s="19" t="str">
        <f t="shared" si="3"/>
        <v xml:space="preserve"> </v>
      </c>
      <c r="G23" s="20">
        <v>0</v>
      </c>
      <c r="H23" s="20">
        <v>0</v>
      </c>
      <c r="I23" s="21">
        <f t="shared" si="4"/>
        <v>0</v>
      </c>
      <c r="J23" s="21">
        <f t="shared" si="5"/>
        <v>0</v>
      </c>
      <c r="K23" s="22">
        <f t="shared" si="1"/>
        <v>0</v>
      </c>
    </row>
    <row r="24" spans="1:11" ht="23.25" customHeight="1" x14ac:dyDescent="0.3">
      <c r="A24" s="87" t="s">
        <v>12</v>
      </c>
      <c r="B24" s="9" t="s">
        <v>7</v>
      </c>
      <c r="C24" s="18"/>
      <c r="D24" s="18"/>
      <c r="E24" s="19" t="str">
        <f t="shared" si="2"/>
        <v xml:space="preserve"> </v>
      </c>
      <c r="F24" s="19" t="str">
        <f t="shared" si="3"/>
        <v xml:space="preserve"> </v>
      </c>
      <c r="G24" s="20">
        <v>0</v>
      </c>
      <c r="H24" s="20">
        <v>0</v>
      </c>
      <c r="I24" s="21">
        <f t="shared" si="4"/>
        <v>0</v>
      </c>
      <c r="J24" s="21">
        <f t="shared" si="5"/>
        <v>0</v>
      </c>
      <c r="K24" s="22">
        <f t="shared" si="1"/>
        <v>0</v>
      </c>
    </row>
    <row r="25" spans="1:11" ht="25" x14ac:dyDescent="0.3">
      <c r="A25" s="87"/>
      <c r="B25" s="9" t="s">
        <v>4</v>
      </c>
      <c r="C25" s="18">
        <v>4230</v>
      </c>
      <c r="D25" s="18">
        <v>5420</v>
      </c>
      <c r="E25" s="19">
        <f t="shared" si="2"/>
        <v>0.21955719557195572</v>
      </c>
      <c r="F25" s="19">
        <f t="shared" si="3"/>
        <v>0.1695571955719557</v>
      </c>
      <c r="G25" s="20">
        <v>15</v>
      </c>
      <c r="H25" s="20">
        <v>15</v>
      </c>
      <c r="I25" s="21">
        <f t="shared" si="4"/>
        <v>1</v>
      </c>
      <c r="J25" s="21">
        <f t="shared" si="5"/>
        <v>30</v>
      </c>
      <c r="K25" s="22">
        <f t="shared" si="1"/>
        <v>1.9869983856088558E-2</v>
      </c>
    </row>
    <row r="26" spans="1:11" ht="25" x14ac:dyDescent="0.3">
      <c r="A26" s="87"/>
      <c r="B26" s="9" t="s">
        <v>5</v>
      </c>
      <c r="C26" s="18">
        <v>6194</v>
      </c>
      <c r="D26" s="18">
        <v>5581</v>
      </c>
      <c r="E26" s="19">
        <f t="shared" si="2"/>
        <v>-0.10983694678373052</v>
      </c>
      <c r="F26" s="19">
        <f t="shared" si="3"/>
        <v>-5.9836946783730513E-2</v>
      </c>
      <c r="G26" s="20">
        <v>35</v>
      </c>
      <c r="H26" s="20">
        <v>40</v>
      </c>
      <c r="I26" s="21">
        <f t="shared" si="4"/>
        <v>1</v>
      </c>
      <c r="J26" s="21">
        <f t="shared" si="5"/>
        <v>75</v>
      </c>
      <c r="K26" s="22">
        <f t="shared" si="1"/>
        <v>-1.753035550304605E-2</v>
      </c>
    </row>
    <row r="27" spans="1:11" ht="25" x14ac:dyDescent="0.3">
      <c r="A27" s="87"/>
      <c r="B27" s="9" t="s">
        <v>6</v>
      </c>
      <c r="C27" s="18">
        <v>5042</v>
      </c>
      <c r="D27" s="18">
        <v>5272</v>
      </c>
      <c r="E27" s="19">
        <f t="shared" si="2"/>
        <v>4.362670713201821E-2</v>
      </c>
      <c r="F27" s="19">
        <f t="shared" si="3"/>
        <v>0</v>
      </c>
      <c r="G27" s="20">
        <v>75</v>
      </c>
      <c r="H27" s="20">
        <v>76</v>
      </c>
      <c r="I27" s="21">
        <f t="shared" si="4"/>
        <v>1</v>
      </c>
      <c r="J27" s="21">
        <f t="shared" si="5"/>
        <v>151</v>
      </c>
      <c r="K27" s="22">
        <f t="shared" si="1"/>
        <v>0</v>
      </c>
    </row>
    <row r="28" spans="1:11" ht="36.75" customHeight="1" x14ac:dyDescent="0.2">
      <c r="A28" s="90" t="s">
        <v>27</v>
      </c>
      <c r="B28" s="90"/>
      <c r="C28" s="29">
        <f>SUMPRODUCT(C12:C27,G12:G27)/SUM(G12:G27)</f>
        <v>5267.12</v>
      </c>
      <c r="D28" s="29">
        <f>SUMPRODUCT(D12:D27,H12:H27)/SUM(H12:H27)</f>
        <v>5383.2977099236641</v>
      </c>
      <c r="E28" s="30">
        <f>IF(AND(C28&gt;0,D28&gt;0),(D28-C28)/D28," ")</f>
        <v>2.1581141557432394E-2</v>
      </c>
      <c r="F28" s="31"/>
      <c r="G28" s="84">
        <f>SUM(G12:H27)</f>
        <v>256</v>
      </c>
      <c r="H28" s="85"/>
      <c r="I28" s="31"/>
      <c r="J28" s="31">
        <f>SUM(J12:J27)</f>
        <v>256</v>
      </c>
      <c r="K28" s="68">
        <f>SUM(K12:K27)</f>
        <v>2.3396283530425083E-3</v>
      </c>
    </row>
    <row r="30" spans="1:11" s="65" customFormat="1" ht="24" x14ac:dyDescent="0.3">
      <c r="A30" s="66" t="s">
        <v>58</v>
      </c>
      <c r="B30" s="66"/>
      <c r="C30" s="66"/>
      <c r="H30" s="66"/>
    </row>
    <row r="31" spans="1:11" s="65" customFormat="1" ht="24" x14ac:dyDescent="0.3">
      <c r="A31" s="66"/>
      <c r="H31" s="66"/>
    </row>
    <row r="32" spans="1:11" ht="24" x14ac:dyDescent="0.3">
      <c r="A32" s="11" t="s">
        <v>18</v>
      </c>
      <c r="B32" s="4"/>
      <c r="D32" s="36">
        <f>IF(G28&gt;0,IF(J28&gt;=40%*G28,1,0),"#N/A")</f>
        <v>1</v>
      </c>
      <c r="E32" s="12" t="str">
        <f>IF(D32=1,"Les effectifs valides représentent plus de 40 % des effectifs totaux.",IF(D32=0,"Les effectifs valides représentent moins de 40 % des effectifs totaux."," "))</f>
        <v>Les effectifs valides représentent plus de 40 % des effectifs totaux.</v>
      </c>
      <c r="H32" s="4"/>
    </row>
    <row r="33" spans="1:8" ht="24" x14ac:dyDescent="0.3">
      <c r="A33" s="11" t="s">
        <v>16</v>
      </c>
      <c r="B33" s="4"/>
      <c r="D33" s="14">
        <f>IF(D32=1,ABS(ROUND(100*K28,1)),IF(D32=0,"INCALCULABLE","#N/A"))</f>
        <v>0.2</v>
      </c>
      <c r="E33" s="12" t="str">
        <f>IF(AND(K28&gt;0,D32=1),"Un écart de rémunération est constaté en faveur des hommes.",IF(AND(K28&lt;0,D32=1),"Un écart de rémunération est constaté en faveur des femmes."," "))</f>
        <v>Un écart de rémunération est constaté en faveur des hommes.</v>
      </c>
      <c r="H33" s="4"/>
    </row>
    <row r="34" spans="1:8" ht="24" x14ac:dyDescent="0.3">
      <c r="A34" s="11" t="s">
        <v>17</v>
      </c>
      <c r="B34" s="4"/>
      <c r="D34" s="17">
        <f>VLOOKUP(D33,barèmes!B5:C26,2)</f>
        <v>39</v>
      </c>
    </row>
  </sheetData>
  <mergeCells count="16">
    <mergeCell ref="A10:A11"/>
    <mergeCell ref="C10:D10"/>
    <mergeCell ref="E10:E11"/>
    <mergeCell ref="B10:B11"/>
    <mergeCell ref="A28:B28"/>
    <mergeCell ref="A20:A23"/>
    <mergeCell ref="A16:A19"/>
    <mergeCell ref="A12:A15"/>
    <mergeCell ref="A24:A27"/>
    <mergeCell ref="G28:H28"/>
    <mergeCell ref="D8:K8"/>
    <mergeCell ref="I10:I11"/>
    <mergeCell ref="K10:K11"/>
    <mergeCell ref="J10:J11"/>
    <mergeCell ref="F10:F11"/>
    <mergeCell ref="G10:H10"/>
  </mergeCells>
  <pageMargins left="0.7" right="0.7" top="0.75" bottom="0.75" header="0.3" footer="0.3"/>
  <pageSetup paperSize="9" scale="5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4"/>
  <sheetViews>
    <sheetView zoomScale="80" zoomScaleNormal="80" workbookViewId="0">
      <selection activeCell="D9" sqref="D9"/>
    </sheetView>
  </sheetViews>
  <sheetFormatPr baseColWidth="10" defaultRowHeight="15" x14ac:dyDescent="0.2"/>
  <cols>
    <col min="1" max="1" width="59.6640625" customWidth="1"/>
    <col min="2" max="2" width="19.5" customWidth="1"/>
    <col min="3" max="3" width="17.6640625" customWidth="1"/>
    <col min="4" max="4" width="18" customWidth="1"/>
    <col min="5" max="7" width="16.83203125" customWidth="1"/>
    <col min="8" max="8" width="18.83203125" customWidth="1"/>
    <col min="9" max="10" width="21.1640625" customWidth="1"/>
    <col min="11" max="11" width="9.5" customWidth="1"/>
  </cols>
  <sheetData>
    <row r="1" spans="1:10" ht="33" x14ac:dyDescent="0.2">
      <c r="A1" s="10" t="s">
        <v>41</v>
      </c>
      <c r="C1" s="1"/>
    </row>
    <row r="3" spans="1:10" s="65" customFormat="1" ht="21" x14ac:dyDescent="0.25">
      <c r="A3" s="67" t="s">
        <v>55</v>
      </c>
    </row>
    <row r="4" spans="1:10" s="65" customFormat="1" ht="21" x14ac:dyDescent="0.25">
      <c r="A4" s="67" t="s">
        <v>57</v>
      </c>
    </row>
    <row r="5" spans="1:10" s="65" customFormat="1" ht="21" x14ac:dyDescent="0.25">
      <c r="A5" s="67" t="s">
        <v>54</v>
      </c>
    </row>
    <row r="7" spans="1:10" ht="74.25" customHeight="1" x14ac:dyDescent="0.2">
      <c r="A7" s="87"/>
      <c r="B7" s="87" t="s">
        <v>61</v>
      </c>
      <c r="C7" s="87"/>
      <c r="D7" s="88" t="s">
        <v>23</v>
      </c>
      <c r="E7" s="89"/>
      <c r="F7" s="88" t="s">
        <v>62</v>
      </c>
      <c r="G7" s="89"/>
      <c r="H7" s="87" t="s">
        <v>42</v>
      </c>
      <c r="I7" s="87" t="s">
        <v>64</v>
      </c>
      <c r="J7" s="87" t="s">
        <v>65</v>
      </c>
    </row>
    <row r="8" spans="1:10" ht="25" x14ac:dyDescent="0.2">
      <c r="A8" s="87"/>
      <c r="B8" s="8" t="s">
        <v>0</v>
      </c>
      <c r="C8" s="8" t="s">
        <v>1</v>
      </c>
      <c r="D8" s="8" t="s">
        <v>0</v>
      </c>
      <c r="E8" s="8" t="s">
        <v>1</v>
      </c>
      <c r="F8" s="8" t="s">
        <v>0</v>
      </c>
      <c r="G8" s="8" t="s">
        <v>1</v>
      </c>
      <c r="H8" s="87"/>
      <c r="I8" s="87"/>
      <c r="J8" s="87"/>
    </row>
    <row r="9" spans="1:10" ht="34.5" customHeight="1" x14ac:dyDescent="0.2">
      <c r="A9" s="32" t="s">
        <v>27</v>
      </c>
      <c r="B9" s="71">
        <v>64</v>
      </c>
      <c r="C9" s="71">
        <v>61</v>
      </c>
      <c r="D9" s="79">
        <f>SUM('1- écart rémunération'!G12:G27)</f>
        <v>125</v>
      </c>
      <c r="E9" s="79">
        <f>SUM('1- écart rémunération'!H12:H27)</f>
        <v>131</v>
      </c>
      <c r="F9" s="72">
        <f>B9/D9</f>
        <v>0.51200000000000001</v>
      </c>
      <c r="G9" s="72">
        <f>C9/E9</f>
        <v>0.46564885496183206</v>
      </c>
      <c r="H9" s="72">
        <f>G9-F9</f>
        <v>-4.6351145038167951E-2</v>
      </c>
      <c r="I9" s="73">
        <f>IF(AND(0&lt;=B9,B9&lt;=D9,0&lt;=C9,C9&lt;=E9),ABS(F9-G9),"#VALEUR!")</f>
        <v>4.6351145038167951E-2</v>
      </c>
      <c r="J9" s="75">
        <f>I9*MIN(D9,E9)</f>
        <v>5.7938931297709937</v>
      </c>
    </row>
    <row r="10" spans="1:10" ht="25.5" customHeight="1" x14ac:dyDescent="0.2">
      <c r="A10" s="82" t="s">
        <v>86</v>
      </c>
      <c r="B10" s="82"/>
      <c r="C10" s="82"/>
      <c r="D10" s="82"/>
      <c r="E10" s="82"/>
      <c r="F10" s="82"/>
      <c r="G10" s="82"/>
      <c r="H10" s="82"/>
      <c r="I10" s="83" t="str">
        <f>IF(I9="#VALEUR!","Incohérence dans les nombres de salariés saisis."," ")</f>
        <v xml:space="preserve"> </v>
      </c>
      <c r="J10" s="82"/>
    </row>
    <row r="11" spans="1:10" ht="23.25" customHeight="1" x14ac:dyDescent="0.3">
      <c r="A11" s="27" t="s">
        <v>63</v>
      </c>
      <c r="B11" s="24"/>
      <c r="C11" s="24"/>
      <c r="D11" s="26"/>
      <c r="E11" s="26"/>
      <c r="F11" s="26"/>
      <c r="G11" s="26"/>
      <c r="H11" s="26"/>
      <c r="I11" s="25"/>
      <c r="J11" s="25"/>
    </row>
    <row r="12" spans="1:10" ht="23.25" customHeight="1" x14ac:dyDescent="0.3">
      <c r="A12" s="27" t="s">
        <v>87</v>
      </c>
      <c r="B12" s="24"/>
      <c r="C12" s="24"/>
      <c r="D12" s="26"/>
      <c r="E12" s="26"/>
      <c r="F12" s="26"/>
      <c r="G12" s="26"/>
      <c r="H12" s="26"/>
      <c r="I12" s="25"/>
      <c r="J12" s="25"/>
    </row>
    <row r="14" spans="1:10" ht="24" x14ac:dyDescent="0.3">
      <c r="A14" s="11" t="s">
        <v>18</v>
      </c>
      <c r="D14" s="36">
        <f>IF(AND(ISBLANK(B9),ISBLANK(C9)),"#N/A",IF(AND(D9&gt;=5,E9&gt;=5,B9+C9&gt;0),1,0))</f>
        <v>1</v>
      </c>
      <c r="E14" s="28" t="str">
        <f>IF(D14=1,"Il y a eu des augmentations et les effectifs comportent au moins 5 femmes et 5 hommes.",IF(OR(D9&lt;5,E9&lt;5),"Les effectifs comprennent moins de 5 femmes ou moins de 5 hommes.",IF(AND(ISBLANK(B9),ISBLANK(C9))," ","Il n'y a pas eu d'augmentations dans l'entreprise.")))</f>
        <v>Il y a eu des augmentations et les effectifs comportent au moins 5 femmes et 5 hommes.</v>
      </c>
      <c r="F14" s="4"/>
      <c r="G14" s="4"/>
      <c r="H14" s="4"/>
    </row>
    <row r="15" spans="1:10" ht="24" x14ac:dyDescent="0.3">
      <c r="A15" s="11" t="s">
        <v>66</v>
      </c>
      <c r="D15" s="14">
        <f>IF(D14=1,ABS(ROUND(100*I9,1)),IF(D14=0,"INCALCULABLE","#N/A"))</f>
        <v>4.5999999999999996</v>
      </c>
      <c r="E15" s="28" t="str">
        <f>IF(AND(H9&gt;=0.05%,D14=1),"Un écart de taux d'augmentation est constaté en faveur des hommes.",IF(AND(H9&lt;=-0.05%,D14=1),"Un écart de taux d'augmentation est constaté en faveur des femmes."," "))</f>
        <v>Un écart de taux d'augmentation est constaté en faveur des femmes.</v>
      </c>
      <c r="F15" s="4"/>
      <c r="G15" s="4"/>
      <c r="H15" s="4"/>
    </row>
    <row r="16" spans="1:10" ht="24" x14ac:dyDescent="0.3">
      <c r="A16" s="11" t="s">
        <v>69</v>
      </c>
      <c r="D16" s="14">
        <f>IF(D14=1,ABS(ROUND(J9,1)),IF(D14=0,"INCALCULABLE","#N/A"))</f>
        <v>5.8</v>
      </c>
      <c r="E16" s="91" t="str">
        <f>IF(AND(D14=1,H9&gt;=0.05%,E9&gt;=D9),'2 - message'!C4,IF(AND(D14=1,H9&gt;=0.05%,E9&lt;D9),'2 - message'!C5,IF(AND(D14=1,H9&lt;=-0.05%,E9&lt;=D9),'2 - message'!C8,IF(AND(D14=1,H9&lt;=-0.05%,D9&lt;E9),'2 - message'!C7," "))))</f>
        <v>Si ce nombre de femmes n'avait pas reçu d'augmentation parmi les bénéficiaires, les taux d'augmentation seraient égaux entre hommes et femmes.</v>
      </c>
      <c r="F16" s="91"/>
      <c r="G16" s="91"/>
      <c r="H16" s="91"/>
      <c r="I16" s="91"/>
      <c r="J16" s="91"/>
    </row>
    <row r="17" spans="1:10" ht="24" x14ac:dyDescent="0.3">
      <c r="A17" s="11"/>
      <c r="D17" s="81"/>
      <c r="E17" s="91"/>
      <c r="F17" s="91"/>
      <c r="G17" s="91"/>
      <c r="H17" s="91"/>
      <c r="I17" s="91"/>
      <c r="J17" s="91"/>
    </row>
    <row r="18" spans="1:10" ht="24" x14ac:dyDescent="0.3">
      <c r="A18" s="11" t="s">
        <v>67</v>
      </c>
      <c r="D18" s="74">
        <f>IF('1- écart rémunération'!D32=1,IF(AND('1- écart rémunération'!D34&lt;MAX(barèmes!C5:C26), SIGN(H9)=-SIGN('1- écart rémunération'!K28)),MAX(barèmes!F5:F8),VLOOKUP(D15,barèmes!E5:F8,2)),VLOOKUP(D15,barèmes!E5:F8,2))</f>
        <v>35</v>
      </c>
      <c r="E18" s="28"/>
      <c r="F18" s="4"/>
      <c r="G18" s="4"/>
      <c r="H18" s="4"/>
    </row>
    <row r="19" spans="1:10" ht="24" x14ac:dyDescent="0.3">
      <c r="A19" s="11" t="s">
        <v>68</v>
      </c>
      <c r="D19" s="74">
        <f>IF('1- écart rémunération'!D32=1,IF(AND('1- écart rémunération'!D34&lt;MAX(barèmes!C5:C26), SIGN(H9)=-SIGN('1- écart rémunération'!K28)),MAX(barèmes!F5:F8),VLOOKUP(D16,barèmes!E5:F8,2)),VLOOKUP(D16,barèmes!E5:F8,2))</f>
        <v>35</v>
      </c>
      <c r="E19" s="28"/>
      <c r="F19" s="4"/>
      <c r="G19" s="4"/>
      <c r="H19" s="4"/>
    </row>
    <row r="20" spans="1:10" ht="24" x14ac:dyDescent="0.3">
      <c r="A20" s="11" t="s">
        <v>85</v>
      </c>
      <c r="D20" s="17">
        <f>MAX(D18,D19)</f>
        <v>35</v>
      </c>
      <c r="E20" s="28" t="str">
        <f>IF('1- écart rémunération'!D32=1,IF(AND('1- écart rémunération'!D34&lt;MAX(barèmes!C5:C26), SIGN(H9)=-SIGN('1- écart rémunération'!K28),D15&gt;=0.1),"L'écart d'augmentations réduit l'écart de rémunération. Tous les points sont accordés."," ")," ")</f>
        <v>L'écart d'augmentations réduit l'écart de rémunération. Tous les points sont accordés.</v>
      </c>
      <c r="F20" s="4"/>
      <c r="G20" s="4"/>
      <c r="H20" s="4"/>
    </row>
    <row r="24" spans="1:10" x14ac:dyDescent="0.2">
      <c r="B24" s="69"/>
      <c r="C24" s="69"/>
    </row>
  </sheetData>
  <mergeCells count="8">
    <mergeCell ref="A7:A8"/>
    <mergeCell ref="B7:C7"/>
    <mergeCell ref="I7:I8"/>
    <mergeCell ref="E16:J17"/>
    <mergeCell ref="D7:E7"/>
    <mergeCell ref="F7:G7"/>
    <mergeCell ref="H7:H8"/>
    <mergeCell ref="J7:J8"/>
  </mergeCells>
  <pageMargins left="0.7" right="0.7" top="0.75" bottom="0.75" header="0.3" footer="0.3"/>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2"/>
  <sheetViews>
    <sheetView workbookViewId="0">
      <selection activeCell="C27" sqref="C27"/>
    </sheetView>
  </sheetViews>
  <sheetFormatPr baseColWidth="10" defaultRowHeight="15" x14ac:dyDescent="0.2"/>
  <cols>
    <col min="1" max="1" width="20.1640625" customWidth="1"/>
    <col min="2" max="2" width="17.5" customWidth="1"/>
    <col min="3" max="3" width="136" customWidth="1"/>
  </cols>
  <sheetData>
    <row r="2" spans="1:3" x14ac:dyDescent="0.2">
      <c r="A2" s="94" t="s">
        <v>70</v>
      </c>
      <c r="B2" s="94"/>
      <c r="C2" s="92" t="s">
        <v>79</v>
      </c>
    </row>
    <row r="3" spans="1:3" ht="33.75" customHeight="1" x14ac:dyDescent="0.2">
      <c r="A3" s="76" t="s">
        <v>71</v>
      </c>
      <c r="B3" s="76" t="s">
        <v>72</v>
      </c>
      <c r="C3" s="93"/>
    </row>
    <row r="4" spans="1:3" x14ac:dyDescent="0.2">
      <c r="A4" t="s">
        <v>1</v>
      </c>
      <c r="B4" t="s">
        <v>0</v>
      </c>
      <c r="C4" s="77" t="s">
        <v>75</v>
      </c>
    </row>
    <row r="5" spans="1:3" x14ac:dyDescent="0.2">
      <c r="A5" t="s">
        <v>1</v>
      </c>
      <c r="B5" t="s">
        <v>1</v>
      </c>
      <c r="C5" s="77" t="s">
        <v>73</v>
      </c>
    </row>
    <row r="6" spans="1:3" x14ac:dyDescent="0.2">
      <c r="A6" t="s">
        <v>1</v>
      </c>
      <c r="B6" t="s">
        <v>78</v>
      </c>
      <c r="C6" t="str">
        <f>C4</f>
        <v>Si ce nombre de femmes supplémentaires avait bénéficié d'une augmentation, les taux d'augmentation seraient égaux entre hommes et femmes.</v>
      </c>
    </row>
    <row r="7" spans="1:3" x14ac:dyDescent="0.2">
      <c r="A7" t="s">
        <v>0</v>
      </c>
      <c r="B7" t="s">
        <v>0</v>
      </c>
      <c r="C7" s="77" t="s">
        <v>74</v>
      </c>
    </row>
    <row r="8" spans="1:3" x14ac:dyDescent="0.2">
      <c r="A8" t="s">
        <v>0</v>
      </c>
      <c r="B8" t="s">
        <v>1</v>
      </c>
      <c r="C8" s="77" t="s">
        <v>76</v>
      </c>
    </row>
    <row r="9" spans="1:3" x14ac:dyDescent="0.2">
      <c r="A9" t="s">
        <v>0</v>
      </c>
      <c r="B9" t="s">
        <v>78</v>
      </c>
      <c r="C9" t="str">
        <f>C8</f>
        <v>Si ce nombre d'hommes supplémentaires avait bénéficié d'une augmentation, les taux d'augmentation seraient égaux entre hommes et femmes.</v>
      </c>
    </row>
    <row r="10" spans="1:3" x14ac:dyDescent="0.2">
      <c r="A10" t="s">
        <v>77</v>
      </c>
      <c r="B10" t="s">
        <v>0</v>
      </c>
    </row>
    <row r="11" spans="1:3" x14ac:dyDescent="0.2">
      <c r="A11" t="s">
        <v>77</v>
      </c>
      <c r="B11" t="s">
        <v>1</v>
      </c>
    </row>
    <row r="12" spans="1:3" x14ac:dyDescent="0.2">
      <c r="A12" t="s">
        <v>77</v>
      </c>
      <c r="B12" t="s">
        <v>78</v>
      </c>
    </row>
  </sheetData>
  <mergeCells count="2">
    <mergeCell ref="C2:C3"/>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4"/>
  <sheetViews>
    <sheetView topLeftCell="A3" zoomScale="80" zoomScaleNormal="80" workbookViewId="0">
      <selection activeCell="E9" sqref="E9"/>
    </sheetView>
  </sheetViews>
  <sheetFormatPr baseColWidth="10" defaultRowHeight="15" x14ac:dyDescent="0.2"/>
  <cols>
    <col min="1" max="1" width="46.1640625" customWidth="1"/>
    <col min="2" max="3" width="24.5" customWidth="1"/>
    <col min="4" max="4" width="19.33203125" customWidth="1"/>
    <col min="5" max="5" width="9.5" customWidth="1"/>
  </cols>
  <sheetData>
    <row r="1" spans="1:13" ht="71.25" customHeight="1" x14ac:dyDescent="0.2">
      <c r="A1" s="95" t="s">
        <v>90</v>
      </c>
      <c r="B1" s="96"/>
      <c r="C1" s="96"/>
      <c r="D1" s="96"/>
      <c r="E1" s="96"/>
      <c r="F1" s="96"/>
      <c r="G1" s="96"/>
      <c r="H1" s="96"/>
      <c r="I1" s="96"/>
      <c r="J1" s="96"/>
      <c r="K1" s="96"/>
      <c r="L1" s="96"/>
      <c r="M1" s="96"/>
    </row>
    <row r="3" spans="1:13" s="65" customFormat="1" ht="21" x14ac:dyDescent="0.25">
      <c r="A3" s="67" t="s">
        <v>55</v>
      </c>
    </row>
    <row r="4" spans="1:13" s="65" customFormat="1" ht="21" x14ac:dyDescent="0.25">
      <c r="A4" s="67" t="s">
        <v>57</v>
      </c>
    </row>
    <row r="6" spans="1:13" ht="74.25" customHeight="1" x14ac:dyDescent="0.2">
      <c r="A6" s="87"/>
      <c r="B6" s="87" t="s">
        <v>92</v>
      </c>
      <c r="C6" s="87"/>
      <c r="D6" s="87" t="s">
        <v>47</v>
      </c>
    </row>
    <row r="7" spans="1:13" ht="25" x14ac:dyDescent="0.2">
      <c r="A7" s="87"/>
      <c r="B7" s="8" t="s">
        <v>46</v>
      </c>
      <c r="C7" s="8" t="s">
        <v>91</v>
      </c>
      <c r="D7" s="87"/>
    </row>
    <row r="8" spans="1:13" ht="32.25" customHeight="1" x14ac:dyDescent="0.2">
      <c r="A8" s="32" t="s">
        <v>27</v>
      </c>
      <c r="B8" s="33">
        <v>0</v>
      </c>
      <c r="C8" s="33"/>
      <c r="D8" s="70" t="str">
        <f>IF(C12=1, IF(AND(C8&gt;=0,C8&lt;=B8),C8/B8,"ERREUR")," ")</f>
        <v xml:space="preserve"> </v>
      </c>
    </row>
    <row r="9" spans="1:13" ht="129" customHeight="1" x14ac:dyDescent="0.25">
      <c r="A9" s="97" t="s">
        <v>89</v>
      </c>
      <c r="B9" s="98"/>
      <c r="C9" s="98"/>
      <c r="D9" s="98"/>
    </row>
    <row r="10" spans="1:13" ht="51" customHeight="1" x14ac:dyDescent="0.2">
      <c r="A10" s="99" t="s">
        <v>93</v>
      </c>
      <c r="B10" s="100"/>
      <c r="C10" s="100"/>
      <c r="D10" s="100"/>
    </row>
    <row r="12" spans="1:13" ht="24" x14ac:dyDescent="0.3">
      <c r="A12" s="11" t="s">
        <v>18</v>
      </c>
      <c r="C12" s="80">
        <f>IF(ISBLANK(B8),"#N/A",IF(B8&gt;0,1,0))</f>
        <v>0</v>
      </c>
      <c r="D12" s="28" t="str">
        <f>IF(C12=1,"Il y a eu au moins un retour de congé maternité avec augmentation pendant ce congé.",IF(C12=0,"Il n'y a pas eu de retour de congé maternité avec augmentation pendant ce congé."," "))</f>
        <v>Il n'y a pas eu de retour de congé maternité avec augmentation pendant ce congé.</v>
      </c>
      <c r="E12" s="4"/>
    </row>
    <row r="13" spans="1:13" ht="71.25" customHeight="1" x14ac:dyDescent="0.3">
      <c r="A13" s="101" t="s">
        <v>48</v>
      </c>
      <c r="B13" s="101"/>
      <c r="C13" s="14" t="str">
        <f>IF(C12=1,ABS(ROUND(100*D8,1)),IF(C12=0,"INCALCULABLE","#N/A"))</f>
        <v>INCALCULABLE</v>
      </c>
      <c r="D13" s="38"/>
      <c r="E13" s="28"/>
    </row>
    <row r="14" spans="1:13" ht="44.25" customHeight="1" x14ac:dyDescent="0.2">
      <c r="A14" s="39" t="s">
        <v>49</v>
      </c>
      <c r="B14" s="40"/>
      <c r="C14" s="41" t="e">
        <f>VLOOKUP(C13,barèmes!H5:I6,2)</f>
        <v>#N/A</v>
      </c>
      <c r="D14" s="86" t="e">
        <f>IF(C14=0,"Les salariés de retour de congé maternité ou d’adoption, durant lequel des augmentations sont intervenues, n’ont pas tous été augmentés. Aucun point n’est accordé.",IF(C14=MAX(barèmes!I5:I6),"Tous les salariés de retour de congé maternité ou d’adoption, durant lequel des augmentations sont intervenues, ont été augmentés. Tous les points sont accordés."," "))</f>
        <v>#N/A</v>
      </c>
      <c r="E14" s="86"/>
      <c r="F14" s="86"/>
      <c r="G14" s="86"/>
      <c r="H14" s="86"/>
      <c r="I14" s="86"/>
      <c r="J14" s="86"/>
      <c r="K14" s="86"/>
      <c r="L14" s="86"/>
      <c r="M14" s="86"/>
    </row>
  </sheetData>
  <mergeCells count="8">
    <mergeCell ref="A1:M1"/>
    <mergeCell ref="A9:D9"/>
    <mergeCell ref="A10:D10"/>
    <mergeCell ref="A13:B13"/>
    <mergeCell ref="D14:M14"/>
    <mergeCell ref="A6:A7"/>
    <mergeCell ref="B6:C6"/>
    <mergeCell ref="D6:D7"/>
  </mergeCells>
  <pageMargins left="0.7" right="0.7" top="0.75" bottom="0.75" header="0.3" footer="0.3"/>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2"/>
  <sheetViews>
    <sheetView zoomScale="80" zoomScaleNormal="80" workbookViewId="0">
      <selection activeCell="E16" sqref="E16"/>
    </sheetView>
  </sheetViews>
  <sheetFormatPr baseColWidth="10" defaultRowHeight="15" x14ac:dyDescent="0.2"/>
  <cols>
    <col min="1" max="1" width="46.1640625" customWidth="1"/>
    <col min="2" max="4" width="18.1640625" customWidth="1"/>
    <col min="5" max="5" width="26.83203125" customWidth="1"/>
    <col min="6" max="6" width="9.5" customWidth="1"/>
  </cols>
  <sheetData>
    <row r="1" spans="1:5" ht="33" x14ac:dyDescent="0.2">
      <c r="A1" s="10" t="s">
        <v>82</v>
      </c>
      <c r="C1" s="1"/>
      <c r="D1" s="1"/>
    </row>
    <row r="3" spans="1:5" s="65" customFormat="1" ht="21" x14ac:dyDescent="0.25">
      <c r="A3" s="67" t="s">
        <v>55</v>
      </c>
    </row>
    <row r="4" spans="1:5" s="65" customFormat="1" ht="21" x14ac:dyDescent="0.25">
      <c r="A4" s="67" t="s">
        <v>57</v>
      </c>
    </row>
    <row r="6" spans="1:5" ht="74.25" customHeight="1" x14ac:dyDescent="0.2">
      <c r="A6" s="87"/>
      <c r="B6" s="88" t="s">
        <v>25</v>
      </c>
      <c r="C6" s="102"/>
      <c r="D6" s="89"/>
      <c r="E6" s="87" t="s">
        <v>28</v>
      </c>
    </row>
    <row r="7" spans="1:5" ht="25" x14ac:dyDescent="0.2">
      <c r="A7" s="87"/>
      <c r="B7" s="8" t="s">
        <v>0</v>
      </c>
      <c r="C7" s="8" t="s">
        <v>1</v>
      </c>
      <c r="D7" s="8" t="s">
        <v>11</v>
      </c>
      <c r="E7" s="87"/>
    </row>
    <row r="8" spans="1:5" ht="45" customHeight="1" x14ac:dyDescent="0.2">
      <c r="A8" s="32" t="s">
        <v>27</v>
      </c>
      <c r="B8" s="33">
        <v>3</v>
      </c>
      <c r="C8" s="33">
        <v>7</v>
      </c>
      <c r="D8" s="34">
        <f>B8+C8</f>
        <v>10</v>
      </c>
      <c r="E8" s="35">
        <f>IF(D8=10,MIN(B8,C8),"TOTAL différent de 10")</f>
        <v>3</v>
      </c>
    </row>
    <row r="9" spans="1:5" ht="23.25" customHeight="1" x14ac:dyDescent="0.3">
      <c r="A9" s="27" t="s">
        <v>26</v>
      </c>
      <c r="B9" s="24"/>
      <c r="C9" s="24"/>
      <c r="D9" s="24"/>
      <c r="E9" s="25"/>
    </row>
    <row r="11" spans="1:5" ht="68.25" customHeight="1" x14ac:dyDescent="0.3">
      <c r="A11" s="101" t="s">
        <v>30</v>
      </c>
      <c r="B11" s="96"/>
      <c r="C11" s="63">
        <f>E8</f>
        <v>3</v>
      </c>
      <c r="D11" s="28" t="str">
        <f>IF(D8=10,IF(B8&gt;C8,"Les hommes sont sous-représentés parmi les salariés les mieux rémunérés.",IF(C8&gt;B8,"Les femmes sont sous-représentées parmi les salariés les mieux rémunérés.","Les hommes et les femmes sont à parité parmi les salariés les mieux rémunérés."))," ")</f>
        <v>Les femmes sont sous-représentées parmi les salariés les mieux rémunérés.</v>
      </c>
    </row>
    <row r="12" spans="1:5" ht="24" x14ac:dyDescent="0.3">
      <c r="A12" s="11" t="s">
        <v>29</v>
      </c>
      <c r="C12" s="64">
        <f>VLOOKUP(C11,barèmes!K5:L7,2)</f>
        <v>5</v>
      </c>
    </row>
  </sheetData>
  <mergeCells count="4">
    <mergeCell ref="B6:D6"/>
    <mergeCell ref="A6:A7"/>
    <mergeCell ref="E6:E7"/>
    <mergeCell ref="A11:B11"/>
  </mergeCells>
  <pageMargins left="0.7" right="0.7" top="0.75" bottom="0.75" header="0.3" footer="0.3"/>
  <pageSetup paperSize="9" scale="6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
  <sheetViews>
    <sheetView tabSelected="1" zoomScale="80" zoomScaleNormal="80" workbookViewId="0">
      <selection activeCell="C17" sqref="C17"/>
    </sheetView>
  </sheetViews>
  <sheetFormatPr baseColWidth="10" defaultRowHeight="15" x14ac:dyDescent="0.2"/>
  <cols>
    <col min="1" max="1" width="48.5" customWidth="1"/>
    <col min="2" max="2" width="20.83203125" customWidth="1"/>
    <col min="3" max="3" width="27.5" customWidth="1"/>
    <col min="4" max="4" width="28.1640625" customWidth="1"/>
    <col min="5" max="5" width="27.6640625" customWidth="1"/>
    <col min="6" max="6" width="30.6640625" customWidth="1"/>
  </cols>
  <sheetData>
    <row r="1" spans="1:6" ht="35" x14ac:dyDescent="0.2">
      <c r="A1" s="50" t="s">
        <v>31</v>
      </c>
    </row>
    <row r="3" spans="1:6" s="65" customFormat="1" ht="24" x14ac:dyDescent="0.3">
      <c r="A3" s="11" t="s">
        <v>24</v>
      </c>
      <c r="B3" s="66"/>
    </row>
    <row r="5" spans="1:6" ht="59.25" customHeight="1" thickBot="1" x14ac:dyDescent="0.25">
      <c r="A5" s="6"/>
      <c r="B5" s="5" t="s">
        <v>13</v>
      </c>
      <c r="C5" s="5" t="s">
        <v>21</v>
      </c>
      <c r="D5" s="5" t="s">
        <v>32</v>
      </c>
      <c r="E5" s="5" t="s">
        <v>22</v>
      </c>
      <c r="F5" s="5" t="s">
        <v>53</v>
      </c>
    </row>
    <row r="6" spans="1:6" ht="50" customHeight="1" thickTop="1" thickBot="1" x14ac:dyDescent="0.25">
      <c r="A6" s="2" t="s">
        <v>45</v>
      </c>
      <c r="B6" s="42">
        <f>'1- écart rémunération'!D32</f>
        <v>1</v>
      </c>
      <c r="C6" s="43">
        <f>'1- écart rémunération'!D33</f>
        <v>0.2</v>
      </c>
      <c r="D6" s="42">
        <f>IF(B6=1,'1- écart rémunération'!D34," ")</f>
        <v>39</v>
      </c>
      <c r="E6" s="47">
        <v>40</v>
      </c>
      <c r="F6" s="47">
        <f>B6*E6</f>
        <v>40</v>
      </c>
    </row>
    <row r="7" spans="1:6" ht="56.25" customHeight="1" thickBot="1" x14ac:dyDescent="0.25">
      <c r="A7" s="3" t="s">
        <v>80</v>
      </c>
      <c r="B7" s="44">
        <f>'2- écart augmentations'!D14</f>
        <v>1</v>
      </c>
      <c r="C7" s="78">
        <f>IF(B7=1,MIN('2- écart augmentations'!D15,'2- écart augmentations'!D16),IF(B7=0,"INCALCULABLE","#N/A"))</f>
        <v>4.5999999999999996</v>
      </c>
      <c r="D7" s="44">
        <f>IF(B7=1,'2- écart augmentations'!D20," ")</f>
        <v>35</v>
      </c>
      <c r="E7" s="48">
        <v>35</v>
      </c>
      <c r="F7" s="48">
        <f t="shared" ref="F7:F9" si="0">B7*E7</f>
        <v>35</v>
      </c>
    </row>
    <row r="8" spans="1:6" ht="50" customHeight="1" thickBot="1" x14ac:dyDescent="0.25">
      <c r="A8" s="3" t="s">
        <v>81</v>
      </c>
      <c r="B8" s="44">
        <f>'3- AI maternité'!C12</f>
        <v>0</v>
      </c>
      <c r="C8" s="45" t="str">
        <f>'3- AI maternité'!C13</f>
        <v>INCALCULABLE</v>
      </c>
      <c r="D8" s="45" t="str">
        <f>IF(B8=1,'3- AI maternité'!C14," ")</f>
        <v xml:space="preserve"> </v>
      </c>
      <c r="E8" s="48">
        <v>15</v>
      </c>
      <c r="F8" s="48">
        <f t="shared" si="0"/>
        <v>0</v>
      </c>
    </row>
    <row r="9" spans="1:6" ht="60.75" customHeight="1" x14ac:dyDescent="0.2">
      <c r="A9" s="23" t="s">
        <v>82</v>
      </c>
      <c r="B9" s="46">
        <v>1</v>
      </c>
      <c r="C9" s="46">
        <f>'4- 10 + hautes rému'!C11</f>
        <v>3</v>
      </c>
      <c r="D9" s="46">
        <f>IF(B9=1,'4- 10 + hautes rému'!C12," ")</f>
        <v>5</v>
      </c>
      <c r="E9" s="49">
        <v>10</v>
      </c>
      <c r="F9" s="49">
        <f t="shared" si="0"/>
        <v>10</v>
      </c>
    </row>
    <row r="10" spans="1:6" ht="45" customHeight="1" x14ac:dyDescent="0.2">
      <c r="A10" s="51" t="s">
        <v>51</v>
      </c>
      <c r="B10" s="52"/>
      <c r="C10" s="52"/>
      <c r="D10" s="53">
        <f>SUM(D6:D9)</f>
        <v>79</v>
      </c>
      <c r="E10" s="54"/>
      <c r="F10" s="54">
        <f>SUM(F6:F9)</f>
        <v>85</v>
      </c>
    </row>
    <row r="11" spans="1:6" ht="45" customHeight="1" x14ac:dyDescent="0.2">
      <c r="A11" s="55" t="s">
        <v>50</v>
      </c>
      <c r="B11" s="56"/>
      <c r="C11" s="56"/>
      <c r="D11" s="57">
        <f>IF(F10&gt;=75,D10*100/F10,"INCALCULABLE")</f>
        <v>92.941176470588232</v>
      </c>
      <c r="E11" s="58"/>
      <c r="F11" s="58">
        <v>100</v>
      </c>
    </row>
    <row r="12" spans="1:6" ht="21" x14ac:dyDescent="0.25">
      <c r="A12" s="28" t="str">
        <f>IF(F10&lt;75,"L'index est incalculable car le nombre de points maximum des indicateurs calculables est inférieur à 75.",IF(AND(F10&gt;=75,F10&lt;100),"Le total des indicateurs calculables est ramené sur 100 points en appliquant la règle de la proportionnalité."," "))</f>
        <v>Le total des indicateurs calculables est ramené sur 100 points en appliquant la règle de la proportionnalité.</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29"/>
  <sheetViews>
    <sheetView workbookViewId="0">
      <selection activeCell="H3" sqref="H3:I3"/>
    </sheetView>
  </sheetViews>
  <sheetFormatPr baseColWidth="10" defaultRowHeight="15" x14ac:dyDescent="0.2"/>
  <cols>
    <col min="1" max="1" width="4.33203125" customWidth="1"/>
    <col min="2" max="3" width="13.6640625" customWidth="1"/>
    <col min="4" max="4" width="4.33203125" customWidth="1"/>
    <col min="5" max="6" width="13.6640625" customWidth="1"/>
    <col min="7" max="7" width="4.33203125" customWidth="1"/>
    <col min="8" max="9" width="15.5" customWidth="1"/>
    <col min="10" max="10" width="4.33203125" customWidth="1"/>
    <col min="11" max="12" width="15.5" customWidth="1"/>
  </cols>
  <sheetData>
    <row r="2" spans="2:12" ht="21" x14ac:dyDescent="0.25">
      <c r="B2" s="37" t="s">
        <v>52</v>
      </c>
    </row>
    <row r="3" spans="2:12" ht="81.75" customHeight="1" x14ac:dyDescent="0.2">
      <c r="B3" s="103" t="s">
        <v>43</v>
      </c>
      <c r="C3" s="103"/>
      <c r="E3" s="103" t="s">
        <v>44</v>
      </c>
      <c r="F3" s="103"/>
      <c r="H3" s="103" t="s">
        <v>83</v>
      </c>
      <c r="I3" s="103"/>
      <c r="K3" s="103" t="s">
        <v>84</v>
      </c>
      <c r="L3" s="103"/>
    </row>
    <row r="4" spans="2:12" x14ac:dyDescent="0.2">
      <c r="B4" t="s">
        <v>14</v>
      </c>
      <c r="C4" t="s">
        <v>15</v>
      </c>
      <c r="E4" t="s">
        <v>14</v>
      </c>
      <c r="F4" t="s">
        <v>15</v>
      </c>
      <c r="H4" t="s">
        <v>14</v>
      </c>
      <c r="I4" t="s">
        <v>15</v>
      </c>
      <c r="K4" t="s">
        <v>14</v>
      </c>
      <c r="L4" t="s">
        <v>15</v>
      </c>
    </row>
    <row r="5" spans="2:12" x14ac:dyDescent="0.2">
      <c r="B5" s="16">
        <v>0</v>
      </c>
      <c r="C5">
        <v>40</v>
      </c>
      <c r="E5" s="16">
        <v>0</v>
      </c>
      <c r="F5">
        <v>35</v>
      </c>
      <c r="H5" s="16">
        <v>0</v>
      </c>
      <c r="I5">
        <v>0</v>
      </c>
      <c r="K5" s="15">
        <v>0</v>
      </c>
      <c r="L5">
        <v>0</v>
      </c>
    </row>
    <row r="6" spans="2:12" x14ac:dyDescent="0.2">
      <c r="B6" s="16">
        <v>0.1</v>
      </c>
      <c r="C6">
        <v>39</v>
      </c>
      <c r="E6" s="16">
        <v>2.1</v>
      </c>
      <c r="F6">
        <v>25</v>
      </c>
      <c r="H6" s="16">
        <v>100</v>
      </c>
      <c r="I6">
        <v>15</v>
      </c>
      <c r="K6" s="15">
        <v>2</v>
      </c>
      <c r="L6">
        <v>5</v>
      </c>
    </row>
    <row r="7" spans="2:12" x14ac:dyDescent="0.2">
      <c r="B7" s="16">
        <f>B6+1</f>
        <v>1.1000000000000001</v>
      </c>
      <c r="C7">
        <v>38</v>
      </c>
      <c r="E7" s="16">
        <v>5.0999999999999996</v>
      </c>
      <c r="F7">
        <v>15</v>
      </c>
      <c r="K7" s="15">
        <v>4</v>
      </c>
      <c r="L7">
        <v>10</v>
      </c>
    </row>
    <row r="8" spans="2:12" x14ac:dyDescent="0.2">
      <c r="B8" s="16">
        <f t="shared" ref="B8:B25" si="0">B7+1</f>
        <v>2.1</v>
      </c>
      <c r="C8">
        <v>37</v>
      </c>
      <c r="E8" s="16">
        <v>10.1</v>
      </c>
      <c r="F8">
        <v>0</v>
      </c>
      <c r="K8" s="15"/>
    </row>
    <row r="9" spans="2:12" x14ac:dyDescent="0.2">
      <c r="B9" s="16">
        <f t="shared" si="0"/>
        <v>3.1</v>
      </c>
      <c r="C9">
        <v>36</v>
      </c>
      <c r="E9" s="16"/>
    </row>
    <row r="10" spans="2:12" x14ac:dyDescent="0.2">
      <c r="B10" s="16">
        <f t="shared" si="0"/>
        <v>4.0999999999999996</v>
      </c>
      <c r="C10">
        <v>35</v>
      </c>
      <c r="E10" s="16"/>
    </row>
    <row r="11" spans="2:12" x14ac:dyDescent="0.2">
      <c r="B11" s="16">
        <f t="shared" si="0"/>
        <v>5.0999999999999996</v>
      </c>
      <c r="C11">
        <v>34</v>
      </c>
      <c r="E11" s="16"/>
    </row>
    <row r="12" spans="2:12" x14ac:dyDescent="0.2">
      <c r="B12" s="16">
        <f t="shared" si="0"/>
        <v>6.1</v>
      </c>
      <c r="C12">
        <v>33</v>
      </c>
      <c r="E12" s="16"/>
    </row>
    <row r="13" spans="2:12" x14ac:dyDescent="0.2">
      <c r="B13" s="16">
        <f t="shared" si="0"/>
        <v>7.1</v>
      </c>
      <c r="C13">
        <v>31</v>
      </c>
      <c r="E13" s="16"/>
    </row>
    <row r="14" spans="2:12" x14ac:dyDescent="0.2">
      <c r="B14" s="16">
        <f t="shared" si="0"/>
        <v>8.1</v>
      </c>
      <c r="C14">
        <v>29</v>
      </c>
      <c r="E14" s="16"/>
    </row>
    <row r="15" spans="2:12" x14ac:dyDescent="0.2">
      <c r="B15" s="16">
        <f t="shared" si="0"/>
        <v>9.1</v>
      </c>
      <c r="C15">
        <v>27</v>
      </c>
      <c r="E15" s="16"/>
    </row>
    <row r="16" spans="2:12" x14ac:dyDescent="0.2">
      <c r="B16" s="16">
        <f t="shared" si="0"/>
        <v>10.1</v>
      </c>
      <c r="C16">
        <v>25</v>
      </c>
      <c r="E16" s="16"/>
    </row>
    <row r="17" spans="2:5" x14ac:dyDescent="0.2">
      <c r="B17" s="16">
        <f t="shared" si="0"/>
        <v>11.1</v>
      </c>
      <c r="C17">
        <v>23</v>
      </c>
      <c r="E17" s="16"/>
    </row>
    <row r="18" spans="2:5" x14ac:dyDescent="0.2">
      <c r="B18" s="16">
        <f t="shared" si="0"/>
        <v>12.1</v>
      </c>
      <c r="C18">
        <v>21</v>
      </c>
      <c r="E18" s="16"/>
    </row>
    <row r="19" spans="2:5" x14ac:dyDescent="0.2">
      <c r="B19" s="16">
        <f t="shared" si="0"/>
        <v>13.1</v>
      </c>
      <c r="C19">
        <v>19</v>
      </c>
      <c r="E19" s="16"/>
    </row>
    <row r="20" spans="2:5" x14ac:dyDescent="0.2">
      <c r="B20" s="16">
        <f t="shared" si="0"/>
        <v>14.1</v>
      </c>
      <c r="C20">
        <v>17</v>
      </c>
      <c r="E20" s="16"/>
    </row>
    <row r="21" spans="2:5" x14ac:dyDescent="0.2">
      <c r="B21" s="16">
        <f t="shared" si="0"/>
        <v>15.1</v>
      </c>
      <c r="C21">
        <v>14</v>
      </c>
      <c r="E21" s="16"/>
    </row>
    <row r="22" spans="2:5" x14ac:dyDescent="0.2">
      <c r="B22" s="16">
        <f t="shared" si="0"/>
        <v>16.100000000000001</v>
      </c>
      <c r="C22">
        <v>11</v>
      </c>
      <c r="E22" s="16"/>
    </row>
    <row r="23" spans="2:5" x14ac:dyDescent="0.2">
      <c r="B23" s="16">
        <f t="shared" si="0"/>
        <v>17.100000000000001</v>
      </c>
      <c r="C23">
        <v>8</v>
      </c>
      <c r="E23" s="16"/>
    </row>
    <row r="24" spans="2:5" x14ac:dyDescent="0.2">
      <c r="B24" s="16">
        <f t="shared" si="0"/>
        <v>18.100000000000001</v>
      </c>
      <c r="C24">
        <v>5</v>
      </c>
      <c r="E24" s="16"/>
    </row>
    <row r="25" spans="2:5" x14ac:dyDescent="0.2">
      <c r="B25" s="16">
        <f t="shared" si="0"/>
        <v>19.100000000000001</v>
      </c>
      <c r="C25">
        <v>2</v>
      </c>
      <c r="E25" s="16"/>
    </row>
    <row r="26" spans="2:5" x14ac:dyDescent="0.2">
      <c r="B26" s="16">
        <f t="shared" ref="B26" si="1">B25+1</f>
        <v>20.100000000000001</v>
      </c>
      <c r="C26">
        <v>0</v>
      </c>
    </row>
    <row r="27" spans="2:5" x14ac:dyDescent="0.2">
      <c r="B27" s="13"/>
    </row>
    <row r="28" spans="2:5" x14ac:dyDescent="0.2">
      <c r="B28" s="13"/>
    </row>
    <row r="29" spans="2:5" x14ac:dyDescent="0.2">
      <c r="B29" s="13"/>
    </row>
  </sheetData>
  <mergeCells count="4">
    <mergeCell ref="B3:C3"/>
    <mergeCell ref="E3:F3"/>
    <mergeCell ref="H3:I3"/>
    <mergeCell ref="K3: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7</vt:i4>
      </vt:variant>
      <vt:variant>
        <vt:lpstr>Plages nommées</vt:lpstr>
      </vt:variant>
      <vt:variant>
        <vt:i4>4</vt:i4>
      </vt:variant>
    </vt:vector>
  </HeadingPairs>
  <TitlesOfParts>
    <vt:vector size="11" baseType="lpstr">
      <vt:lpstr>1- écart rémunération</vt:lpstr>
      <vt:lpstr>2- écart augmentations</vt:lpstr>
      <vt:lpstr>2 - message</vt:lpstr>
      <vt:lpstr>3- AI maternité</vt:lpstr>
      <vt:lpstr>4- 10 + hautes rému</vt:lpstr>
      <vt:lpstr>index</vt:lpstr>
      <vt:lpstr>barèmes</vt:lpstr>
      <vt:lpstr>'1- écart rémunération'!Zone_d_impression</vt:lpstr>
      <vt:lpstr>'2- écart augmentations'!Zone_d_impression</vt:lpstr>
      <vt:lpstr>'3- AI maternité'!Zone_d_impression</vt:lpstr>
      <vt:lpstr>'4- 10 + hautes rému'!Zone_d_impression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 DRION</dc:creator>
  <cp:lastModifiedBy>Microsoft Office User</cp:lastModifiedBy>
  <cp:lastPrinted>2019-09-30T10:15:31Z</cp:lastPrinted>
  <dcterms:created xsi:type="dcterms:W3CDTF">2018-06-27T07:13:52Z</dcterms:created>
  <dcterms:modified xsi:type="dcterms:W3CDTF">2022-12-27T15:03:22Z</dcterms:modified>
</cp:coreProperties>
</file>