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codeName="ThisWorkbook"/>
  <mc:AlternateContent xmlns:mc="http://schemas.openxmlformats.org/markup-compatibility/2006">
    <mc:Choice Requires="x15">
      <x15ac:absPath xmlns:x15ac="http://schemas.microsoft.com/office/spreadsheetml/2010/11/ac" url="/Users/Shared/Previously Relocated Items/Security/All My Stuff/Home Page 2002/pc/blog/"/>
    </mc:Choice>
  </mc:AlternateContent>
  <xr:revisionPtr revIDLastSave="0" documentId="13_ncr:1_{051A923A-637F-7E41-B8C7-6AE601D65710}" xr6:coauthVersionLast="47" xr6:coauthVersionMax="47" xr10:uidLastSave="{00000000-0000-0000-0000-000000000000}"/>
  <bookViews>
    <workbookView xWindow="0" yWindow="500" windowWidth="38400" windowHeight="23500" tabRatio="772" xr2:uid="{00000000-000D-0000-FFFF-FFFF00000000}"/>
  </bookViews>
  <sheets>
    <sheet name="Input sheet" sheetId="11" r:id="rId1"/>
    <sheet name="Valuation output" sheetId="13" r:id="rId2"/>
    <sheet name="Stories to Numbers" sheetId="28" r:id="rId3"/>
    <sheet name="Valuation as picture" sheetId="32" r:id="rId4"/>
    <sheet name="Diagnostics" sheetId="12" r:id="rId5"/>
    <sheet name="Option value" sheetId="14" r:id="rId6"/>
    <sheet name="Operating lease converter" sheetId="18" r:id="rId7"/>
    <sheet name="Synthetic rating" sheetId="20" r:id="rId8"/>
    <sheet name="R&amp; D converter" sheetId="25" r:id="rId9"/>
    <sheet name="Cost of capital worksheet" sheetId="19" r:id="rId10"/>
    <sheet name="Failure Rate worksheet" sheetId="30" r:id="rId11"/>
    <sheet name="Summary Sheet" sheetId="29" r:id="rId12"/>
    <sheet name="Country equity risk premiums" sheetId="23" r:id="rId13"/>
    <sheet name="Industry Averages(US)" sheetId="8" r:id="rId14"/>
    <sheet name="Input Stat Distributioons" sheetId="31" r:id="rId15"/>
    <sheet name="Industry Average Beta (Global)" sheetId="26" r:id="rId16"/>
    <sheet name="Trailing 12 month" sheetId="24" r:id="rId17"/>
    <sheet name="Answer keys" sheetId="21" r:id="rId1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20" l="1"/>
  <c r="I15" i="19"/>
  <c r="I14" i="19"/>
  <c r="I13" i="19"/>
  <c r="I12" i="19"/>
  <c r="I11" i="19"/>
  <c r="I10" i="19"/>
  <c r="I9" i="19"/>
  <c r="I8" i="19"/>
  <c r="I7" i="19"/>
  <c r="I6" i="19"/>
  <c r="I5" i="19"/>
  <c r="B210" i="23"/>
  <c r="B209" i="23"/>
  <c r="B208" i="23"/>
  <c r="B207" i="23"/>
  <c r="I27" i="19" s="1"/>
  <c r="B206" i="23"/>
  <c r="I26" i="19" s="1"/>
  <c r="B205" i="23"/>
  <c r="I25" i="19" s="1"/>
  <c r="B204" i="23"/>
  <c r="I24" i="19" s="1"/>
  <c r="B203" i="23"/>
  <c r="I23" i="19" s="1"/>
  <c r="B202" i="23"/>
  <c r="I22" i="19" s="1"/>
  <c r="B201" i="23"/>
  <c r="I29" i="19"/>
  <c r="I28" i="19"/>
  <c r="G28" i="19"/>
  <c r="G27" i="19"/>
  <c r="G26" i="19"/>
  <c r="G25" i="19"/>
  <c r="G24" i="19"/>
  <c r="G23" i="19"/>
  <c r="G22" i="19"/>
  <c r="I21" i="19"/>
  <c r="G21" i="19"/>
  <c r="E6" i="32" l="1"/>
  <c r="D196" i="23"/>
  <c r="B72" i="19"/>
  <c r="P38" i="32" l="1"/>
  <c r="O38" i="32"/>
  <c r="P37" i="32"/>
  <c r="O37" i="32"/>
  <c r="N38" i="32"/>
  <c r="M38" i="32"/>
  <c r="N37" i="32"/>
  <c r="M37" i="32"/>
  <c r="B27" i="11"/>
  <c r="J8" i="19"/>
  <c r="K8" i="19" s="1"/>
  <c r="J9" i="19"/>
  <c r="K9" i="19" s="1"/>
  <c r="J10" i="19"/>
  <c r="K10" i="19" s="1"/>
  <c r="J11" i="19"/>
  <c r="K11" i="19" s="1"/>
  <c r="J12" i="19"/>
  <c r="K12" i="19" s="1"/>
  <c r="J13" i="19"/>
  <c r="K13" i="19"/>
  <c r="J14" i="19"/>
  <c r="K14" i="19" s="1"/>
  <c r="J15" i="19"/>
  <c r="K15" i="19" s="1"/>
  <c r="J17" i="19"/>
  <c r="K17" i="19" s="1"/>
  <c r="B18" i="19"/>
  <c r="H18" i="19"/>
  <c r="J5" i="19" s="1"/>
  <c r="B19" i="19"/>
  <c r="B23" i="19"/>
  <c r="K23" i="19"/>
  <c r="J23" i="19"/>
  <c r="B24" i="19"/>
  <c r="K27" i="19"/>
  <c r="G29" i="19"/>
  <c r="B30" i="19"/>
  <c r="B31" i="19"/>
  <c r="H32" i="19"/>
  <c r="J27" i="19" s="1"/>
  <c r="I36" i="19"/>
  <c r="K36" i="19" s="1"/>
  <c r="I37" i="19"/>
  <c r="J37" i="19" s="1"/>
  <c r="B38" i="19"/>
  <c r="I38" i="19"/>
  <c r="J38" i="19"/>
  <c r="K38" i="19"/>
  <c r="L38" i="19"/>
  <c r="I39" i="19"/>
  <c r="L39" i="19" s="1"/>
  <c r="J39" i="19"/>
  <c r="K39" i="19"/>
  <c r="I40" i="19"/>
  <c r="L40" i="19" s="1"/>
  <c r="J40" i="19"/>
  <c r="K40" i="19"/>
  <c r="I41" i="19"/>
  <c r="J41" i="19" s="1"/>
  <c r="K41" i="19"/>
  <c r="I42" i="19"/>
  <c r="L42" i="19" s="1"/>
  <c r="J42" i="19"/>
  <c r="K42" i="19"/>
  <c r="I43" i="19"/>
  <c r="J43" i="19"/>
  <c r="K43" i="19"/>
  <c r="L43" i="19"/>
  <c r="I44" i="19"/>
  <c r="K44" i="19" s="1"/>
  <c r="J44" i="19"/>
  <c r="B45" i="19"/>
  <c r="C55" i="19" s="1"/>
  <c r="I45" i="19"/>
  <c r="K45" i="19" s="1"/>
  <c r="J45" i="19"/>
  <c r="I46" i="19"/>
  <c r="K46" i="19" s="1"/>
  <c r="I47" i="19"/>
  <c r="L47" i="19" s="1"/>
  <c r="H48" i="19"/>
  <c r="I52" i="19"/>
  <c r="J52" i="19" s="1"/>
  <c r="K52" i="19"/>
  <c r="I53" i="19"/>
  <c r="L53" i="19" s="1"/>
  <c r="J53" i="19"/>
  <c r="K53" i="19"/>
  <c r="I54" i="19"/>
  <c r="J54" i="19" s="1"/>
  <c r="K54" i="19"/>
  <c r="I55" i="19"/>
  <c r="J55" i="19" s="1"/>
  <c r="K55" i="19"/>
  <c r="L55" i="19"/>
  <c r="I56" i="19"/>
  <c r="L56" i="19" s="1"/>
  <c r="K56" i="19"/>
  <c r="I57" i="19"/>
  <c r="J57" i="19"/>
  <c r="K57" i="19"/>
  <c r="L57" i="19"/>
  <c r="I58" i="19"/>
  <c r="L58" i="19" s="1"/>
  <c r="J58" i="19"/>
  <c r="K58" i="19"/>
  <c r="I59" i="19"/>
  <c r="J59" i="19" s="1"/>
  <c r="K59" i="19"/>
  <c r="D60" i="19"/>
  <c r="I60" i="19"/>
  <c r="L60" i="19" s="1"/>
  <c r="J60" i="19"/>
  <c r="K60" i="19"/>
  <c r="I61" i="19"/>
  <c r="L61" i="19" s="1"/>
  <c r="J61" i="19"/>
  <c r="K61" i="19"/>
  <c r="D62" i="19"/>
  <c r="I62" i="19"/>
  <c r="J62" i="19" s="1"/>
  <c r="K62" i="19"/>
  <c r="I63" i="19"/>
  <c r="L63" i="19" s="1"/>
  <c r="J63" i="19"/>
  <c r="K63" i="19"/>
  <c r="H64"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J36" i="19" l="1"/>
  <c r="L46" i="19"/>
  <c r="J46" i="19"/>
  <c r="L41" i="19"/>
  <c r="L44" i="19"/>
  <c r="L52" i="19"/>
  <c r="J56" i="19"/>
  <c r="J7" i="19"/>
  <c r="K7" i="19" s="1"/>
  <c r="J6" i="19"/>
  <c r="K6" i="19" s="1"/>
  <c r="J16" i="19"/>
  <c r="K16" i="19" s="1"/>
  <c r="J26" i="19"/>
  <c r="K26" i="19" s="1"/>
  <c r="J29" i="19"/>
  <c r="J30" i="19"/>
  <c r="K30" i="19" s="1"/>
  <c r="J24" i="19"/>
  <c r="K24" i="19" s="1"/>
  <c r="K47" i="19"/>
  <c r="K29" i="19"/>
  <c r="L54" i="19"/>
  <c r="J47" i="19"/>
  <c r="J48" i="19" s="1"/>
  <c r="K48" i="19" s="1"/>
  <c r="L37" i="19"/>
  <c r="B60" i="19"/>
  <c r="J64" i="19"/>
  <c r="J18" i="19"/>
  <c r="K5" i="19"/>
  <c r="B37" i="19"/>
  <c r="L36" i="19"/>
  <c r="J21" i="19"/>
  <c r="K21" i="19" s="1"/>
  <c r="K37" i="19"/>
  <c r="J31" i="19"/>
  <c r="K31" i="19" s="1"/>
  <c r="J28" i="19"/>
  <c r="K28" i="19" s="1"/>
  <c r="L62" i="19"/>
  <c r="L59" i="19"/>
  <c r="L45" i="19"/>
  <c r="J22" i="19"/>
  <c r="K22" i="19" s="1"/>
  <c r="J25" i="19"/>
  <c r="K25" i="19" s="1"/>
  <c r="K32" i="19" l="1"/>
  <c r="K18" i="19"/>
  <c r="B27" i="19" s="1"/>
  <c r="J32" i="19"/>
  <c r="L48" i="19"/>
  <c r="B67" i="19" s="1"/>
  <c r="K64" i="19"/>
  <c r="L64" i="19"/>
  <c r="C53" i="19"/>
  <c r="C62" i="19"/>
  <c r="C54" i="19"/>
  <c r="C56" i="19" s="1"/>
  <c r="C60" i="19" l="1"/>
  <c r="E60" i="19" l="1"/>
  <c r="C57" i="19"/>
  <c r="B62" i="19" s="1"/>
  <c r="D61" i="19" l="1"/>
  <c r="B61" i="19"/>
  <c r="C61" i="19"/>
  <c r="E61" i="19" l="1"/>
  <c r="E62" i="19"/>
  <c r="B13" i="19" s="1"/>
  <c r="P39" i="32" l="1"/>
  <c r="O39" i="32"/>
  <c r="N39" i="32"/>
  <c r="M39" i="32"/>
  <c r="H6" i="32"/>
  <c r="N18" i="32"/>
  <c r="A17" i="32"/>
  <c r="A16" i="32"/>
  <c r="A15" i="32"/>
  <c r="L24" i="13" l="1"/>
  <c r="M24" i="13" s="1"/>
  <c r="K24" i="13"/>
  <c r="J24" i="13"/>
  <c r="I24" i="13"/>
  <c r="H24" i="13"/>
  <c r="L15" i="13"/>
  <c r="K15" i="13"/>
  <c r="J15" i="13"/>
  <c r="I15" i="13"/>
  <c r="H15" i="13"/>
  <c r="C24" i="13"/>
  <c r="G24" i="13" s="1"/>
  <c r="B21" i="13"/>
  <c r="G21" i="13" s="1"/>
  <c r="M30" i="13"/>
  <c r="F14" i="28" s="1"/>
  <c r="L22" i="13"/>
  <c r="B24" i="13"/>
  <c r="L21" i="13"/>
  <c r="B22" i="13"/>
  <c r="B13" i="13"/>
  <c r="B15" i="13"/>
  <c r="C15" i="13" s="1"/>
  <c r="G15" i="13" s="1"/>
  <c r="L13" i="13"/>
  <c r="L12" i="13"/>
  <c r="B12" i="13"/>
  <c r="G12" i="13" s="1"/>
  <c r="G35" i="32"/>
  <c r="D35" i="32"/>
  <c r="O3" i="32"/>
  <c r="A3" i="32"/>
  <c r="A27" i="32"/>
  <c r="A28" i="32"/>
  <c r="A26" i="32"/>
  <c r="A25" i="32"/>
  <c r="A24" i="32"/>
  <c r="A23" i="32"/>
  <c r="A22" i="32"/>
  <c r="A21" i="32"/>
  <c r="A20" i="32"/>
  <c r="A18" i="32"/>
  <c r="A19" i="32"/>
  <c r="K6" i="32"/>
  <c r="O15" i="32"/>
  <c r="N15" i="32"/>
  <c r="M15" i="32"/>
  <c r="L15" i="32"/>
  <c r="K15" i="32"/>
  <c r="J15" i="32"/>
  <c r="I15" i="32"/>
  <c r="H15" i="32"/>
  <c r="G15" i="32"/>
  <c r="F15" i="32"/>
  <c r="E15" i="32"/>
  <c r="E15" i="13" l="1"/>
  <c r="F15" i="13"/>
  <c r="D4" i="13"/>
  <c r="D15" i="13"/>
  <c r="D24" i="13"/>
  <c r="E24" i="13"/>
  <c r="F24" i="13"/>
  <c r="P8" i="32"/>
  <c r="E31" i="12"/>
  <c r="M15" i="13"/>
  <c r="H21" i="13"/>
  <c r="I21" i="13" s="1"/>
  <c r="B23" i="13"/>
  <c r="B25" i="13" s="1"/>
  <c r="C21" i="13"/>
  <c r="D21" i="13" s="1"/>
  <c r="B14" i="13"/>
  <c r="B16" i="13" s="1"/>
  <c r="C13" i="13"/>
  <c r="D13" i="13" s="1"/>
  <c r="E13" i="13" s="1"/>
  <c r="F13" i="13" s="1"/>
  <c r="G13" i="13" s="1"/>
  <c r="H13" i="13" s="1"/>
  <c r="I13" i="13" s="1"/>
  <c r="J13" i="13" s="1"/>
  <c r="K13" i="13" s="1"/>
  <c r="M13" i="13"/>
  <c r="L14" i="13"/>
  <c r="N17" i="32" s="1"/>
  <c r="I28" i="11"/>
  <c r="N31" i="11"/>
  <c r="M31" i="11"/>
  <c r="L31" i="11"/>
  <c r="N27" i="11"/>
  <c r="M27" i="11"/>
  <c r="L27" i="11"/>
  <c r="N26" i="11"/>
  <c r="M26" i="11"/>
  <c r="L26" i="11"/>
  <c r="L25" i="11"/>
  <c r="N25" i="11"/>
  <c r="M25" i="11"/>
  <c r="L4" i="13"/>
  <c r="N20" i="32" s="1"/>
  <c r="K4" i="13"/>
  <c r="M20" i="32" s="1"/>
  <c r="B3" i="13" l="1"/>
  <c r="E21" i="13"/>
  <c r="J21" i="13"/>
  <c r="L16" i="13"/>
  <c r="G14" i="13"/>
  <c r="I17" i="32" s="1"/>
  <c r="C12" i="13"/>
  <c r="C14" i="13" s="1"/>
  <c r="H12" i="13"/>
  <c r="B7" i="12" l="1"/>
  <c r="B8" i="32"/>
  <c r="E17" i="32"/>
  <c r="C16" i="13"/>
  <c r="K21" i="13"/>
  <c r="F21" i="13"/>
  <c r="G16" i="13"/>
  <c r="D12" i="13"/>
  <c r="H14" i="13"/>
  <c r="J17" i="32" s="1"/>
  <c r="I12" i="13"/>
  <c r="C57" i="13"/>
  <c r="E30"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H16" i="13" l="1"/>
  <c r="I14" i="13"/>
  <c r="K17" i="32" s="1"/>
  <c r="J12" i="13"/>
  <c r="D14" i="13"/>
  <c r="E12" i="13"/>
  <c r="D16" i="13" l="1"/>
  <c r="F17" i="32"/>
  <c r="I16" i="13"/>
  <c r="E14" i="13"/>
  <c r="F12" i="13"/>
  <c r="J14" i="13"/>
  <c r="L17" i="32" s="1"/>
  <c r="K12" i="13"/>
  <c r="C9" i="28"/>
  <c r="D12" i="28"/>
  <c r="C2" i="13"/>
  <c r="D57" i="13"/>
  <c r="B73" i="11"/>
  <c r="C10" i="28"/>
  <c r="G1" i="28"/>
  <c r="C4" i="13"/>
  <c r="E20" i="32" s="1"/>
  <c r="D2" i="13"/>
  <c r="K27" i="11"/>
  <c r="K26" i="11"/>
  <c r="C9" i="32" s="1"/>
  <c r="M2" i="13"/>
  <c r="P7" i="32" s="1"/>
  <c r="J26" i="11"/>
  <c r="C7" i="20"/>
  <c r="E40" i="24"/>
  <c r="E38" i="24"/>
  <c r="E37" i="24"/>
  <c r="E36" i="24"/>
  <c r="C14" i="24"/>
  <c r="D14" i="24"/>
  <c r="A25" i="29"/>
  <c r="A37" i="29" s="1"/>
  <c r="A49" i="29"/>
  <c r="A24" i="29"/>
  <c r="A36" i="29" s="1"/>
  <c r="A48" i="29" s="1"/>
  <c r="A23" i="29"/>
  <c r="A35" i="29" s="1"/>
  <c r="A47" i="29"/>
  <c r="A22" i="29"/>
  <c r="A34" i="29" s="1"/>
  <c r="A46" i="29"/>
  <c r="A21" i="29"/>
  <c r="A33" i="29" s="1"/>
  <c r="A45" i="29"/>
  <c r="A20" i="29"/>
  <c r="A32" i="29" s="1"/>
  <c r="A44" i="29" s="1"/>
  <c r="A19" i="29"/>
  <c r="A31" i="29" s="1"/>
  <c r="A43" i="29"/>
  <c r="A18" i="29"/>
  <c r="A30" i="29" s="1"/>
  <c r="A42" i="29"/>
  <c r="A17" i="29"/>
  <c r="A29" i="29" s="1"/>
  <c r="A41" i="29"/>
  <c r="A16" i="29"/>
  <c r="A28" i="29" s="1"/>
  <c r="A40" i="29" s="1"/>
  <c r="J27" i="11"/>
  <c r="A15" i="29"/>
  <c r="B10" i="13"/>
  <c r="F2" i="29" s="1"/>
  <c r="B14" i="24"/>
  <c r="B6" i="13"/>
  <c r="M6" i="13"/>
  <c r="F11" i="28" s="1"/>
  <c r="B41" i="13"/>
  <c r="B18" i="32" s="1"/>
  <c r="G39" i="28"/>
  <c r="B30" i="32" s="1"/>
  <c r="E2" i="24"/>
  <c r="E4" i="24"/>
  <c r="B22" i="18"/>
  <c r="A22" i="18"/>
  <c r="B23" i="18"/>
  <c r="A23" i="18"/>
  <c r="B24" i="18"/>
  <c r="A24" i="18"/>
  <c r="B25" i="18"/>
  <c r="A25" i="18"/>
  <c r="B26" i="18"/>
  <c r="A26" i="18"/>
  <c r="D18" i="18"/>
  <c r="B27" i="18"/>
  <c r="E3" i="24"/>
  <c r="A25" i="25"/>
  <c r="B25" i="25"/>
  <c r="E25" i="25" s="1"/>
  <c r="A12" i="25"/>
  <c r="A13" i="25" s="1"/>
  <c r="B26" i="25"/>
  <c r="B27" i="25"/>
  <c r="C24" i="25"/>
  <c r="B28" i="25"/>
  <c r="B29" i="25"/>
  <c r="B30" i="25"/>
  <c r="B31" i="25"/>
  <c r="B32" i="25"/>
  <c r="B33" i="25"/>
  <c r="B34" i="25"/>
  <c r="E5" i="24"/>
  <c r="F9" i="20"/>
  <c r="B45" i="13"/>
  <c r="B21" i="32" s="1"/>
  <c r="B46" i="13"/>
  <c r="B22" i="32" s="1"/>
  <c r="B47" i="13"/>
  <c r="B23" i="32" s="1"/>
  <c r="B51" i="13"/>
  <c r="D9" i="28"/>
  <c r="A1" i="28"/>
  <c r="F10" i="20"/>
  <c r="K31" i="11"/>
  <c r="K30" i="11"/>
  <c r="J31" i="11"/>
  <c r="B31" i="12" s="1"/>
  <c r="J30" i="11"/>
  <c r="K29" i="11"/>
  <c r="K25" i="11"/>
  <c r="C7" i="32" s="1"/>
  <c r="J25" i="11"/>
  <c r="B3" i="12" s="1"/>
  <c r="J29" i="11"/>
  <c r="A27" i="18"/>
  <c r="B53" i="13"/>
  <c r="B11" i="14"/>
  <c r="D16" i="14" s="1"/>
  <c r="B10" i="14"/>
  <c r="D15" i="14" s="1"/>
  <c r="B7" i="14"/>
  <c r="D18" i="14" s="1"/>
  <c r="B6" i="14"/>
  <c r="B19" i="14" s="1"/>
  <c r="B5" i="14"/>
  <c r="B16" i="14" s="1"/>
  <c r="B18" i="14" s="1"/>
  <c r="B4" i="14"/>
  <c r="B15" i="14" s="1"/>
  <c r="B9" i="14"/>
  <c r="D17" i="14" s="1"/>
  <c r="D19" i="14"/>
  <c r="I25" i="11"/>
  <c r="C25" i="25"/>
  <c r="B24" i="25"/>
  <c r="D24" i="25" s="1"/>
  <c r="B49" i="13"/>
  <c r="B44" i="13"/>
  <c r="B20" i="32" s="1"/>
  <c r="F8" i="20"/>
  <c r="E16" i="13" l="1"/>
  <c r="G17" i="32"/>
  <c r="C6" i="13"/>
  <c r="C17" i="13" s="1"/>
  <c r="B17" i="13"/>
  <c r="B26" i="13"/>
  <c r="M21" i="13"/>
  <c r="J16" i="13"/>
  <c r="D25" i="25"/>
  <c r="K14" i="13"/>
  <c r="M17" i="32" s="1"/>
  <c r="M12" i="13"/>
  <c r="M14" i="13" s="1"/>
  <c r="O17" i="32" s="1"/>
  <c r="F14" i="13"/>
  <c r="H17" i="32" s="1"/>
  <c r="D6" i="13"/>
  <c r="D38" i="28"/>
  <c r="B27" i="32"/>
  <c r="C3" i="12"/>
  <c r="B7" i="32"/>
  <c r="E57" i="13"/>
  <c r="G30" i="32" s="1"/>
  <c r="F30" i="32"/>
  <c r="F9" i="28"/>
  <c r="D37" i="28"/>
  <c r="B25" i="32"/>
  <c r="B11" i="28"/>
  <c r="D11" i="28" s="1"/>
  <c r="D3" i="29"/>
  <c r="H4" i="13"/>
  <c r="J20" i="32" s="1"/>
  <c r="E4" i="13"/>
  <c r="C12" i="12"/>
  <c r="G4" i="13"/>
  <c r="J4" i="13"/>
  <c r="L20" i="32" s="1"/>
  <c r="F4" i="13"/>
  <c r="I4" i="13"/>
  <c r="K20" i="32" s="1"/>
  <c r="B9" i="28"/>
  <c r="D16" i="29"/>
  <c r="C17" i="12"/>
  <c r="G33" i="28"/>
  <c r="B33" i="12"/>
  <c r="E2" i="13"/>
  <c r="C17" i="28"/>
  <c r="D35" i="28"/>
  <c r="D17" i="29"/>
  <c r="C3" i="13"/>
  <c r="D20" i="14"/>
  <c r="A27" i="25"/>
  <c r="A14" i="25"/>
  <c r="A26" i="25"/>
  <c r="C26" i="25" s="1"/>
  <c r="D26" i="25" s="1"/>
  <c r="E26" i="25"/>
  <c r="C3" i="29"/>
  <c r="B2" i="29"/>
  <c r="D34" i="28"/>
  <c r="D12" i="20"/>
  <c r="D13" i="20" s="1"/>
  <c r="C15" i="18"/>
  <c r="E18" i="13" l="1"/>
  <c r="M16" i="13"/>
  <c r="F16" i="13"/>
  <c r="C18" i="13"/>
  <c r="D18" i="13"/>
  <c r="K16" i="13"/>
  <c r="E6" i="13"/>
  <c r="D17" i="13"/>
  <c r="C18" i="28"/>
  <c r="F20" i="32"/>
  <c r="D18" i="29"/>
  <c r="C5" i="13"/>
  <c r="E16" i="32"/>
  <c r="D6" i="29"/>
  <c r="H20" i="32"/>
  <c r="F2" i="13"/>
  <c r="D12" i="12"/>
  <c r="I20" i="32"/>
  <c r="C19" i="28"/>
  <c r="G20" i="32"/>
  <c r="F57" i="13"/>
  <c r="F18" i="13" s="1"/>
  <c r="D3" i="13"/>
  <c r="F16" i="32" s="1"/>
  <c r="D7" i="29"/>
  <c r="C21" i="28"/>
  <c r="D4" i="29"/>
  <c r="B3" i="29"/>
  <c r="E3" i="29" s="1"/>
  <c r="C20" i="28"/>
  <c r="D5" i="29"/>
  <c r="A15" i="25"/>
  <c r="A28" i="25"/>
  <c r="E27" i="25"/>
  <c r="C27" i="25"/>
  <c r="D27" i="25" s="1"/>
  <c r="D14" i="20"/>
  <c r="D16" i="20" s="1"/>
  <c r="C22" i="18"/>
  <c r="C24" i="18"/>
  <c r="C23" i="18"/>
  <c r="C25" i="18"/>
  <c r="C26" i="18"/>
  <c r="C27" i="18"/>
  <c r="D19" i="13" l="1"/>
  <c r="C19" i="13"/>
  <c r="M17" i="13"/>
  <c r="C10" i="13"/>
  <c r="F3" i="29" s="1"/>
  <c r="F6" i="13"/>
  <c r="E17" i="13"/>
  <c r="C7" i="13"/>
  <c r="G2" i="13"/>
  <c r="D19" i="29"/>
  <c r="H30" i="32"/>
  <c r="D5" i="13"/>
  <c r="B4" i="29"/>
  <c r="E4" i="29" s="1"/>
  <c r="E3" i="13"/>
  <c r="G16" i="32" s="1"/>
  <c r="C16" i="29"/>
  <c r="E16" i="29" s="1"/>
  <c r="A16" i="25"/>
  <c r="A29" i="25"/>
  <c r="E28" i="25"/>
  <c r="C28" i="25"/>
  <c r="D28" i="25" s="1"/>
  <c r="C28" i="18"/>
  <c r="E19" i="13" l="1"/>
  <c r="H3" i="29"/>
  <c r="B16" i="29" s="1"/>
  <c r="F16" i="29" s="1"/>
  <c r="D40" i="29" s="1"/>
  <c r="G6" i="13"/>
  <c r="F17" i="13"/>
  <c r="E17" i="28"/>
  <c r="C4" i="29"/>
  <c r="C17" i="29"/>
  <c r="E17" i="29" s="1"/>
  <c r="D10" i="13"/>
  <c r="F4" i="29" s="1"/>
  <c r="J2" i="13"/>
  <c r="L2" i="13"/>
  <c r="K2" i="13"/>
  <c r="I2" i="13"/>
  <c r="H2" i="13"/>
  <c r="D7" i="13"/>
  <c r="E5" i="13"/>
  <c r="F3" i="13"/>
  <c r="H16" i="32" s="1"/>
  <c r="B5" i="29"/>
  <c r="C5" i="29" s="1"/>
  <c r="A17" i="25"/>
  <c r="A30" i="25"/>
  <c r="E29" i="25"/>
  <c r="C29" i="25"/>
  <c r="D29" i="25" s="1"/>
  <c r="B34" i="11"/>
  <c r="F34" i="18"/>
  <c r="F33" i="18"/>
  <c r="F31" i="18"/>
  <c r="F32" i="18" s="1"/>
  <c r="C30" i="13" l="1"/>
  <c r="E27" i="32" s="1"/>
  <c r="D31" i="12"/>
  <c r="D30" i="13"/>
  <c r="F19" i="13"/>
  <c r="G3" i="29"/>
  <c r="F5" i="13"/>
  <c r="C8" i="13"/>
  <c r="E7" i="13"/>
  <c r="G17" i="13"/>
  <c r="H6" i="13"/>
  <c r="E5" i="29"/>
  <c r="E18" i="28"/>
  <c r="C18" i="29"/>
  <c r="E18" i="29" s="1"/>
  <c r="B6" i="29"/>
  <c r="C6" i="29" s="1"/>
  <c r="E10" i="13"/>
  <c r="F5" i="29" s="1"/>
  <c r="H4" i="29"/>
  <c r="B17" i="29" s="1"/>
  <c r="F17" i="29" s="1"/>
  <c r="D41" i="29" s="1"/>
  <c r="G3" i="13"/>
  <c r="I16" i="32" s="1"/>
  <c r="A31" i="25"/>
  <c r="A18" i="25"/>
  <c r="E30" i="25"/>
  <c r="C30" i="25"/>
  <c r="D30" i="25" s="1"/>
  <c r="C31" i="13" l="1"/>
  <c r="E28" i="32" s="1"/>
  <c r="D14" i="28"/>
  <c r="E19" i="28"/>
  <c r="H5" i="29"/>
  <c r="B18" i="29" s="1"/>
  <c r="F18" i="29" s="1"/>
  <c r="D42" i="29" s="1"/>
  <c r="E30" i="13"/>
  <c r="F27" i="32"/>
  <c r="D31" i="13"/>
  <c r="F28" i="32" s="1"/>
  <c r="C33" i="13"/>
  <c r="H3" i="13"/>
  <c r="D8" i="13"/>
  <c r="C9" i="13"/>
  <c r="F17" i="28"/>
  <c r="G17" i="28" s="1"/>
  <c r="F10" i="13"/>
  <c r="F6" i="29" s="1"/>
  <c r="C19" i="29"/>
  <c r="E19" i="29" s="1"/>
  <c r="I6" i="13"/>
  <c r="H17" i="13"/>
  <c r="F7" i="13"/>
  <c r="G4" i="29"/>
  <c r="G5" i="13"/>
  <c r="B7" i="29"/>
  <c r="C20" i="29" s="1"/>
  <c r="E6" i="29"/>
  <c r="H28" i="29"/>
  <c r="B40" i="29" s="1"/>
  <c r="C40" i="29" s="1"/>
  <c r="F40" i="29" s="1"/>
  <c r="A19" i="25"/>
  <c r="A32" i="25"/>
  <c r="E31" i="25"/>
  <c r="C31" i="25"/>
  <c r="D31" i="25" s="1"/>
  <c r="C32" i="13" l="1"/>
  <c r="I3" i="13"/>
  <c r="K16" i="32" s="1"/>
  <c r="J16" i="32"/>
  <c r="G5" i="29"/>
  <c r="F30" i="13"/>
  <c r="G27" i="32"/>
  <c r="E31" i="13"/>
  <c r="G28" i="32" s="1"/>
  <c r="D33" i="13"/>
  <c r="B8" i="29"/>
  <c r="C8" i="29" s="1"/>
  <c r="F8" i="13"/>
  <c r="E8" i="13"/>
  <c r="D9" i="13"/>
  <c r="F18" i="28"/>
  <c r="G18" i="28" s="1"/>
  <c r="J6" i="13"/>
  <c r="I17" i="13"/>
  <c r="H6" i="29"/>
  <c r="B19" i="29" s="1"/>
  <c r="F19" i="29" s="1"/>
  <c r="D43" i="29" s="1"/>
  <c r="G10" i="13"/>
  <c r="F7" i="29" s="1"/>
  <c r="G7" i="13"/>
  <c r="E7" i="29"/>
  <c r="C7" i="29"/>
  <c r="H29" i="29"/>
  <c r="B41" i="29" s="1"/>
  <c r="C41" i="29" s="1"/>
  <c r="F41" i="29" s="1"/>
  <c r="E20" i="28"/>
  <c r="E32" i="25"/>
  <c r="C32" i="25"/>
  <c r="D32" i="25" s="1"/>
  <c r="A33" i="25"/>
  <c r="A20" i="25"/>
  <c r="A34" i="25" s="1"/>
  <c r="B9" i="29"/>
  <c r="J3" i="13" l="1"/>
  <c r="L16" i="32" s="1"/>
  <c r="E9" i="13"/>
  <c r="E32" i="13" s="1"/>
  <c r="F9" i="13"/>
  <c r="C21" i="29"/>
  <c r="F20" i="28"/>
  <c r="G20" i="28" s="1"/>
  <c r="D32" i="13"/>
  <c r="G30" i="13"/>
  <c r="H27" i="32"/>
  <c r="F31" i="13"/>
  <c r="H28" i="32" s="1"/>
  <c r="E33" i="13"/>
  <c r="F19" i="28"/>
  <c r="G19" i="28" s="1"/>
  <c r="G6" i="29"/>
  <c r="K6" i="13"/>
  <c r="J17" i="13"/>
  <c r="E21" i="28"/>
  <c r="H7" i="29"/>
  <c r="B20" i="29" s="1"/>
  <c r="H30" i="29"/>
  <c r="B42" i="29" s="1"/>
  <c r="C42" i="29" s="1"/>
  <c r="F42" i="29" s="1"/>
  <c r="C34" i="25"/>
  <c r="D34" i="25" s="1"/>
  <c r="E34" i="25"/>
  <c r="C33" i="25"/>
  <c r="D33" i="25" s="1"/>
  <c r="E33" i="25"/>
  <c r="C9" i="29"/>
  <c r="C22" i="29"/>
  <c r="B10" i="29" l="1"/>
  <c r="K3" i="13"/>
  <c r="M16" i="32" s="1"/>
  <c r="H30" i="13"/>
  <c r="I27" i="32"/>
  <c r="G31" i="13"/>
  <c r="I28" i="32" s="1"/>
  <c r="F33" i="13"/>
  <c r="F32" i="13"/>
  <c r="L6" i="13"/>
  <c r="L17" i="13" s="1"/>
  <c r="K17" i="13"/>
  <c r="G7" i="29"/>
  <c r="H31" i="29"/>
  <c r="B43" i="29" s="1"/>
  <c r="C43" i="29" s="1"/>
  <c r="F43" i="29" s="1"/>
  <c r="E35" i="25"/>
  <c r="D37" i="25" s="1"/>
  <c r="D39" i="25" s="1"/>
  <c r="B5" i="13" s="1"/>
  <c r="B10" i="32" s="1"/>
  <c r="B9" i="32" s="1"/>
  <c r="D35" i="25"/>
  <c r="B58" i="13" s="1"/>
  <c r="C23" i="29"/>
  <c r="C10" i="29"/>
  <c r="L3" i="13"/>
  <c r="N16" i="32" s="1"/>
  <c r="N19" i="32" s="1"/>
  <c r="B11" i="29"/>
  <c r="I30" i="13" l="1"/>
  <c r="J27" i="32"/>
  <c r="H31" i="13"/>
  <c r="H32" i="29"/>
  <c r="B44" i="29" s="1"/>
  <c r="C44" i="29" s="1"/>
  <c r="D40" i="25"/>
  <c r="G15" i="29"/>
  <c r="G16" i="29" s="1"/>
  <c r="I27" i="11"/>
  <c r="B12" i="29"/>
  <c r="M3" i="13"/>
  <c r="O16" i="32" s="1"/>
  <c r="C11" i="29"/>
  <c r="C24" i="29"/>
  <c r="J28" i="32" l="1"/>
  <c r="J30" i="13"/>
  <c r="K27" i="32"/>
  <c r="I31" i="13"/>
  <c r="K28" i="32" s="1"/>
  <c r="H33" i="29"/>
  <c r="B45" i="29" s="1"/>
  <c r="C45" i="29" s="1"/>
  <c r="H34" i="29"/>
  <c r="B17" i="12"/>
  <c r="H16" i="29"/>
  <c r="G17" i="29"/>
  <c r="B4" i="13"/>
  <c r="B59" i="13" s="1"/>
  <c r="B7" i="13"/>
  <c r="B11" i="32" s="1"/>
  <c r="C25" i="29"/>
  <c r="C12" i="29"/>
  <c r="B46" i="29"/>
  <c r="C46" i="29" s="1"/>
  <c r="K30" i="13" l="1"/>
  <c r="L27" i="32"/>
  <c r="J31" i="13"/>
  <c r="L28" i="32" s="1"/>
  <c r="H35" i="29"/>
  <c r="B12" i="12"/>
  <c r="G57" i="13"/>
  <c r="G18" i="13" s="1"/>
  <c r="E12" i="28"/>
  <c r="B10" i="28"/>
  <c r="D2" i="29"/>
  <c r="E2" i="29" s="1"/>
  <c r="I26" i="11"/>
  <c r="G18" i="29"/>
  <c r="H17" i="29"/>
  <c r="H2" i="29"/>
  <c r="B15" i="29" s="1"/>
  <c r="H15" i="29" s="1"/>
  <c r="I29" i="11"/>
  <c r="B47" i="29"/>
  <c r="C47" i="29" s="1"/>
  <c r="L30" i="13" l="1"/>
  <c r="N27" i="32" s="1"/>
  <c r="M27" i="32"/>
  <c r="G19" i="13"/>
  <c r="G33" i="13" s="1"/>
  <c r="K31" i="13"/>
  <c r="M28" i="32" s="1"/>
  <c r="I30" i="32"/>
  <c r="G8" i="13"/>
  <c r="H36" i="29"/>
  <c r="B48" i="29" s="1"/>
  <c r="C48" i="29" s="1"/>
  <c r="D17" i="12"/>
  <c r="D20" i="29"/>
  <c r="E20" i="29" s="1"/>
  <c r="F20" i="29" s="1"/>
  <c r="D44" i="29" s="1"/>
  <c r="F44" i="29" s="1"/>
  <c r="H57" i="13"/>
  <c r="H18" i="13" s="1"/>
  <c r="H19" i="13" s="1"/>
  <c r="H33" i="13" s="1"/>
  <c r="B13" i="28"/>
  <c r="B27" i="12"/>
  <c r="D12" i="29"/>
  <c r="E12" i="29" s="1"/>
  <c r="M4" i="13"/>
  <c r="C26" i="28"/>
  <c r="L5" i="13"/>
  <c r="C23" i="28"/>
  <c r="D9" i="29"/>
  <c r="E9" i="29" s="1"/>
  <c r="I5" i="13"/>
  <c r="C22" i="28"/>
  <c r="D8" i="29"/>
  <c r="E8" i="29" s="1"/>
  <c r="H5" i="13"/>
  <c r="G19" i="29"/>
  <c r="H18" i="29"/>
  <c r="G2" i="29"/>
  <c r="C25" i="28"/>
  <c r="D11" i="29"/>
  <c r="E11" i="29" s="1"/>
  <c r="K5" i="13"/>
  <c r="C24" i="28"/>
  <c r="D10" i="29"/>
  <c r="E10" i="29" s="1"/>
  <c r="J5" i="13"/>
  <c r="L31" i="13" l="1"/>
  <c r="E12" i="12"/>
  <c r="O20" i="32"/>
  <c r="H37" i="29"/>
  <c r="B49" i="29" s="1"/>
  <c r="C49" i="29" s="1"/>
  <c r="J30" i="32"/>
  <c r="H8" i="13"/>
  <c r="D21" i="29"/>
  <c r="E21" i="29" s="1"/>
  <c r="I57" i="13"/>
  <c r="I18" i="13" s="1"/>
  <c r="I19" i="13" s="1"/>
  <c r="I33" i="13" s="1"/>
  <c r="F21" i="28"/>
  <c r="G21" i="28" s="1"/>
  <c r="G9" i="13"/>
  <c r="G20" i="29"/>
  <c r="H19" i="29"/>
  <c r="H10" i="13"/>
  <c r="F8" i="29" s="1"/>
  <c r="H7" i="13"/>
  <c r="F10" i="28"/>
  <c r="C27" i="28"/>
  <c r="M5" i="13"/>
  <c r="M59" i="13"/>
  <c r="G32" i="13" l="1"/>
  <c r="C31" i="12"/>
  <c r="N28" i="32"/>
  <c r="M18" i="13"/>
  <c r="M19" i="13" s="1"/>
  <c r="N19" i="13" s="1"/>
  <c r="F22" i="28"/>
  <c r="E27" i="12"/>
  <c r="O31" i="32"/>
  <c r="P9" i="32"/>
  <c r="P10" i="32" s="1"/>
  <c r="K30" i="32"/>
  <c r="I8" i="13"/>
  <c r="D22" i="29"/>
  <c r="E22" i="29" s="1"/>
  <c r="J57" i="13"/>
  <c r="J18" i="13" s="1"/>
  <c r="J19" i="13" s="1"/>
  <c r="J33" i="13" s="1"/>
  <c r="I7" i="13"/>
  <c r="I10" i="13"/>
  <c r="F9" i="29" s="1"/>
  <c r="M7" i="13"/>
  <c r="G21" i="29"/>
  <c r="H20" i="29"/>
  <c r="H9" i="13"/>
  <c r="H8" i="29"/>
  <c r="E22" i="28"/>
  <c r="F13" i="28"/>
  <c r="F12" i="28"/>
  <c r="M8" i="13" l="1"/>
  <c r="H32" i="13"/>
  <c r="G22" i="28"/>
  <c r="E27" i="28"/>
  <c r="L30" i="32"/>
  <c r="J8" i="13"/>
  <c r="G22" i="29"/>
  <c r="I9" i="13"/>
  <c r="H9" i="29"/>
  <c r="G9" i="29" s="1"/>
  <c r="F23" i="28"/>
  <c r="K57" i="13"/>
  <c r="K18" i="13" s="1"/>
  <c r="D23" i="29"/>
  <c r="E23" i="29" s="1"/>
  <c r="E23" i="28"/>
  <c r="J7" i="13"/>
  <c r="J10" i="13"/>
  <c r="K10" i="13" s="1"/>
  <c r="B21" i="29"/>
  <c r="G8" i="29"/>
  <c r="I32" i="13" l="1"/>
  <c r="K19" i="13"/>
  <c r="K33" i="13" s="1"/>
  <c r="K8" i="13"/>
  <c r="G23" i="28"/>
  <c r="M9" i="13"/>
  <c r="B22" i="29"/>
  <c r="H22" i="29" s="1"/>
  <c r="J9" i="13"/>
  <c r="F24" i="28"/>
  <c r="G23" i="29"/>
  <c r="M30" i="32"/>
  <c r="F10" i="29"/>
  <c r="L57" i="13"/>
  <c r="L18" i="13" s="1"/>
  <c r="D24" i="29"/>
  <c r="E24" i="29" s="1"/>
  <c r="H10" i="29"/>
  <c r="B23" i="29" s="1"/>
  <c r="F23" i="29" s="1"/>
  <c r="D47" i="29" s="1"/>
  <c r="F47" i="29" s="1"/>
  <c r="E24" i="28"/>
  <c r="K7" i="13"/>
  <c r="F27" i="28"/>
  <c r="G27" i="28" s="1"/>
  <c r="F11" i="29"/>
  <c r="L10" i="13"/>
  <c r="L7" i="13"/>
  <c r="F21" i="29"/>
  <c r="D45" i="29" s="1"/>
  <c r="F45" i="29" s="1"/>
  <c r="H21" i="29"/>
  <c r="J32" i="13" l="1"/>
  <c r="N9" i="13"/>
  <c r="L19" i="13"/>
  <c r="L33" i="13" s="1"/>
  <c r="L8" i="13"/>
  <c r="F22" i="29"/>
  <c r="D46" i="29" s="1"/>
  <c r="F46" i="29" s="1"/>
  <c r="H23" i="29"/>
  <c r="N30" i="32"/>
  <c r="F25" i="28"/>
  <c r="G24" i="28"/>
  <c r="G24" i="29"/>
  <c r="G10" i="29"/>
  <c r="E17" i="12"/>
  <c r="D25" i="29"/>
  <c r="E25" i="29" s="1"/>
  <c r="E25" i="28"/>
  <c r="H11" i="29"/>
  <c r="G11" i="29" s="1"/>
  <c r="K9" i="13"/>
  <c r="E26" i="28"/>
  <c r="H12" i="29"/>
  <c r="F12" i="29"/>
  <c r="M10" i="13"/>
  <c r="K32" i="13" l="1"/>
  <c r="B38" i="13"/>
  <c r="B24" i="29"/>
  <c r="F24" i="29" s="1"/>
  <c r="D48" i="29" s="1"/>
  <c r="F48" i="29" s="1"/>
  <c r="G25" i="29"/>
  <c r="G25" i="28"/>
  <c r="F26" i="28"/>
  <c r="G26" i="28" s="1"/>
  <c r="L9" i="13"/>
  <c r="B25" i="29"/>
  <c r="G12" i="29"/>
  <c r="L32" i="13" l="1"/>
  <c r="D30" i="28"/>
  <c r="B16" i="32"/>
  <c r="B37" i="13"/>
  <c r="H24" i="29"/>
  <c r="F25" i="29"/>
  <c r="D49" i="29" s="1"/>
  <c r="H25" i="29"/>
  <c r="D29" i="28" l="1"/>
  <c r="B15" i="32"/>
  <c r="C22" i="13"/>
  <c r="M22" i="13"/>
  <c r="M23" i="13" s="1"/>
  <c r="L23" i="13"/>
  <c r="B27" i="28" l="1"/>
  <c r="D27" i="28" s="1"/>
  <c r="O18" i="32"/>
  <c r="O19" i="32" s="1"/>
  <c r="J34" i="11"/>
  <c r="B26" i="28"/>
  <c r="D26" i="28" s="1"/>
  <c r="E7" i="12"/>
  <c r="L27" i="13"/>
  <c r="N23" i="32" s="1"/>
  <c r="D22" i="13"/>
  <c r="E22" i="13" s="1"/>
  <c r="F22" i="13" s="1"/>
  <c r="G22" i="13" s="1"/>
  <c r="H22" i="13" s="1"/>
  <c r="I22" i="13" s="1"/>
  <c r="J22" i="13" s="1"/>
  <c r="K22" i="13" s="1"/>
  <c r="K23" i="13" s="1"/>
  <c r="M18" i="32" s="1"/>
  <c r="M19" i="32" s="1"/>
  <c r="M25" i="13"/>
  <c r="O21" i="32" s="1"/>
  <c r="L25" i="13"/>
  <c r="N21" i="32" s="1"/>
  <c r="D23" i="13"/>
  <c r="C23" i="13"/>
  <c r="E18" i="32" s="1"/>
  <c r="E19" i="32" s="1"/>
  <c r="J23" i="13" l="1"/>
  <c r="B18" i="28"/>
  <c r="D18" i="28" s="1"/>
  <c r="F18" i="32"/>
  <c r="F19" i="32" s="1"/>
  <c r="E23" i="13"/>
  <c r="K27" i="13"/>
  <c r="M23" i="32" s="1"/>
  <c r="B25" i="28"/>
  <c r="D25" i="28" s="1"/>
  <c r="C25" i="13"/>
  <c r="C7" i="12"/>
  <c r="D3" i="12" s="1"/>
  <c r="B17" i="28"/>
  <c r="D17" i="28" s="1"/>
  <c r="F23" i="13"/>
  <c r="M26" i="13"/>
  <c r="J35" i="11"/>
  <c r="G23" i="13"/>
  <c r="C27" i="13"/>
  <c r="E23" i="32" s="1"/>
  <c r="J27" i="13"/>
  <c r="L23" i="32" s="1"/>
  <c r="K25" i="13"/>
  <c r="M21" i="32" s="1"/>
  <c r="L26" i="13"/>
  <c r="N22" i="32" s="1"/>
  <c r="H23" i="13"/>
  <c r="I23" i="13"/>
  <c r="K18" i="32" s="1"/>
  <c r="K19" i="32" s="1"/>
  <c r="J25" i="13"/>
  <c r="L21" i="32" s="1"/>
  <c r="D25" i="13"/>
  <c r="E25" i="13"/>
  <c r="F25" i="13"/>
  <c r="B22" i="28" l="1"/>
  <c r="D22" i="28" s="1"/>
  <c r="J18" i="32"/>
  <c r="J19" i="32" s="1"/>
  <c r="B19" i="28"/>
  <c r="D19" i="28" s="1"/>
  <c r="G18" i="32"/>
  <c r="G19" i="32" s="1"/>
  <c r="B20" i="28"/>
  <c r="D20" i="28" s="1"/>
  <c r="H18" i="32"/>
  <c r="H19" i="32" s="1"/>
  <c r="D27" i="13"/>
  <c r="F23" i="32" s="1"/>
  <c r="G25" i="13"/>
  <c r="I21" i="32" s="1"/>
  <c r="I18" i="32"/>
  <c r="I19" i="32" s="1"/>
  <c r="B24" i="28"/>
  <c r="D24" i="28" s="1"/>
  <c r="L18" i="32"/>
  <c r="L19" i="32" s="1"/>
  <c r="F26" i="13"/>
  <c r="H22" i="32" s="1"/>
  <c r="H21" i="32"/>
  <c r="E26" i="13"/>
  <c r="G22" i="32" s="1"/>
  <c r="G21" i="32"/>
  <c r="D26" i="13"/>
  <c r="F22" i="32" s="1"/>
  <c r="F21" i="32"/>
  <c r="C26" i="13"/>
  <c r="E21" i="32"/>
  <c r="M27" i="13"/>
  <c r="O22" i="32"/>
  <c r="H27" i="13"/>
  <c r="J23" i="32" s="1"/>
  <c r="B23" i="28"/>
  <c r="D23" i="28" s="1"/>
  <c r="E27" i="13"/>
  <c r="G23" i="32" s="1"/>
  <c r="D7" i="12"/>
  <c r="E3" i="12" s="1"/>
  <c r="B21" i="28"/>
  <c r="D21" i="28" s="1"/>
  <c r="G27" i="13"/>
  <c r="I23" i="32" s="1"/>
  <c r="L28" i="13"/>
  <c r="F27" i="13"/>
  <c r="C58" i="13"/>
  <c r="H25" i="13"/>
  <c r="K26" i="13"/>
  <c r="M22" i="32" s="1"/>
  <c r="J26" i="13"/>
  <c r="L22" i="32" s="1"/>
  <c r="I25" i="13"/>
  <c r="I27" i="13"/>
  <c r="K23" i="32" s="1"/>
  <c r="G26" i="13" l="1"/>
  <c r="I22" i="32" s="1"/>
  <c r="D58" i="13"/>
  <c r="E58" i="13" s="1"/>
  <c r="F59" i="13" s="1"/>
  <c r="H31" i="32" s="1"/>
  <c r="F28" i="13"/>
  <c r="F34" i="13" s="1"/>
  <c r="H23" i="32"/>
  <c r="E28" i="13"/>
  <c r="E34" i="13" s="1"/>
  <c r="E22" i="32"/>
  <c r="C59" i="13"/>
  <c r="E31" i="32" s="1"/>
  <c r="H26" i="13"/>
  <c r="J22" i="32" s="1"/>
  <c r="J21" i="32"/>
  <c r="C28" i="13"/>
  <c r="E24" i="32" s="1"/>
  <c r="D28" i="13"/>
  <c r="F24" i="32" s="1"/>
  <c r="I26" i="13"/>
  <c r="K22" i="32" s="1"/>
  <c r="K21" i="32"/>
  <c r="L34" i="13"/>
  <c r="N24" i="32"/>
  <c r="M28" i="13"/>
  <c r="O23" i="32"/>
  <c r="F58" i="13"/>
  <c r="G58" i="13" s="1"/>
  <c r="H58" i="13" s="1"/>
  <c r="I58" i="13" s="1"/>
  <c r="G28" i="13"/>
  <c r="J28" i="13"/>
  <c r="D59" i="13"/>
  <c r="F31" i="32" s="1"/>
  <c r="E59" i="13"/>
  <c r="G31" i="32" s="1"/>
  <c r="K28" i="13"/>
  <c r="H24" i="32" l="1"/>
  <c r="B21" i="12"/>
  <c r="C21" i="12" s="1"/>
  <c r="G24" i="32"/>
  <c r="D34" i="13"/>
  <c r="I28" i="13"/>
  <c r="H28" i="13"/>
  <c r="J24" i="32" s="1"/>
  <c r="C34" i="13"/>
  <c r="I34" i="13"/>
  <c r="K24" i="32"/>
  <c r="K34" i="13"/>
  <c r="M24" i="32"/>
  <c r="H34" i="13"/>
  <c r="N28" i="13"/>
  <c r="N25" i="32" s="1"/>
  <c r="O24" i="32"/>
  <c r="J34" i="13"/>
  <c r="L24" i="32"/>
  <c r="G34" i="13"/>
  <c r="I24" i="32"/>
  <c r="I59" i="13"/>
  <c r="K31" i="32" s="1"/>
  <c r="G59" i="13"/>
  <c r="I31" i="32" s="1"/>
  <c r="H59" i="13"/>
  <c r="J31" i="32" s="1"/>
  <c r="J58" i="13"/>
  <c r="J59" i="13"/>
  <c r="L31" i="32" s="1"/>
  <c r="B23" i="12" l="1"/>
  <c r="B22" i="12" s="1"/>
  <c r="C22" i="12" s="1"/>
  <c r="C23" i="12" s="1"/>
  <c r="B39" i="13"/>
  <c r="B17" i="32" s="1"/>
  <c r="K58" i="13"/>
  <c r="K59" i="13"/>
  <c r="M31" i="32" s="1"/>
  <c r="B40" i="13" l="1"/>
  <c r="D32" i="28" s="1"/>
  <c r="D31" i="28"/>
  <c r="E49" i="29"/>
  <c r="F49" i="29" s="1"/>
  <c r="F50" i="29" s="1"/>
  <c r="B42" i="13"/>
  <c r="B43" i="13" s="1"/>
  <c r="B48" i="13" s="1"/>
  <c r="L58" i="13"/>
  <c r="L59" i="13"/>
  <c r="C27" i="12" l="1"/>
  <c r="D13" i="28" s="1"/>
  <c r="B19" i="32"/>
  <c r="D33" i="28"/>
  <c r="D36" i="28" s="1"/>
  <c r="D39" i="28" s="1"/>
  <c r="N31" i="32"/>
  <c r="J36" i="11"/>
  <c r="D27" i="12"/>
  <c r="B50" i="13"/>
  <c r="B24" i="32"/>
  <c r="B26" i="32" l="1"/>
  <c r="B52" i="13"/>
  <c r="B28" i="32" l="1"/>
  <c r="B31" i="32" s="1"/>
  <c r="B54" i="13"/>
  <c r="B36" i="12"/>
  <c r="B37" i="12" s="1"/>
  <c r="B17" i="14" l="1"/>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tc={7BAE0B7D-2A22-9646-AFBD-9CED059E2F7D}</author>
    <author>tc={DF1B34C1-6F66-8E4E-B352-B5D7538E8B46}</author>
    <author>tc={4ADC1F30-8193-6A46-9CCC-BC8DC63A7A6F}</author>
  </authors>
  <commentList>
    <comment ref="C6"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8" authorId="0" shapeId="0" xr:uid="{00000000-0006-0000-00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are in multiple businesses, you can construct your own weighted averages using the industry average table from this spreadsheet and your company's business breakdown.</t>
        </r>
      </text>
    </comment>
    <comment ref="D9"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10" authorId="0" shapeId="0" xr:uid="{57883CF3-701A-3341-AB63-735E05221EBE}">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10" authorId="0" shapeId="0" xr:uid="{AECC39D8-013F-454C-BFDE-D8BCC6B3676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B11" authorId="0" shapeId="0" xr:uid="{4D61831E-EAB5-F740-A5FE-1696EF52200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11" authorId="0" shapeId="0" xr:uid="{9C1AE77D-5624-234D-8020-495900AE6E4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3" authorId="0" shapeId="0" xr:uid="{D0C6CE7C-9CD3-7148-8718-DE0C186DD9A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3" authorId="0" shapeId="0" xr:uid="{2B3C314C-6D7A-3740-87CF-BED6A618AF1F}">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4" authorId="0" shapeId="0" xr:uid="{78226889-FA49-8541-8526-BB5F9CBC1702}">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4" authorId="0" shapeId="0" xr:uid="{B9635B3E-54C8-1F44-B34E-2B11636B88E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B15" authorId="1" shapeId="0" xr:uid="{7BAE0B7D-2A22-9646-AFBD-9CED059E2F7D}">
      <text>
        <t>[Threaded comment]
Your version of Excel allows you to read this threaded comment; however, any edits to it will get removed if the file is opened in a newer version of Excel. Learn more: https://go.microsoft.com/fwlink/?linkid=870924
Comment:
    If you have R&amp;D or R&amp;D-like expenses (customer acquisitions, exploration costs, brand advertising), say yes, and input data into the R&amp;D page.</t>
      </text>
    </comment>
    <comment ref="B16" authorId="2" shapeId="0" xr:uid="{DF1B34C1-6F66-8E4E-B352-B5D7538E8B46}">
      <text>
        <t>[Threaded comment]
Your version of Excel allows you to read this threaded comment; however, any edits to it will get removed if the file is opened in a newer version of Excel. Learn more: https://go.microsoft.com/fwlink/?linkid=870924
Comment:
    If accountants have already converted leases to debt, and you included that debt is cell B12, answer no to this question. Do not double count.</t>
      </text>
    </comment>
    <comment ref="B17" authorId="0" shapeId="0" xr:uid="{0CAFC7B1-7FCA-0648-B619-23D4DC733826}">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C17" authorId="0" shapeId="0" xr:uid="{AF67B202-94EC-364C-8747-A8E77B362F71}">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cash balance from the most recent balance sheet. This should include marketable securities.</t>
        </r>
      </text>
    </comment>
    <comment ref="B18" authorId="0" shapeId="0" xr:uid="{6A544F43-903B-054E-8D80-B52680072748}">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9" authorId="0" shapeId="0" xr:uid="{233CC1A7-5E48-4C40-B0E3-9D203B72C8B7}">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20" authorId="0" shapeId="0" xr:uid="{0EFD4AA7-478F-5240-AE6D-BFD0F30854A4}">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most recent update you have on the number of shares. If you have different classes of shares, aggregate them all and enter one number. Count restricted stock units (RSUs) as shares but don't count shares underlying employee options.</t>
        </r>
      </text>
    </comment>
    <comment ref="B21" authorId="0" shapeId="0" xr:uid="{C5CBD7BA-60EF-924C-8AEB-73F3E4B678C5}">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most recent stock price (how about today's?) in here. </t>
        </r>
      </text>
    </comment>
    <comment ref="B22" authorId="0" shapeId="0" xr:uid="{59AA45D5-E6BC-7A47-877F-9FE3F55A9ACA}">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your effective (not marginal) tax rate for your firm. You will find this in your company's annual report. If you cannot, you can compute it as follows, from the income statement:
</t>
        </r>
        <r>
          <rPr>
            <sz val="9"/>
            <color rgb="FF000000"/>
            <rFont val="Geneva"/>
            <family val="2"/>
            <charset val="1"/>
          </rPr>
          <t xml:space="preserve">Effective tax rate = Taxes paid/ Taxable income
</t>
        </r>
        <r>
          <rPr>
            <sz val="9"/>
            <color rgb="FF000000"/>
            <rFont val="Geneva"/>
            <family val="2"/>
            <charset val="1"/>
          </rPr>
          <t xml:space="preserve">If your effective tax rate varies across years, you can use an average. If the effective tax rate is less than zero, enter zero.
</t>
        </r>
        <r>
          <rPr>
            <sz val="9"/>
            <color rgb="FF000000"/>
            <rFont val="Geneva"/>
            <family val="2"/>
            <charset val="1"/>
          </rPr>
          <t>If you have a money losing company, don't enter zero but enter the tax rate that you will have when you start making money.</t>
        </r>
      </text>
    </comment>
    <comment ref="B23" authorId="0" shapeId="0" xr:uid="{302D5BA5-9A80-6F4B-A864-1C70AC1D509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a statutory tax rate. I use the tax rate of the country the company is domiciled in. See worksheet embedded in this spreadshseet for country tax rates.</t>
        </r>
      </text>
    </comment>
    <comment ref="B25" authorId="3" shapeId="0" xr:uid="{4ADC1F30-8193-6A46-9CCC-BC8DC63A7A6F}">
      <text>
        <t>[Threaded comment]
Your version of Excel allows you to read this threaded comment; however, any edits to it will get removed if the file is opened in a newer version of Excel. Learn more: https://go.microsoft.com/fwlink/?linkid=870924
Comment:
    If you want to adjust for something specific (an aberrant base year, an unusual upcoming year, you can use your year 1 revenue growth rate to do that.</t>
      </text>
    </comment>
    <comment ref="B27" authorId="0" shapeId="0" xr:uid="{00000000-0006-0000-0000-00001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8" authorId="0" shapeId="0" xr:uid="{00000000-0006-0000-0000-00001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9"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30" authorId="0" shapeId="0" xr:uid="{00000000-0006-0000-0000-00001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3" authorId="0" shapeId="0" xr:uid="{00000000-0006-0000-0000-00001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B34" authorId="0" shapeId="0" xr:uid="{00000000-0006-0000-0000-00001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Enter the current cost of capital for your firm. If you don't know what it is, you can use the built-in worksheet to compute it. </t>
        </r>
      </text>
    </comment>
    <comment ref="J34"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5" authorId="0" shapeId="0" xr:uid="{00000000-0006-0000-0000-00001B000000}">
      <text>
        <r>
          <rPr>
            <b/>
            <sz val="10"/>
            <color rgb="FF000000"/>
            <rFont val="Calibri"/>
            <family val="2"/>
          </rPr>
          <t>Aswath Damodaran:</t>
        </r>
        <r>
          <rPr>
            <sz val="10"/>
            <color rgb="FF000000"/>
            <rFont val="Calibri"/>
            <family val="2"/>
          </rPr>
          <t xml:space="preserve">
</t>
        </r>
        <r>
          <rPr>
            <sz val="10"/>
            <color rgb="FF000000"/>
            <rFont val="Calibri"/>
            <family val="2"/>
          </rPr>
          <t xml:space="preserve">Determined by your target margin. </t>
        </r>
      </text>
    </comment>
    <comment ref="J36" authorId="0" shapeId="0" xr:uid="{00000000-0006-0000-0000-00001D00000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7" authorId="0" shapeId="0" xr:uid="{00000000-0006-0000-0000-00001C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Check your company's annual report or 10K. If it does have options outstanding, enter the total number here (vested and non vested, in the money and out…)</t>
        </r>
      </text>
    </comment>
    <comment ref="B38" authorId="0" shapeId="0" xr:uid="{00000000-0006-0000-0000-00001E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Enter the weighted average strike price of your options. (Should be in your 10K or annual report.)</t>
        </r>
      </text>
    </comment>
    <comment ref="B39" authorId="0" shapeId="0" xr:uid="{00000000-0006-0000-0000-00001F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weighted average maturity of your options should be reported in your financial statements.</t>
        </r>
      </text>
    </comment>
    <comment ref="B40" authorId="0" shapeId="0" xr:uid="{00000000-0006-0000-0000-000020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have a standard deviation for your stock, enter that number. If not, use the industry average standard deviation from the worksheet.</t>
        </r>
      </text>
    </comment>
    <comment ref="B56" authorId="0" shapeId="0" xr:uid="{00000000-0006-0000-0000-00002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59" authorId="0" shapeId="0" xr:uid="{00000000-0006-0000-0000-00002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60" authorId="0" shapeId="0" xr:uid="{00000000-0006-0000-0000-00002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Even if you believe your firm has significant competitive advantages, don't set this number to more than 5% more than your cost of capital. </t>
        </r>
      </text>
    </comment>
    <comment ref="B62" authorId="0" shapeId="0" xr:uid="{00000000-0006-0000-0000-00002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63" authorId="0" shapeId="0" xr:uid="{00000000-0006-0000-0000-00002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If you want to look at ways of estimating this probability, try these papers I have on the topic:
</t>
        </r>
        <r>
          <rPr>
            <sz val="9"/>
            <color rgb="FF000000"/>
            <rFont val="Geneva"/>
            <family val="2"/>
            <charset val="1"/>
          </rPr>
          <t xml:space="preserve">For young growth companies: http://papers.ssrn.com/sol3/papers.cfm?abstract_id=1418687  
</t>
        </r>
        <r>
          <rPr>
            <sz val="9"/>
            <color rgb="FF000000"/>
            <rFont val="Geneva"/>
            <family val="2"/>
            <charset val="1"/>
          </rPr>
          <t xml:space="preserve">For declining, distressed companies: http://papers.ssrn.com/sol3/papers.cfm?abstract_id=1428022 </t>
        </r>
      </text>
    </comment>
    <comment ref="B64" authorId="0" shapeId="0" xr:uid="{00000000-0006-0000-0000-00002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65" authorId="0" shapeId="0" xr:uid="{00000000-0006-0000-0000-000027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67" authorId="0" shapeId="0" xr:uid="{8A7F8E31-D412-7A48-B238-5008AE9E7173}">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70" authorId="0" shapeId="0" xr:uid="{00000000-0006-0000-0000-000028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72" authorId="0" shapeId="0" xr:uid="{00000000-0006-0000-0000-000029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been losing money for a while, there will be accumulated losses from prior periods. Check your financial statements.</t>
        </r>
      </text>
    </comment>
    <comment ref="B73" authorId="0" shapeId="0" xr:uid="{00000000-0006-0000-0000-00002A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This is the NOL from prior years carried forward into this year.</t>
        </r>
      </text>
    </comment>
    <comment ref="B79"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82"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83"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8"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9"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10"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23" authorId="0" shapeId="0" xr:uid="{00000000-0006-0000-0800-000001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Use a sector average beta, if need be.</t>
        </r>
      </text>
    </comment>
    <comment ref="B25" authorId="0" shapeId="0" xr:uid="{00000000-0006-0000-0800-000002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 pick operating regions or countries, please input the revenues by country or region in the table to the right.</t>
        </r>
      </text>
    </comment>
    <comment ref="B27" authorId="0" shapeId="0" xr:uid="{00000000-0006-0000-0800-000003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If your company has risk exposure in emergiing markets, incorporate that risk premiums here. See worksheet on country risk premiums.</t>
        </r>
      </text>
    </comment>
    <comment ref="B31" authorId="0" shapeId="0" xr:uid="{00000000-0006-0000-0800-000004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Interest expense (gross) from most recent financial statement.</t>
        </r>
      </text>
    </comment>
    <comment ref="B32" authorId="0" shapeId="0" xr:uid="{00000000-0006-0000-0800-000005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Generally found in footnotes to financial statements.</t>
        </r>
      </text>
    </comment>
    <comment ref="B36" authorId="0" shapeId="0" xr:uid="{00000000-0006-0000-0800-000006000000}">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1: Large market cap (&gt;$5 billion) and safe.
</t>
        </r>
        <r>
          <rPr>
            <sz val="9"/>
            <color rgb="FF000000"/>
            <rFont val="Geneva"/>
            <family val="2"/>
            <charset val="1"/>
          </rPr>
          <t xml:space="preserve">2: Small market cap (&lt;$5 billion) or risky.
</t>
        </r>
        <r>
          <rPr>
            <sz val="9"/>
            <color rgb="FF000000"/>
            <rFont val="Geneva"/>
            <family val="2"/>
            <charset val="1"/>
          </rPr>
          <t>If company has volatile earnings or is in risky business, use 2, even if large market cap.</t>
        </r>
      </text>
    </comment>
    <comment ref="B37"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tc={07FDDA8E-E380-7540-BB28-57DD78A067CA}</author>
  </authors>
  <commentList>
    <comment ref="B1" authorId="0" shapeId="0" xr:uid="{07FDDA8E-E380-7540-BB28-57DD78A067CA}">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<sst xmlns="http://schemas.openxmlformats.org/spreadsheetml/2006/main" count="1697" uniqueCount="950">
  <si>
    <t>If calculated value is negative or looks too low</t>
    <phoneticPr fontId="10" type="noConversion"/>
  </si>
  <si>
    <t>If calculated value looks too high</t>
    <phoneticPr fontId="10" type="noConversion"/>
  </si>
  <si>
    <t>Increase revenue growth rate</t>
    <phoneticPr fontId="10" type="noConversion"/>
  </si>
  <si>
    <t>Decrease revenue growth rate</t>
    <phoneticPr fontId="10" type="noConversion"/>
  </si>
  <si>
    <t>Inputs</t>
  </si>
  <si>
    <t>Revenues</t>
  </si>
  <si>
    <t>EBIT(1-t)</t>
  </si>
  <si>
    <t>Number of shares</t>
    <phoneticPr fontId="9" type="noConversion"/>
  </si>
  <si>
    <t>Base year</t>
    <phoneticPr fontId="9" type="noConversion"/>
  </si>
  <si>
    <t xml:space="preserve"> - Reinvestment</t>
    <phoneticPr fontId="9" type="noConversion"/>
  </si>
  <si>
    <t>FCFF</t>
  </si>
  <si>
    <t>Implied variables</t>
    <phoneticPr fontId="9" type="noConversion"/>
  </si>
  <si>
    <t>Invested capital</t>
    <phoneticPr fontId="9" type="noConversion"/>
  </si>
  <si>
    <t>ROIC</t>
    <phoneticPr fontId="9" type="noConversion"/>
  </si>
  <si>
    <t>EBIT (Operating income)</t>
    <phoneticPr fontId="9" type="noConversion"/>
  </si>
  <si>
    <t>EBIT (Operating) margin</t>
    <phoneticPr fontId="9" type="noConversion"/>
  </si>
  <si>
    <t>Riskfree rate</t>
    <phoneticPr fontId="10" type="noConversion"/>
  </si>
  <si>
    <t>Your calculated value as a percent of current price</t>
    <phoneticPr fontId="10" type="noConversion"/>
  </si>
  <si>
    <t>Operating income or EBIT</t>
  </si>
  <si>
    <t>Book value of equity</t>
  </si>
  <si>
    <t>Book value of debt</t>
  </si>
  <si>
    <t>Number of shares outstanding =</t>
  </si>
  <si>
    <t>Current stock price =</t>
  </si>
  <si>
    <t>Company name</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</si>
  <si>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</si>
  <si>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</si>
  <si>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</si>
  <si>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</si>
  <si>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</si>
  <si>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</si>
  <si>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</si>
  <si>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</si>
  <si>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</si>
  <si>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</si>
  <si>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</si>
  <si>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</si>
  <si>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</si>
  <si>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</si>
  <si>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</si>
  <si>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</si>
  <si>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</si>
  <si>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</si>
  <si>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</si>
  <si>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</si>
  <si>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</si>
  <si>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</si>
  <si>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</si>
  <si>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</si>
  <si>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</si>
  <si>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</si>
  <si>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</si>
  <si>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</si>
  <si>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</si>
  <si>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</si>
  <si>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</si>
  <si>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</si>
  <si>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</si>
  <si>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</si>
  <si>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</si>
  <si>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</si>
  <si>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</si>
  <si>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</si>
  <si>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</si>
  <si>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</si>
  <si>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</si>
  <si>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</si>
  <si>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</si>
  <si>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</si>
  <si>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</si>
  <si>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</si>
  <si>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</si>
  <si>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</si>
  <si>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</si>
  <si>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</si>
  <si>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</si>
  <si>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</si>
  <si>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</si>
  <si>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</si>
  <si>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</si>
  <si>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</si>
  <si>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</si>
  <si>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</si>
  <si>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</si>
  <si>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</si>
  <si>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</si>
  <si>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</si>
  <si>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</si>
  <si>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</si>
  <si>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</si>
  <si>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</si>
  <si>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</si>
  <si>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</si>
  <si>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</si>
  <si>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</si>
  <si>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</si>
  <si>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</si>
  <si>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</si>
  <si>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</si>
  <si>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</si>
  <si>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</si>
  <si>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</si>
  <si>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</si>
  <si>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</si>
  <si>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</si>
  <si>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</si>
  <si>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</si>
  <si>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</si>
  <si>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</si>
  <si>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</si>
  <si>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</si>
  <si>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</si>
  <si>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</si>
  <si>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</si>
  <si>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</si>
  <si>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</si>
  <si>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</si>
  <si>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</si>
  <si>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</si>
  <si>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</si>
  <si>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</si>
  <si>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</si>
  <si>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</si>
  <si>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</si>
  <si>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</si>
  <si>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</si>
  <si>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</si>
  <si>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</si>
  <si>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</si>
  <si>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</si>
  <si>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</si>
  <si>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</si>
  <si>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</si>
  <si>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</si>
  <si>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</si>
  <si>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</si>
  <si>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</si>
  <si>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</si>
  <si>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</si>
  <si>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</si>
  <si>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</si>
  <si>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</si>
  <si>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</si>
  <si>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</si>
  <si>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</si>
  <si>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</si>
  <si>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</si>
  <si>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</si>
  <si>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</si>
  <si>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</si>
  <si>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</si>
  <si>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</si>
  <si>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</si>
  <si>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</si>
  <si>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</si>
  <si>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</si>
  <si>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</si>
  <si>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</si>
  <si>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</si>
  <si>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</si>
  <si>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</si>
  <si>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</si>
  <si>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</si>
  <si>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</si>
  <si>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</si>
  <si>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</si>
  <si>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</si>
  <si>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</si>
  <si>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</si>
  <si>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</si>
  <si>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</si>
  <si>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</si>
  <si>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</si>
  <si>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</si>
  <si>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</si>
  <si>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</si>
  <si>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</si>
  <si>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</si>
  <si>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</si>
  <si>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</si>
  <si>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</si>
  <si>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</si>
  <si>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</si>
  <si>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</si>
  <si>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</si>
  <si>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</si>
  <si>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</si>
  <si>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</si>
  <si>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</si>
  <si>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</si>
  <si>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</si>
  <si>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</si>
  <si>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</si>
  <si>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</si>
  <si>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</si>
  <si>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</si>
  <si>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</si>
  <si>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</si>
  <si>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</si>
  <si>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</si>
  <si>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</si>
  <si>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3"/>
  </si>
  <si>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</si>
  <si>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</si>
  <si>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</si>
  <si>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</si>
  <si>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</si>
  <si>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</si>
  <si>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</si>
  <si>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</si>
  <si>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</si>
  <si>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</si>
  <si>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</si>
  <si>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</si>
  <si>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</si>
  <si>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</si>
  <si>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</si>
  <si>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</si>
  <si>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</si>
  <si>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</si>
  <si>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</si>
  <si>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</si>
  <si>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</si>
  <si>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</si>
  <si>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</si>
  <si>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</si>
  <si>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</si>
  <si>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</si>
  <si>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</si>
  <si>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</si>
  <si>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</si>
  <si>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</si>
  <si>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</si>
  <si>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</si>
  <si>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</si>
  <si>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</si>
  <si>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</si>
  <si>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</si>
  <si>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</si>
  <si>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</si>
  <si>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</si>
  <si>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</si>
  <si>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</si>
  <si>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</si>
  <si>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</si>
  <si>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</si>
  <si>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</si>
  <si>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</si>
  <si>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</si>
  <si>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</si>
  <si>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</si>
  <si>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</si>
  <si>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</si>
  <si>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</si>
  <si>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</si>
  <si>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</si>
  <si>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</si>
  <si>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</si>
  <si>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</si>
  <si>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</si>
  <si>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</si>
  <si>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</si>
  <si>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</si>
  <si>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</si>
  <si>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</si>
  <si>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</si>
  <si>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</si>
  <si>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</si>
  <si>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</si>
  <si>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</si>
  <si>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</si>
  <si>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</si>
  <si>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</si>
  <si>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</si>
  <si>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</si>
  <si>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</si>
  <si>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</si>
  <si>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</si>
  <si>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</si>
  <si>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</si>
  <si>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</si>
  <si>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</si>
  <si>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</si>
  <si>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</si>
  <si>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</si>
  <si>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</si>
  <si>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</si>
  <si>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</si>
  <si>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</si>
  <si>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</si>
  <si>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</si>
  <si>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</si>
  <si>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</si>
  <si>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</si>
  <si>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</si>
  <si>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</si>
  <si>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</si>
  <si>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</si>
  <si>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</si>
  <si>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</si>
  <si>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</si>
  <si>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</si>
  <si>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</si>
  <si>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</si>
  <si>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</si>
  <si>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</si>
  <si>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</si>
  <si>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</si>
  <si>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</si>
  <si>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</si>
  <si>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</si>
  <si>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</si>
  <si>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</si>
  <si>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</si>
  <si>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</si>
  <si>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</si>
  <si>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</si>
  <si>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</si>
  <si>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</si>
  <si>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</si>
  <si>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</si>
  <si>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</si>
  <si>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</si>
  <si>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</si>
  <si>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</si>
  <si>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</si>
  <si>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</si>
  <si>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</si>
  <si>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</si>
  <si>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</si>
  <si>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</si>
  <si>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</si>
  <si>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</si>
  <si>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</si>
  <si>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</si>
  <si>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</si>
  <si>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</si>
  <si>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</si>
  <si>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</si>
  <si>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</si>
  <si>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</si>
  <si>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</si>
  <si>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</si>
  <si>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</si>
  <si>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</si>
  <si>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</si>
  <si>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</si>
  <si>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</si>
  <si>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</si>
  <si>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</si>
  <si>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</si>
  <si>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</si>
  <si>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</si>
  <si>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</si>
  <si>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</si>
  <si>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</si>
  <si>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</si>
  <si>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</si>
  <si>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</si>
  <si>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</si>
  <si>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</si>
  <si>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</si>
  <si>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</si>
  <si>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</si>
  <si>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</si>
  <si>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</si>
  <si>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</si>
  <si>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</si>
  <si>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</si>
  <si>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</si>
  <si>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</si>
  <si>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</si>
  <si>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</si>
  <si>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</si>
  <si>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</si>
  <si>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</si>
  <si>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</si>
  <si>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</si>
  <si>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</si>
  <si>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</si>
  <si>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</si>
  <si>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</si>
  <si>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</si>
  <si>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</si>
  <si>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</si>
  <si>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</si>
  <si>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</si>
  <si>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</si>
  <si>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</si>
  <si>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</si>
  <si>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</si>
  <si>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</si>
  <si>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</si>
  <si>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</si>
  <si>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</si>
  <si>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</si>
  <si>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</si>
  <si>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</si>
  <si>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</si>
  <si>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</si>
  <si>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</si>
  <si>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</si>
  <si>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</si>
  <si>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</si>
  <si>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</si>
  <si>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</si>
  <si>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</si>
  <si>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</si>
  <si>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</si>
  <si>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</si>
  <si>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</si>
  <si>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</si>
  <si>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</si>
  <si>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</si>
  <si>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</si>
  <si>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</si>
  <si>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</si>
  <si>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</si>
  <si>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</si>
  <si>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</si>
  <si>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</si>
  <si>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</si>
  <si>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</si>
  <si>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</si>
  <si>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</si>
  <si>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</si>
  <si>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</si>
  <si>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</si>
  <si>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</si>
  <si>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</si>
  <si>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</si>
  <si>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</si>
  <si>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</si>
  <si>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</si>
  <si>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</si>
  <si>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</si>
  <si>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</si>
  <si>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</si>
  <si>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</si>
  <si>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</si>
  <si>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</si>
  <si>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</si>
  <si>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</si>
  <si>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</si>
  <si>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</si>
  <si>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</si>
  <si>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</si>
  <si>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</si>
  <si>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</si>
  <si>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</si>
  <si>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</si>
  <si>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</si>
  <si>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</si>
  <si>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</si>
  <si>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</si>
  <si>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</si>
  <si>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</si>
  <si>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</si>
  <si>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</si>
  <si>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</si>
  <si>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</si>
  <si>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</si>
  <si>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</si>
  <si>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</si>
  <si>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</si>
  <si>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</si>
  <si>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</si>
  <si>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</si>
  <si>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</si>
  <si>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</si>
  <si>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</si>
  <si>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</si>
  <si>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</si>
  <si>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</si>
  <si>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</si>
  <si>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</si>
  <si>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</si>
  <si>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</si>
  <si>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</si>
  <si>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</si>
  <si>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</si>
  <si>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</si>
  <si>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</si>
  <si>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</si>
  <si>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</si>
  <si>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</si>
  <si>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</si>
  <si>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</si>
  <si>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</si>
  <si>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</si>
  <si>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</si>
  <si>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</si>
  <si>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</si>
  <si>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</si>
  <si>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</si>
  <si>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</si>
  <si>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</si>
  <si>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</si>
  <si>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</si>
  <si>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</si>
  <si>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</si>
  <si>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</si>
  <si>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</si>
  <si>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</si>
  <si>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</si>
  <si>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</si>
  <si>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</si>
  <si>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</si>
  <si>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Link to story</t>
  </si>
  <si>
    <t>Revenues (a)</t>
  </si>
  <si>
    <t>Operating margin (b)</t>
  </si>
  <si>
    <t>Reinvestment (c )</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</si>
  <si>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</si>
  <si>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</si>
  <si>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</si>
  <si>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</si>
  <si>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</si>
  <si>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</si>
  <si>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</si>
  <si>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</si>
  <si>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</si>
  <si>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</si>
  <si>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</si>
  <si>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</si>
  <si>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</si>
  <si>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</si>
  <si>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</si>
  <si>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</si>
  <si>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</si>
  <si>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</si>
  <si>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</si>
  <si>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</si>
  <si>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</si>
  <si>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</si>
  <si>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</si>
  <si>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</si>
  <si>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</si>
  <si>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</si>
  <si>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</si>
  <si>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</si>
  <si>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</si>
  <si>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</si>
  <si>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</si>
  <si>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</si>
  <si>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</si>
  <si>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</si>
  <si>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</si>
  <si>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</si>
  <si>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</si>
  <si>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</si>
  <si>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</si>
  <si>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</si>
  <si>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</si>
  <si>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</si>
  <si>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</si>
  <si>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</si>
  <si>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</si>
  <si>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</si>
  <si>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</si>
  <si>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</si>
  <si>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</si>
  <si>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</si>
  <si>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</si>
  <si>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</si>
  <si>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</si>
  <si>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</si>
  <si>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</si>
  <si>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</si>
  <si>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</si>
  <si>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</si>
  <si>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</si>
  <si>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</si>
  <si>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</si>
  <si>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</si>
  <si>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</si>
  <si>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</si>
  <si>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</si>
  <si>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</si>
  <si>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</si>
  <si>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</si>
  <si>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</si>
  <si>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</si>
  <si>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</si>
  <si>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</si>
  <si>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</si>
  <si>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</si>
  <si>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</si>
  <si>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</si>
  <si>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</si>
  <si>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</si>
  <si>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</si>
  <si>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</si>
  <si>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</si>
  <si>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</si>
  <si>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</si>
  <si>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</si>
  <si>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</si>
  <si>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</si>
  <si>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</si>
  <si>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</si>
  <si>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</si>
  <si>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</si>
  <si>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</si>
  <si>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</si>
  <si>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</si>
  <si>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</si>
  <si>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</si>
  <si>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</si>
  <si>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</si>
  <si>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</si>
  <si>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</si>
  <si>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</si>
  <si>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</si>
  <si>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</si>
  <si>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</si>
  <si>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</si>
  <si>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</si>
  <si>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</si>
  <si>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</si>
  <si>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South Korea</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</si>
  <si>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</si>
  <si>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</si>
  <si>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</si>
  <si>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</si>
  <si>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</si>
  <si>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</si>
  <si>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</si>
  <si>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</si>
  <si>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</si>
  <si>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</si>
  <si>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</si>
  <si>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</si>
  <si>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</si>
  <si>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</si>
  <si>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</si>
  <si>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</si>
  <si>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</si>
  <si>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</si>
  <si>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</si>
  <si>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</si>
  <si>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</si>
  <si>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</si>
  <si>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</si>
  <si>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Global/US marginal tax rate over time</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</si>
  <si>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</si>
  <si>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</si>
  <si>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</si>
  <si>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</si>
  <si>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</si>
  <si>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</si>
  <si>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</si>
  <si>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</si>
  <si>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</si>
  <si>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</si>
  <si>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</si>
  <si>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</si>
  <si>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</si>
  <si>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</si>
  <si>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</si>
  <si>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</si>
  <si>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</si>
  <si>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</si>
  <si>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</si>
  <si>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</si>
  <si>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</si>
  <si>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</si>
  <si>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</si>
  <si>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</si>
  <si>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</si>
  <si>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</si>
  <si>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</si>
  <si>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</si>
  <si>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</si>
  <si>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</si>
  <si>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</si>
  <si>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</si>
  <si>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</si>
  <si>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</si>
  <si>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</si>
  <si>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</si>
  <si>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</si>
  <si>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</si>
  <si>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</si>
  <si>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</si>
  <si>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</si>
  <si>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</si>
  <si>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</si>
  <si>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</si>
  <si>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</si>
  <si>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</si>
  <si>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</si>
  <si>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</si>
  <si>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</si>
  <si>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</si>
  <si>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</si>
  <si>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</si>
  <si>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</si>
  <si>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</si>
  <si>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</si>
  <si>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</si>
  <si>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</si>
  <si>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</si>
  <si>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</si>
  <si>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</si>
  <si>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</si>
  <si>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</si>
  <si>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</si>
  <si>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</si>
  <si>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</si>
  <si>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</si>
  <si>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</si>
  <si>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</si>
  <si>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</si>
  <si>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</si>
  <si>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</si>
  <si>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</si>
  <si>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</si>
  <si>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</si>
  <si>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</si>
  <si>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</si>
  <si>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</si>
  <si>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</si>
  <si>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</si>
  <si>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</si>
  <si>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</si>
  <si>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</si>
  <si>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</si>
  <si>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</si>
  <si>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</si>
  <si>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</si>
  <si>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</si>
  <si>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</si>
  <si>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</si>
  <si>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</si>
  <si>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</si>
  <si>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</si>
  <si>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</si>
  <si>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</si>
  <si>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</si>
  <si>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</si>
  <si>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Emerging Markets</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</si>
  <si>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</si>
  <si>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</si>
  <si>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</si>
  <si>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</si>
  <si>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</si>
  <si>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</si>
  <si>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</si>
  <si>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</si>
  <si>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</si>
  <si>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Europe</t>
  </si>
  <si>
    <t>I will input</t>
  </si>
  <si>
    <t>Industry Average</t>
  </si>
  <si>
    <t>Distribution</t>
  </si>
  <si>
    <t>Do not input. Go to cost of capital sheet.</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</si>
  <si>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t>
    </r>
    <r>
      <rPr>
        <sz val="12"/>
        <rFont val="Times"/>
      </rPr>
      <t xml:space="preserve"> your firm belongs to and in the fourth, you can use a </t>
    </r>
    <r>
      <rPr>
        <b/>
        <sz val="12"/>
        <rFont val="Times"/>
      </rPr>
      <t>crosssectoinal distribution</t>
    </r>
    <r>
      <rPr>
        <sz val="12"/>
        <rFont val="Times"/>
      </rPr>
      <t xml:space="preserve">  of costs of capital for companies at the start of the year to make your estimate.</t>
    </r>
  </si>
  <si>
    <t>Dilution-adjusted Black-Scholes</t>
  </si>
  <si>
    <t>Input cell</t>
  </si>
  <si>
    <t>Calculated cell</t>
  </si>
  <si>
    <r>
      <rPr>
        <b/>
        <sz val="12"/>
        <rFont val="Helv"/>
      </rPr>
      <t>Important:</t>
    </r>
    <r>
      <rPr>
        <sz val="12"/>
        <rFont val="Helv"/>
      </rPr>
      <t xml:space="preserve"> Before you run this spreadsheet, go into preferences in Excel and check under Calculation options</t>
    </r>
  </si>
  <si>
    <t>Updated on January 2023 with updated Industry averages and risk premiums</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</si>
  <si>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</si>
  <si>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</si>
  <si>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</si>
  <si>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</si>
  <si>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</si>
  <si>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</si>
  <si>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</si>
  <si>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</si>
  <si>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</si>
  <si>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</si>
  <si>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</si>
  <si>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</si>
  <si>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</si>
  <si>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</si>
  <si>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</si>
  <si>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</si>
  <si>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</si>
  <si>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</si>
  <si>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</si>
  <si>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</si>
  <si>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</si>
  <si>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</si>
  <si>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</si>
  <si>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</si>
  <si>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</si>
  <si>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</si>
  <si>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</si>
  <si>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</si>
  <si>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</si>
  <si>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</si>
  <si>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</si>
  <si>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</si>
  <si>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</si>
  <si>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</si>
  <si>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</si>
  <si>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</si>
  <si>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</si>
  <si>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</si>
  <si>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</si>
  <si>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</si>
  <si>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</si>
  <si>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</si>
  <si>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</si>
  <si>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</si>
  <si>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</si>
  <si>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</si>
  <si>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</si>
  <si>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</si>
  <si>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</si>
  <si>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</si>
  <si>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</si>
  <si>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</si>
  <si>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</si>
  <si>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</si>
  <si>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</si>
  <si>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</si>
  <si>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</si>
  <si>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</si>
  <si>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</si>
  <si>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</si>
  <si>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</si>
  <si>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</si>
  <si>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</si>
  <si>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</si>
  <si>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</si>
  <si>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</si>
  <si>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</si>
  <si>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</si>
  <si>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</si>
  <si>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</si>
  <si>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</si>
  <si>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</si>
  <si>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</si>
  <si>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</si>
  <si>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</si>
  <si>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</si>
  <si>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</si>
  <si>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</si>
  <si>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</si>
  <si>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</si>
  <si>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</si>
  <si>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</si>
  <si>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</si>
  <si>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</si>
  <si>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</si>
  <si>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</si>
  <si>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</si>
  <si>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</si>
  <si>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</si>
  <si>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</si>
  <si>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</si>
  <si>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</si>
  <si>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</si>
  <si>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</si>
  <si>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</si>
  <si>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</si>
  <si>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</si>
  <si>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</si>
  <si>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</si>
  <si>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</si>
  <si>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</si>
  <si>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</si>
  <si>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</si>
  <si>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</si>
  <si>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</si>
  <si>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</si>
  <si>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value drivers below (non-AI)</t>
  </si>
  <si>
    <t>Total Market</t>
  </si>
  <si>
    <t>Operating margin</t>
  </si>
  <si>
    <t>Total Market (AI)</t>
  </si>
  <si>
    <t xml:space="preserve"> - Reinvestment</t>
  </si>
  <si>
    <t>FCFF (AI)</t>
  </si>
  <si>
    <t>PV (FCFF frrom AI)</t>
  </si>
  <si>
    <t>Nvidia</t>
  </si>
  <si>
    <t>Nvidia Market share (AI)</t>
  </si>
  <si>
    <t>NVIDIA's Market Share</t>
  </si>
  <si>
    <t>Revenues from AI</t>
  </si>
  <si>
    <t>Value of AI</t>
  </si>
  <si>
    <t>Value of Rest</t>
  </si>
  <si>
    <t>Total Market (Auto)</t>
  </si>
  <si>
    <t>Nvidia Market share (Auto)</t>
  </si>
  <si>
    <t>Revenues from Auto</t>
  </si>
  <si>
    <t>PV(FCFF from Auto)</t>
  </si>
  <si>
    <t>PV(FCFF from rest)</t>
  </si>
  <si>
    <t>Rest Revenue growth rate</t>
  </si>
  <si>
    <t>Rest Revenues</t>
  </si>
  <si>
    <t>Value of Auto</t>
  </si>
  <si>
    <t>Value Drivers for Auto Chip business</t>
  </si>
  <si>
    <t>Value Drivers for AI Chip business</t>
  </si>
  <si>
    <t>Value as Going Concern =</t>
  </si>
  <si>
    <t>PV of after-tax operating income for next 10 years</t>
  </si>
  <si>
    <t>Value of Gaming &amp; Other</t>
  </si>
  <si>
    <t>The cost of capital  is in US dollars, using the riskfree rate at the start of the year. It will be adjusted for the difference in riskfree rates to make it more current and to change currencies.</t>
  </si>
  <si>
    <t>Strong competitive edges allow NVIDIA to earn well above its cost of capital for the next decade and beyond.</t>
  </si>
  <si>
    <t>Revenue (Gaming/Other)</t>
  </si>
  <si>
    <t>Revenue (AI)</t>
  </si>
  <si>
    <t>Revenue (Auto)</t>
  </si>
  <si>
    <t>Revenues (Total)</t>
  </si>
  <si>
    <t>R&amp;D Adj Operating Margin</t>
  </si>
  <si>
    <t>Growth Story (Revenue)</t>
  </si>
  <si>
    <t>Profitability Story (Margin)</t>
  </si>
  <si>
    <t>AI</t>
  </si>
  <si>
    <t>Auto</t>
  </si>
  <si>
    <t>Market Share</t>
  </si>
  <si>
    <t>Total Market ($ M)</t>
  </si>
  <si>
    <t>NVIDIA revenues</t>
  </si>
  <si>
    <t>AI and Auto Business: Market Size and Market Share</t>
  </si>
  <si>
    <t>Retail (REITs)</t>
  </si>
  <si>
    <t>Total Market (without financials)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</si>
  <si>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</si>
  <si>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</si>
  <si>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</si>
  <si>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</si>
  <si>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</si>
  <si>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</si>
  <si>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</si>
  <si>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</si>
  <si>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</si>
  <si>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</si>
  <si>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</si>
  <si>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</si>
  <si>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</si>
  <si>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</si>
  <si>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</si>
  <si>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</si>
  <si>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</si>
  <si>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Turks &amp; Caicos Islands</t>
  </si>
  <si>
    <t>Yemen</t>
  </si>
  <si>
    <t>Default Spread</t>
  </si>
  <si>
    <t>Total GDP (in $ millions)</t>
  </si>
  <si>
    <t>First Decile</t>
  </si>
  <si>
    <t>First Quartile</t>
  </si>
  <si>
    <t>Ninth Decile</t>
  </si>
  <si>
    <t>China (Including Hong Kong)</t>
  </si>
  <si>
    <t>Other Countries</t>
  </si>
  <si>
    <t>Sales to capital stays higher than industry aveage, as company continues to get growth off past R&amp;D, and focuses research on new AI and auto chips.</t>
  </si>
  <si>
    <t>Initial cost of capital computed based upon industry( (semiconductors) and Nvidia's low debt mix and geographic exposure. Over time, Nvidia's cost of capital will drift down but will remain higher (third quartile) of all companies in market.</t>
  </si>
  <si>
    <t>In 2034</t>
  </si>
  <si>
    <t>Which risk grouping does your company fall in?</t>
  </si>
  <si>
    <t>Tiotal Market</t>
  </si>
  <si>
    <t>Updated anuary 1, 2025</t>
  </si>
  <si>
    <t>Nepal</t>
  </si>
  <si>
    <t>Trinidad &amp;' Tobago</t>
  </si>
  <si>
    <t>Eastern Europe</t>
  </si>
  <si>
    <t>Weighted Average: Default Spreads</t>
  </si>
  <si>
    <t>Weighted Average: CRP</t>
  </si>
  <si>
    <t>The Opportunistic Chip Maker, after a DeepSeek Disruption</t>
  </si>
  <si>
    <t>NVIDIA has a history of innovation and opportunism in the chip business, often investing ahead of large trends in demand in crypto and gaming and now in AI and auto. Its early entry into the AI chip business will allow it to dominate this business, but the DeepSeek entry has disrupted the market, creating a two tier market - one commoditized and the other premier; Nvidia will dominate teh latter.. In the auto chip business, NVidia will grow to gain a significant, albeit not dominant, market share as that market grows. Across all of its busineses, NVIDIA will see sustained high operating margins, though the makers of Nvidia chips (especially TSMC) and TSMC's big customers (big tech) will push back, causing margins to drop from 2024 levels.</t>
  </si>
  <si>
    <t>The AI business will be big, but the DeepSeek entry has bifurcated it, into commoditized and premium, and Nvidia will continue to maintain its dominance of the latter.</t>
  </si>
  <si>
    <t>Nvidia will continue to have high margins in its core businesses, and while the AI chip market will be smaller than it was pre-DeepSeek, but some of Nvidia's current competitors may shift to the other AI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</si>
</sst>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s>
  <fonts count="104">
    <font>
      <sz val="9"/>
      <name val="Geneva"/>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sz val="10"/>
      <name val="Helv"/>
    </font>
    <font>
      <i/>
      <sz val="10"/>
      <name val="Helv"/>
    </font>
    <font>
      <b/>
      <i/>
      <sz val="14"/>
      <name val="Times"/>
      <family val="1"/>
    </font>
    <font>
      <b/>
      <i/>
      <sz val="12"/>
      <name val="Times"/>
      <family val="1"/>
    </font>
    <font>
      <i/>
      <sz val="12"/>
      <name val="Geneva"/>
      <family val="2"/>
    </font>
    <font>
      <b/>
      <sz val="10"/>
      <name val="Geneva"/>
      <family val="2"/>
    </font>
    <font>
      <sz val="10"/>
      <name val="Arial"/>
      <family val="2"/>
    </font>
    <font>
      <i/>
      <sz val="14"/>
      <name val="Times"/>
      <family val="1"/>
    </font>
    <font>
      <sz val="8"/>
      <name val="Arial"/>
      <family val="2"/>
    </font>
    <font>
      <b/>
      <sz val="12"/>
      <color theme="1"/>
      <name val="Calibri"/>
      <family val="2"/>
      <scheme val="minor"/>
    </font>
    <font>
      <sz val="12"/>
      <color rgb="FFFF0000"/>
      <name val="Calibri"/>
      <family val="2"/>
      <scheme val="minor"/>
    </font>
    <font>
      <sz val="10"/>
      <name val="Calibri"/>
      <family val="2"/>
      <scheme val="minor"/>
    </font>
    <font>
      <i/>
      <sz val="12"/>
      <color theme="1"/>
      <name val="Calibri"/>
      <family val="2"/>
      <scheme val="minor"/>
    </font>
    <font>
      <sz val="12"/>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b/>
      <sz val="9"/>
      <color rgb="FF000000"/>
      <name val="Geneva"/>
      <family val="2"/>
    </font>
    <font>
      <sz val="9"/>
      <color rgb="FF000000"/>
      <name val="Geneva"/>
      <family val="2"/>
    </font>
    <font>
      <b/>
      <sz val="10"/>
      <color rgb="FF000000"/>
      <name val="Calibri"/>
      <family val="2"/>
    </font>
    <font>
      <sz val="10"/>
      <color rgb="FF000000"/>
      <name val="Calibri"/>
      <family val="2"/>
    </font>
    <font>
      <b/>
      <sz val="9"/>
      <name val="Geneva"/>
      <family val="2"/>
    </font>
    <font>
      <i/>
      <sz val="12"/>
      <color rgb="FF000000"/>
      <name val="Helvetica"/>
      <family val="2"/>
    </font>
    <font>
      <b/>
      <sz val="9"/>
      <color rgb="FF000000"/>
      <name val="Geneva"/>
      <family val="2"/>
      <charset val="1"/>
    </font>
    <font>
      <sz val="9"/>
      <color rgb="FF000000"/>
      <name val="Geneva"/>
      <family val="2"/>
      <charset val="1"/>
    </font>
    <font>
      <b/>
      <sz val="12"/>
      <color rgb="FF0A0A0A"/>
      <name val="Arial"/>
      <family val="2"/>
    </font>
    <font>
      <sz val="12"/>
      <color rgb="FF0A0A0A"/>
      <name val="Arial"/>
      <family val="2"/>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Calibri"/>
      <family val="2"/>
    </font>
    <font>
      <sz val="12"/>
      <name val="Geneva"/>
      <family val="2"/>
    </font>
    <font>
      <sz val="12"/>
      <name val="Helvetica"/>
      <family val="2"/>
    </font>
    <font>
      <sz val="12"/>
      <name val="Helv"/>
    </font>
    <font>
      <b/>
      <sz val="12"/>
      <name val="Helv"/>
    </font>
    <font>
      <b/>
      <sz val="12"/>
      <color theme="1"/>
      <name val="Helv"/>
    </font>
    <font>
      <i/>
      <sz val="12"/>
      <color rgb="FF00B050"/>
      <name val="Helv"/>
    </font>
    <font>
      <i/>
      <sz val="12"/>
      <name val="Helv"/>
    </font>
    <font>
      <i/>
      <sz val="12"/>
      <color rgb="FFFF0000"/>
      <name val="Helv"/>
    </font>
    <font>
      <sz val="12"/>
      <color theme="1"/>
      <name val="Helv"/>
    </font>
    <font>
      <b/>
      <i/>
      <sz val="12"/>
      <name val="Helv"/>
    </font>
    <font>
      <i/>
      <sz val="12"/>
      <color theme="1"/>
      <name val="Helv"/>
    </font>
    <font>
      <b/>
      <i/>
      <sz val="14"/>
      <name val="Helvetica"/>
      <family val="2"/>
    </font>
    <font>
      <b/>
      <i/>
      <sz val="18"/>
      <name val="Helvetica"/>
      <family val="2"/>
    </font>
    <font>
      <sz val="12"/>
      <color theme="1"/>
      <name val="Times Roman"/>
    </font>
    <font>
      <i/>
      <sz val="12"/>
      <color theme="1"/>
      <name val="Times Roman"/>
    </font>
    <font>
      <b/>
      <sz val="12"/>
      <name val="Helvetica"/>
      <family val="2"/>
    </font>
    <font>
      <b/>
      <sz val="14"/>
      <color theme="1"/>
      <name val="Times Roman"/>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sz val="12"/>
      <color rgb="FFFF0000"/>
      <name val="Helvetica"/>
      <family val="2"/>
    </font>
    <font>
      <b/>
      <sz val="14"/>
      <name val="Helvetica"/>
      <family val="2"/>
    </font>
    <font>
      <i/>
      <sz val="12"/>
      <name val="Helvetica"/>
      <family val="2"/>
    </font>
    <font>
      <sz val="9"/>
      <name val="Helvetica"/>
      <family val="2"/>
    </font>
    <font>
      <i/>
      <sz val="10"/>
      <name val="Helvetica"/>
      <family val="2"/>
    </font>
    <font>
      <b/>
      <sz val="12"/>
      <color rgb="FF0A0A0A"/>
      <name val="Helvetica"/>
      <family val="2"/>
    </font>
    <font>
      <sz val="12"/>
      <color rgb="FF0A0A0A"/>
      <name val="Helvetica"/>
      <family val="2"/>
    </font>
    <font>
      <b/>
      <sz val="9"/>
      <name val="Helvetica"/>
      <family val="2"/>
    </font>
    <font>
      <sz val="10"/>
      <color theme="0"/>
      <name val="Helvetica"/>
      <family val="2"/>
    </font>
    <font>
      <sz val="10"/>
      <color rgb="FFFF0000"/>
      <name val="Helvetica"/>
      <family val="2"/>
    </font>
    <font>
      <b/>
      <i/>
      <u/>
      <sz val="10"/>
      <name val="Helvetica"/>
      <family val="2"/>
    </font>
    <font>
      <sz val="12"/>
      <color theme="1"/>
      <name val="Helvetica"/>
      <family val="2"/>
    </font>
    <font>
      <i/>
      <sz val="12"/>
      <color theme="1"/>
      <name val="Helvetica"/>
      <family val="2"/>
    </font>
    <font>
      <sz val="12"/>
      <name val="Times New Roman"/>
      <family val="1"/>
    </font>
    <font>
      <i/>
      <sz val="12"/>
      <name val="Times New Roman"/>
      <family val="1"/>
    </font>
    <font>
      <i/>
      <sz val="12"/>
      <name val="Calibri"/>
      <family val="2"/>
      <scheme val="minor"/>
    </font>
    <font>
      <sz val="12"/>
      <color rgb="FF000000"/>
      <name val="Calibri"/>
      <family val="2"/>
      <scheme val="minor"/>
    </font>
    <font>
      <sz val="12"/>
      <color rgb="FF000000"/>
      <name val="Calibri"/>
      <family val="2"/>
    </font>
    <font>
      <sz val="12"/>
      <color indexed="8"/>
      <name val="Arial"/>
      <family val="2"/>
    </font>
  </fonts>
  <fills count="12">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FF00"/>
        <bgColor rgb="FF000000"/>
      </patternFill>
    </fill>
    <fill>
      <patternFill patternType="solid">
        <fgColor rgb="FFFFFFFF"/>
        <bgColor rgb="FF000000"/>
      </patternFill>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4">
    <xf numFmtId="0" fontId="0" fillId="0" borderId="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99">
    <xf numFmtId="0" fontId="0" fillId="0" borderId="0" xfId="0"/>
    <xf numFmtId="0" fontId="0" fillId="0" borderId="1" xfId="0" applyBorder="1"/>
    <xf numFmtId="0" fontId="6" fillId="0" borderId="0" xfId="0" applyFont="1"/>
    <xf numFmtId="10" fontId="0" fillId="0" borderId="1" xfId="0" applyNumberFormat="1" applyBorder="1" applyAlignment="1">
      <alignment horizontal="center"/>
    </xf>
    <xf numFmtId="0" fontId="11" fillId="0" borderId="0" xfId="0" applyFont="1"/>
    <xf numFmtId="0" fontId="12" fillId="0" borderId="0" xfId="0" applyFont="1"/>
    <xf numFmtId="0" fontId="14" fillId="0" borderId="0" xfId="0" applyFont="1"/>
    <xf numFmtId="0" fontId="15" fillId="0" borderId="0" xfId="0" applyFont="1"/>
    <xf numFmtId="44" fontId="15" fillId="2" borderId="1" xfId="2" applyFont="1" applyFill="1" applyBorder="1"/>
    <xf numFmtId="0" fontId="16" fillId="0" borderId="0" xfId="0" applyFont="1"/>
    <xf numFmtId="0" fontId="17" fillId="0" borderId="0" xfId="0" applyFont="1"/>
    <xf numFmtId="0" fontId="18" fillId="0" borderId="0" xfId="0" applyFont="1"/>
    <xf numFmtId="0" fontId="19" fillId="0" borderId="0" xfId="0" applyFont="1"/>
    <xf numFmtId="0" fontId="15" fillId="0" borderId="1" xfId="0" applyFont="1" applyBorder="1"/>
    <xf numFmtId="10" fontId="15" fillId="0" borderId="1" xfId="0" applyNumberFormat="1" applyFont="1" applyBorder="1"/>
    <xf numFmtId="44" fontId="15" fillId="2" borderId="1" xfId="0" applyNumberFormat="1" applyFont="1" applyFill="1" applyBorder="1"/>
    <xf numFmtId="0" fontId="14" fillId="0" borderId="0" xfId="0" applyFont="1" applyAlignment="1">
      <alignment horizontal="centerContinuous"/>
    </xf>
    <xf numFmtId="0" fontId="15" fillId="0" borderId="1" xfId="0" applyFont="1" applyBorder="1" applyAlignment="1">
      <alignment horizontal="center"/>
    </xf>
    <xf numFmtId="0" fontId="22" fillId="0" borderId="0" xfId="0" applyFont="1"/>
    <xf numFmtId="0" fontId="15" fillId="0" borderId="2" xfId="0" applyFont="1" applyBorder="1"/>
    <xf numFmtId="44" fontId="15" fillId="3" borderId="1" xfId="2" applyFont="1" applyFill="1" applyBorder="1"/>
    <xf numFmtId="44" fontId="15" fillId="0" borderId="0" xfId="2" applyFont="1" applyBorder="1"/>
    <xf numFmtId="0" fontId="15" fillId="2" borderId="1" xfId="0" applyFont="1" applyFill="1" applyBorder="1" applyAlignment="1">
      <alignment horizontal="center"/>
    </xf>
    <xf numFmtId="0" fontId="15" fillId="0" borderId="3" xfId="0" applyFont="1" applyBorder="1"/>
    <xf numFmtId="44" fontId="15" fillId="2" borderId="3" xfId="0" applyNumberFormat="1" applyFont="1" applyFill="1" applyBorder="1"/>
    <xf numFmtId="44" fontId="15" fillId="2" borderId="3" xfId="2" applyFont="1" applyFill="1" applyBorder="1"/>
    <xf numFmtId="0" fontId="15" fillId="2" borderId="2" xfId="0" applyFont="1" applyFill="1" applyBorder="1"/>
    <xf numFmtId="44" fontId="15" fillId="2" borderId="2" xfId="0" applyNumberFormat="1" applyFont="1" applyFill="1" applyBorder="1"/>
    <xf numFmtId="44" fontId="15" fillId="2" borderId="4" xfId="0" applyNumberFormat="1" applyFont="1" applyFill="1" applyBorder="1"/>
    <xf numFmtId="0" fontId="26" fillId="0" borderId="0" xfId="0" applyFont="1"/>
    <xf numFmtId="0" fontId="26" fillId="0" borderId="1" xfId="0" applyFont="1" applyBorder="1"/>
    <xf numFmtId="0" fontId="27" fillId="0" borderId="0" xfId="0" applyFont="1"/>
    <xf numFmtId="10" fontId="15" fillId="4" borderId="2" xfId="0" applyNumberFormat="1" applyFont="1" applyFill="1" applyBorder="1" applyAlignment="1">
      <alignment horizontal="center"/>
    </xf>
    <xf numFmtId="8" fontId="15" fillId="2" borderId="2" xfId="0" applyNumberFormat="1" applyFont="1" applyFill="1" applyBorder="1"/>
    <xf numFmtId="0" fontId="28" fillId="0" borderId="0" xfId="0" applyFont="1"/>
    <xf numFmtId="0" fontId="15" fillId="3" borderId="1" xfId="0" applyFont="1" applyFill="1" applyBorder="1"/>
    <xf numFmtId="0" fontId="17" fillId="0" borderId="0" xfId="0" applyFont="1" applyAlignment="1">
      <alignment horizontal="center"/>
    </xf>
    <xf numFmtId="0" fontId="17" fillId="0" borderId="1" xfId="0" applyFont="1" applyBorder="1" applyAlignment="1">
      <alignment horizontal="center"/>
    </xf>
    <xf numFmtId="2" fontId="15" fillId="6" borderId="1" xfId="0" applyNumberFormat="1" applyFont="1" applyFill="1" applyBorder="1"/>
    <xf numFmtId="44" fontId="15" fillId="6" borderId="1" xfId="0" applyNumberFormat="1" applyFont="1" applyFill="1" applyBorder="1"/>
    <xf numFmtId="44" fontId="15" fillId="6" borderId="1" xfId="2" applyFont="1" applyFill="1" applyBorder="1"/>
    <xf numFmtId="10" fontId="15" fillId="6" borderId="1" xfId="3" applyNumberFormat="1" applyFont="1" applyFill="1" applyBorder="1"/>
    <xf numFmtId="10" fontId="15" fillId="6" borderId="3" xfId="0" applyNumberFormat="1" applyFont="1" applyFill="1" applyBorder="1"/>
    <xf numFmtId="10" fontId="15" fillId="6" borderId="1" xfId="0" applyNumberFormat="1" applyFont="1" applyFill="1" applyBorder="1"/>
    <xf numFmtId="10" fontId="15" fillId="6" borderId="13" xfId="3" applyNumberFormat="1" applyFont="1" applyFill="1" applyBorder="1"/>
    <xf numFmtId="10" fontId="15" fillId="6" borderId="2" xfId="3" applyNumberFormat="1" applyFont="1" applyFill="1" applyBorder="1"/>
    <xf numFmtId="2" fontId="15" fillId="6" borderId="1" xfId="2" applyNumberFormat="1" applyFont="1" applyFill="1" applyBorder="1"/>
    <xf numFmtId="0" fontId="29" fillId="0" borderId="0" xfId="0" applyFont="1"/>
    <xf numFmtId="0" fontId="30" fillId="0" borderId="0" xfId="0" applyFont="1"/>
    <xf numFmtId="0" fontId="23" fillId="0" borderId="0" xfId="0" applyFont="1"/>
    <xf numFmtId="0" fontId="15" fillId="3" borderId="1" xfId="0" applyFont="1" applyFill="1" applyBorder="1" applyAlignment="1">
      <alignment horizontal="center"/>
    </xf>
    <xf numFmtId="0" fontId="32" fillId="0" borderId="0" xfId="0" applyFont="1"/>
    <xf numFmtId="0" fontId="11" fillId="5" borderId="0" xfId="0" applyFont="1" applyFill="1"/>
    <xf numFmtId="0" fontId="32" fillId="0" borderId="10" xfId="0" applyFont="1" applyBorder="1"/>
    <xf numFmtId="0" fontId="0" fillId="0" borderId="1" xfId="0" applyBorder="1" applyAlignment="1">
      <alignment horizontal="center"/>
    </xf>
    <xf numFmtId="0" fontId="15" fillId="4" borderId="1" xfId="0" applyFont="1" applyFill="1" applyBorder="1"/>
    <xf numFmtId="0" fontId="15" fillId="6" borderId="1" xfId="0" applyFont="1" applyFill="1" applyBorder="1"/>
    <xf numFmtId="0" fontId="16" fillId="0" borderId="1" xfId="0" applyFont="1" applyBorder="1"/>
    <xf numFmtId="167" fontId="15" fillId="6" borderId="1" xfId="3" applyNumberFormat="1" applyFont="1" applyFill="1" applyBorder="1"/>
    <xf numFmtId="167" fontId="15" fillId="6" borderId="1" xfId="0" applyNumberFormat="1" applyFont="1" applyFill="1" applyBorder="1"/>
    <xf numFmtId="2" fontId="15" fillId="3" borderId="1" xfId="0" applyNumberFormat="1" applyFont="1" applyFill="1" applyBorder="1"/>
    <xf numFmtId="171" fontId="15" fillId="4" borderId="1" xfId="2" applyNumberFormat="1" applyFont="1" applyFill="1" applyBorder="1"/>
    <xf numFmtId="169" fontId="15" fillId="6" borderId="1" xfId="0" applyNumberFormat="1" applyFont="1" applyFill="1" applyBorder="1"/>
    <xf numFmtId="171" fontId="15" fillId="6" borderId="1" xfId="0" applyNumberFormat="1" applyFont="1" applyFill="1" applyBorder="1"/>
    <xf numFmtId="0" fontId="0" fillId="6" borderId="1" xfId="0" applyFill="1" applyBorder="1"/>
    <xf numFmtId="171" fontId="7"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5"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6" fillId="0" borderId="0" xfId="0" applyNumberFormat="1" applyFont="1" applyAlignment="1">
      <alignment horizontal="center"/>
    </xf>
    <xf numFmtId="164" fontId="6" fillId="0" borderId="0" xfId="0" applyNumberFormat="1" applyFont="1"/>
    <xf numFmtId="10" fontId="15" fillId="4" borderId="1" xfId="0" applyNumberFormat="1" applyFont="1" applyFill="1" applyBorder="1" applyAlignment="1">
      <alignment horizontal="center"/>
    </xf>
    <xf numFmtId="10" fontId="15" fillId="6" borderId="1" xfId="0" applyNumberFormat="1" applyFont="1" applyFill="1" applyBorder="1" applyAlignment="1">
      <alignment horizontal="center"/>
    </xf>
    <xf numFmtId="166" fontId="15" fillId="3" borderId="1" xfId="0" applyNumberFormat="1" applyFont="1" applyFill="1" applyBorder="1"/>
    <xf numFmtId="9" fontId="15" fillId="6" borderId="1" xfId="0" applyNumberFormat="1" applyFont="1" applyFill="1" applyBorder="1" applyAlignment="1">
      <alignment horizontal="center"/>
    </xf>
    <xf numFmtId="0" fontId="33" fillId="0" borderId="0" xfId="0" applyFont="1"/>
    <xf numFmtId="2" fontId="15" fillId="4" borderId="1" xfId="0" applyNumberFormat="1" applyFont="1" applyFill="1" applyBorder="1"/>
    <xf numFmtId="0" fontId="28" fillId="0" borderId="0" xfId="0" applyFont="1" applyAlignment="1">
      <alignment horizontal="left"/>
    </xf>
    <xf numFmtId="164" fontId="0" fillId="6" borderId="1" xfId="0" applyNumberFormat="1" applyFill="1" applyBorder="1"/>
    <xf numFmtId="0" fontId="6" fillId="0" borderId="1" xfId="0" applyFont="1" applyBorder="1" applyAlignment="1">
      <alignment horizontal="center" wrapText="1"/>
    </xf>
    <xf numFmtId="0" fontId="38" fillId="0" borderId="31" xfId="0" applyFont="1" applyBorder="1" applyAlignment="1">
      <alignment horizontal="center"/>
    </xf>
    <xf numFmtId="0" fontId="38" fillId="0" borderId="14" xfId="0" applyFont="1" applyBorder="1" applyAlignment="1">
      <alignment horizontal="center"/>
    </xf>
    <xf numFmtId="16" fontId="38" fillId="0" borderId="14" xfId="0" applyNumberFormat="1" applyFont="1" applyBorder="1" applyAlignment="1">
      <alignment horizontal="center"/>
    </xf>
    <xf numFmtId="0" fontId="38" fillId="0" borderId="32" xfId="0" applyFont="1" applyBorder="1" applyAlignment="1">
      <alignment horizontal="center"/>
    </xf>
    <xf numFmtId="0" fontId="39" fillId="0" borderId="35" xfId="0" applyFont="1" applyBorder="1"/>
    <xf numFmtId="0" fontId="39" fillId="0" borderId="36" xfId="0" applyFont="1" applyBorder="1"/>
    <xf numFmtId="10" fontId="39" fillId="0" borderId="1" xfId="0" applyNumberFormat="1" applyFont="1" applyBorder="1" applyAlignment="1">
      <alignment horizontal="center"/>
    </xf>
    <xf numFmtId="0" fontId="39" fillId="0" borderId="1" xfId="0" applyFont="1" applyBorder="1" applyAlignment="1">
      <alignment horizontal="center"/>
    </xf>
    <xf numFmtId="10" fontId="39" fillId="0" borderId="18" xfId="3" applyNumberFormat="1" applyFont="1" applyBorder="1" applyAlignment="1">
      <alignment horizontal="center"/>
    </xf>
    <xf numFmtId="0" fontId="39" fillId="0" borderId="37" xfId="0" applyFont="1" applyBorder="1"/>
    <xf numFmtId="10" fontId="39" fillId="0" borderId="25" xfId="0" applyNumberFormat="1" applyFont="1" applyBorder="1" applyAlignment="1">
      <alignment horizontal="center"/>
    </xf>
    <xf numFmtId="0" fontId="39" fillId="0" borderId="36" xfId="0" applyFont="1" applyBorder="1" applyAlignment="1">
      <alignment horizontal="center"/>
    </xf>
    <xf numFmtId="10" fontId="39" fillId="0" borderId="1" xfId="3" applyNumberFormat="1" applyFont="1" applyBorder="1" applyAlignment="1">
      <alignment horizontal="center"/>
    </xf>
    <xf numFmtId="0" fontId="39" fillId="0" borderId="37" xfId="0" applyFont="1" applyBorder="1" applyAlignment="1">
      <alignment horizontal="center"/>
    </xf>
    <xf numFmtId="10" fontId="39" fillId="0" borderId="25" xfId="3" applyNumberFormat="1" applyFont="1" applyBorder="1" applyAlignment="1">
      <alignment horizontal="center"/>
    </xf>
    <xf numFmtId="168" fontId="39" fillId="0" borderId="0" xfId="2" applyNumberFormat="1" applyFont="1" applyFill="1" applyBorder="1"/>
    <xf numFmtId="0" fontId="39" fillId="0" borderId="0" xfId="0" applyFont="1"/>
    <xf numFmtId="0" fontId="39" fillId="0" borderId="12" xfId="0" applyFont="1" applyBorder="1"/>
    <xf numFmtId="0" fontId="39" fillId="0" borderId="0" xfId="0" applyFont="1" applyAlignment="1">
      <alignment horizontal="left"/>
    </xf>
    <xf numFmtId="0" fontId="39" fillId="0" borderId="39" xfId="0" applyFont="1" applyBorder="1"/>
    <xf numFmtId="10" fontId="39" fillId="0" borderId="17" xfId="3" applyNumberFormat="1" applyFont="1" applyBorder="1" applyAlignment="1">
      <alignment horizontal="center"/>
    </xf>
    <xf numFmtId="10" fontId="39" fillId="0" borderId="3" xfId="0" applyNumberFormat="1" applyFont="1" applyBorder="1" applyAlignment="1">
      <alignment horizontal="center"/>
    </xf>
    <xf numFmtId="0" fontId="39" fillId="0" borderId="34" xfId="0" applyFont="1" applyBorder="1" applyAlignment="1">
      <alignment horizontal="center"/>
    </xf>
    <xf numFmtId="164" fontId="39" fillId="0" borderId="40" xfId="0" applyNumberFormat="1" applyFont="1" applyBorder="1" applyAlignment="1">
      <alignment horizontal="left"/>
    </xf>
    <xf numFmtId="10" fontId="39" fillId="0" borderId="18" xfId="0" applyNumberFormat="1" applyFont="1" applyBorder="1" applyAlignment="1">
      <alignment horizontal="left"/>
    </xf>
    <xf numFmtId="0" fontId="34" fillId="0" borderId="1" xfId="0" applyFont="1" applyBorder="1" applyAlignment="1">
      <alignment horizontal="center"/>
    </xf>
    <xf numFmtId="0" fontId="0" fillId="4" borderId="1" xfId="0" applyFill="1" applyBorder="1"/>
    <xf numFmtId="10" fontId="15" fillId="4" borderId="1" xfId="0" applyNumberFormat="1" applyFont="1" applyFill="1" applyBorder="1"/>
    <xf numFmtId="44" fontId="7" fillId="4" borderId="1" xfId="2" applyFont="1" applyFill="1" applyBorder="1" applyAlignment="1">
      <alignment horizontal="center"/>
    </xf>
    <xf numFmtId="0" fontId="37" fillId="4" borderId="1" xfId="0" applyFont="1" applyFill="1" applyBorder="1"/>
    <xf numFmtId="170" fontId="34" fillId="0" borderId="0" xfId="0" applyNumberFormat="1" applyFont="1" applyAlignment="1">
      <alignment horizontal="right"/>
    </xf>
    <xf numFmtId="0" fontId="40" fillId="0" borderId="0" xfId="0" applyFont="1"/>
    <xf numFmtId="44" fontId="0" fillId="0" borderId="0" xfId="0" applyNumberFormat="1"/>
    <xf numFmtId="10" fontId="0" fillId="4" borderId="1" xfId="0" applyNumberFormat="1" applyFill="1" applyBorder="1"/>
    <xf numFmtId="0" fontId="49" fillId="0" borderId="0" xfId="0" applyFont="1"/>
    <xf numFmtId="0" fontId="6" fillId="0" borderId="1" xfId="0" applyFont="1" applyBorder="1" applyAlignment="1">
      <alignment wrapText="1"/>
    </xf>
    <xf numFmtId="10" fontId="6" fillId="0" borderId="1" xfId="0" applyNumberFormat="1" applyFont="1" applyBorder="1" applyAlignment="1">
      <alignment horizontal="center" wrapText="1"/>
    </xf>
    <xf numFmtId="2" fontId="6" fillId="0" borderId="1" xfId="0" applyNumberFormat="1" applyFont="1" applyBorder="1" applyAlignment="1">
      <alignment horizontal="center" wrapText="1"/>
    </xf>
    <xf numFmtId="0" fontId="32" fillId="0" borderId="0" xfId="0" applyFont="1" applyAlignment="1">
      <alignment horizontal="left"/>
    </xf>
    <xf numFmtId="0" fontId="50" fillId="0" borderId="0" xfId="0" applyFont="1"/>
    <xf numFmtId="17" fontId="35" fillId="0" borderId="1" xfId="0" applyNumberFormat="1" applyFont="1" applyBorder="1"/>
    <xf numFmtId="10" fontId="25" fillId="0" borderId="13" xfId="0" applyNumberFormat="1" applyFont="1" applyBorder="1" applyAlignment="1">
      <alignment horizontal="center"/>
    </xf>
    <xf numFmtId="2" fontId="39" fillId="10" borderId="18" xfId="0" applyNumberFormat="1" applyFont="1" applyFill="1" applyBorder="1" applyAlignment="1">
      <alignment horizontal="center"/>
    </xf>
    <xf numFmtId="2" fontId="39" fillId="10" borderId="1" xfId="0" applyNumberFormat="1" applyFont="1" applyFill="1" applyBorder="1" applyAlignment="1">
      <alignment horizontal="center"/>
    </xf>
    <xf numFmtId="10" fontId="39" fillId="10" borderId="1" xfId="0" applyNumberFormat="1" applyFont="1" applyFill="1" applyBorder="1" applyAlignment="1">
      <alignment horizontal="center"/>
    </xf>
    <xf numFmtId="10" fontId="39" fillId="10" borderId="13" xfId="0" applyNumberFormat="1" applyFont="1" applyFill="1" applyBorder="1" applyAlignment="1">
      <alignment horizontal="center"/>
    </xf>
    <xf numFmtId="10" fontId="39" fillId="10" borderId="18" xfId="0" applyNumberFormat="1" applyFont="1" applyFill="1" applyBorder="1" applyAlignment="1">
      <alignment horizontal="center"/>
    </xf>
    <xf numFmtId="0" fontId="53" fillId="10" borderId="14" xfId="0" applyFont="1" applyFill="1" applyBorder="1"/>
    <xf numFmtId="0" fontId="54" fillId="10" borderId="14" xfId="0" applyFont="1" applyFill="1" applyBorder="1"/>
    <xf numFmtId="0" fontId="54" fillId="10" borderId="1" xfId="0" applyFont="1" applyFill="1" applyBorder="1"/>
    <xf numFmtId="10" fontId="54" fillId="10" borderId="1" xfId="3" applyNumberFormat="1" applyFont="1" applyFill="1" applyBorder="1"/>
    <xf numFmtId="0" fontId="38" fillId="0" borderId="33" xfId="0" applyFont="1" applyBorder="1" applyAlignment="1">
      <alignment horizontal="center"/>
    </xf>
    <xf numFmtId="173" fontId="38" fillId="0" borderId="33" xfId="0" applyNumberFormat="1" applyFont="1" applyBorder="1" applyAlignment="1">
      <alignment horizontal="center"/>
    </xf>
    <xf numFmtId="164" fontId="39" fillId="0" borderId="1" xfId="2" applyNumberFormat="1" applyFont="1" applyBorder="1" applyAlignment="1">
      <alignment horizontal="center"/>
    </xf>
    <xf numFmtId="164" fontId="39" fillId="0" borderId="25" xfId="2" applyNumberFormat="1" applyFont="1" applyBorder="1" applyAlignment="1">
      <alignment horizontal="center"/>
    </xf>
    <xf numFmtId="10" fontId="0" fillId="0" borderId="0" xfId="0" applyNumberFormat="1" applyAlignment="1">
      <alignment horizontal="center"/>
    </xf>
    <xf numFmtId="168" fontId="15" fillId="6" borderId="1" xfId="2" applyNumberFormat="1" applyFont="1" applyFill="1" applyBorder="1"/>
    <xf numFmtId="170" fontId="34" fillId="4" borderId="1" xfId="0" applyNumberFormat="1" applyFont="1" applyFill="1" applyBorder="1" applyAlignment="1">
      <alignment horizontal="right"/>
    </xf>
    <xf numFmtId="0" fontId="55" fillId="0" borderId="0" xfId="0" applyFont="1"/>
    <xf numFmtId="0" fontId="56" fillId="0" borderId="1" xfId="0" applyFont="1" applyBorder="1"/>
    <xf numFmtId="0" fontId="56" fillId="0" borderId="1" xfId="0" applyFont="1" applyBorder="1" applyAlignment="1">
      <alignment horizontal="center"/>
    </xf>
    <xf numFmtId="0" fontId="56" fillId="0" borderId="0" xfId="0" applyFont="1" applyAlignment="1">
      <alignment wrapText="1"/>
    </xf>
    <xf numFmtId="0" fontId="56" fillId="0" borderId="1" xfId="0" applyFont="1" applyBorder="1" applyAlignment="1">
      <alignment horizontal="center" wrapText="1"/>
    </xf>
    <xf numFmtId="0" fontId="38" fillId="0" borderId="1" xfId="0" applyFont="1" applyBorder="1" applyAlignment="1">
      <alignment horizontal="center"/>
    </xf>
    <xf numFmtId="172" fontId="4" fillId="0" borderId="1" xfId="3" applyNumberFormat="1" applyFont="1" applyBorder="1" applyAlignment="1">
      <alignment horizontal="center"/>
    </xf>
    <xf numFmtId="10" fontId="4" fillId="0" borderId="1" xfId="0" applyNumberFormat="1" applyFont="1" applyBorder="1" applyAlignment="1">
      <alignment horizontal="center"/>
    </xf>
    <xf numFmtId="2" fontId="4" fillId="0" borderId="1" xfId="0" applyNumberFormat="1" applyFont="1" applyBorder="1" applyAlignment="1">
      <alignment horizontal="center"/>
    </xf>
    <xf numFmtId="164" fontId="39" fillId="10" borderId="1" xfId="2" applyNumberFormat="1" applyFont="1" applyFill="1" applyBorder="1"/>
    <xf numFmtId="164" fontId="39" fillId="10" borderId="13" xfId="2" applyNumberFormat="1" applyFont="1" applyFill="1" applyBorder="1"/>
    <xf numFmtId="43" fontId="39" fillId="10" borderId="1" xfId="0" applyNumberFormat="1" applyFont="1" applyFill="1" applyBorder="1"/>
    <xf numFmtId="164" fontId="36" fillId="10" borderId="34" xfId="2" applyNumberFormat="1" applyFont="1" applyFill="1" applyBorder="1"/>
    <xf numFmtId="0" fontId="33" fillId="5" borderId="0" xfId="0" applyFont="1" applyFill="1"/>
    <xf numFmtId="0" fontId="33" fillId="5" borderId="45" xfId="0" applyFont="1" applyFill="1" applyBorder="1"/>
    <xf numFmtId="0" fontId="15" fillId="4" borderId="18" xfId="0" applyFont="1" applyFill="1" applyBorder="1"/>
    <xf numFmtId="169" fontId="15" fillId="6" borderId="1" xfId="0" applyNumberFormat="1" applyFont="1" applyFill="1" applyBorder="1" applyAlignment="1">
      <alignment horizontal="center"/>
    </xf>
    <xf numFmtId="169" fontId="0" fillId="6" borderId="1" xfId="0" applyNumberFormat="1" applyFill="1" applyBorder="1" applyAlignment="1">
      <alignment horizontal="center"/>
    </xf>
    <xf numFmtId="10" fontId="15" fillId="6" borderId="1" xfId="3" applyNumberFormat="1" applyFont="1" applyFill="1" applyBorder="1" applyAlignment="1">
      <alignment horizontal="center"/>
    </xf>
    <xf numFmtId="10" fontId="0" fillId="6" borderId="1" xfId="3" applyNumberFormat="1" applyFont="1" applyFill="1" applyBorder="1" applyAlignment="1">
      <alignment horizontal="center"/>
    </xf>
    <xf numFmtId="0" fontId="15" fillId="4" borderId="3" xfId="0" applyFont="1" applyFill="1" applyBorder="1"/>
    <xf numFmtId="10" fontId="0" fillId="6" borderId="2" xfId="0" applyNumberFormat="1" applyFill="1" applyBorder="1" applyAlignment="1">
      <alignment horizontal="center"/>
    </xf>
    <xf numFmtId="0" fontId="58" fillId="0" borderId="0" xfId="0" applyFont="1" applyAlignment="1">
      <alignment horizontal="left" vertical="top" wrapText="1"/>
    </xf>
    <xf numFmtId="0" fontId="58"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58" fillId="6" borderId="1" xfId="3" applyNumberFormat="1" applyFont="1" applyFill="1" applyBorder="1" applyAlignment="1">
      <alignment horizontal="center" vertical="top" wrapText="1"/>
    </xf>
    <xf numFmtId="0" fontId="0" fillId="4" borderId="1" xfId="0" applyFill="1" applyBorder="1" applyAlignment="1">
      <alignment horizontal="center"/>
    </xf>
    <xf numFmtId="0" fontId="4" fillId="0" borderId="41" xfId="0" applyFont="1" applyBorder="1" applyAlignment="1">
      <alignment vertical="center" wrapText="1"/>
    </xf>
    <xf numFmtId="44" fontId="39" fillId="0" borderId="0" xfId="0" applyNumberFormat="1" applyFont="1"/>
    <xf numFmtId="10" fontId="39" fillId="0" borderId="0" xfId="0" applyNumberFormat="1" applyFont="1"/>
    <xf numFmtId="44" fontId="61" fillId="0" borderId="0" xfId="0" applyNumberFormat="1" applyFont="1"/>
    <xf numFmtId="0" fontId="62" fillId="0" borderId="0" xfId="0" applyFont="1"/>
    <xf numFmtId="10" fontId="62" fillId="0" borderId="0" xfId="0" applyNumberFormat="1"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44" fontId="39" fillId="0" borderId="1" xfId="0" applyNumberFormat="1" applyFont="1" applyBorder="1" applyAlignment="1">
      <alignment horizontal="center"/>
    </xf>
    <xf numFmtId="44" fontId="39" fillId="0" borderId="1" xfId="2" applyFont="1" applyBorder="1" applyAlignment="1">
      <alignment horizontal="center"/>
    </xf>
    <xf numFmtId="2" fontId="39" fillId="0" borderId="1" xfId="0" applyNumberFormat="1" applyFont="1" applyBorder="1" applyAlignment="1">
      <alignment horizontal="center"/>
    </xf>
    <xf numFmtId="0" fontId="62" fillId="0" borderId="1" xfId="0" applyFont="1" applyBorder="1"/>
    <xf numFmtId="10" fontId="62" fillId="0" borderId="1" xfId="3" applyNumberFormat="1" applyFont="1" applyBorder="1"/>
    <xf numFmtId="169" fontId="62" fillId="0" borderId="1" xfId="0" applyNumberFormat="1" applyFont="1" applyBorder="1"/>
    <xf numFmtId="44" fontId="62" fillId="0" borderId="1" xfId="0" applyNumberFormat="1" applyFont="1" applyBorder="1"/>
    <xf numFmtId="0" fontId="63" fillId="0" borderId="0" xfId="0" applyFont="1"/>
    <xf numFmtId="0" fontId="64" fillId="0" borderId="0" xfId="0" applyFont="1"/>
    <xf numFmtId="0" fontId="65" fillId="0" borderId="0" xfId="0" applyFont="1"/>
    <xf numFmtId="17" fontId="65" fillId="4" borderId="1" xfId="0" applyNumberFormat="1" applyFont="1" applyFill="1" applyBorder="1" applyAlignment="1">
      <alignment horizontal="center"/>
    </xf>
    <xf numFmtId="0" fontId="64" fillId="0" borderId="15" xfId="0" applyFont="1" applyBorder="1"/>
    <xf numFmtId="0" fontId="64" fillId="0" borderId="16" xfId="0" applyFont="1" applyBorder="1"/>
    <xf numFmtId="0" fontId="64" fillId="0" borderId="17" xfId="0" applyFont="1" applyBorder="1"/>
    <xf numFmtId="0" fontId="66" fillId="4" borderId="1" xfId="0" applyFont="1" applyFill="1" applyBorder="1" applyAlignment="1">
      <alignment horizontal="center"/>
    </xf>
    <xf numFmtId="0" fontId="64" fillId="0" borderId="20" xfId="0" applyFont="1" applyBorder="1"/>
    <xf numFmtId="0" fontId="64" fillId="0" borderId="21" xfId="0" applyFont="1" applyBorder="1"/>
    <xf numFmtId="0" fontId="67" fillId="0" borderId="1" xfId="0" applyFont="1" applyBorder="1"/>
    <xf numFmtId="0" fontId="64" fillId="4" borderId="1" xfId="0" applyFont="1" applyFill="1" applyBorder="1"/>
    <xf numFmtId="0" fontId="68" fillId="0" borderId="1" xfId="0" applyFont="1" applyBorder="1"/>
    <xf numFmtId="0" fontId="64" fillId="0" borderId="1" xfId="0" applyFont="1" applyBorder="1"/>
    <xf numFmtId="44" fontId="64" fillId="4" borderId="1" xfId="2" applyFont="1" applyFill="1" applyBorder="1" applyAlignment="1">
      <alignment horizontal="center"/>
    </xf>
    <xf numFmtId="0" fontId="69" fillId="0" borderId="0" xfId="0" applyFont="1"/>
    <xf numFmtId="44" fontId="64" fillId="7" borderId="18" xfId="0" applyNumberFormat="1" applyFont="1" applyFill="1" applyBorder="1" applyAlignment="1">
      <alignment horizontal="center"/>
    </xf>
    <xf numFmtId="44" fontId="64" fillId="4" borderId="14" xfId="2" applyFont="1" applyFill="1" applyBorder="1" applyAlignment="1">
      <alignment horizontal="center"/>
    </xf>
    <xf numFmtId="2" fontId="64" fillId="4" borderId="14" xfId="2" applyNumberFormat="1" applyFont="1" applyFill="1" applyBorder="1" applyAlignment="1">
      <alignment horizontal="center"/>
    </xf>
    <xf numFmtId="10" fontId="64" fillId="4" borderId="1" xfId="2" applyNumberFormat="1" applyFont="1" applyFill="1" applyBorder="1" applyAlignment="1">
      <alignment horizontal="center"/>
    </xf>
    <xf numFmtId="44" fontId="64" fillId="0" borderId="0" xfId="2" applyFont="1" applyFill="1" applyBorder="1" applyAlignment="1">
      <alignment horizontal="center"/>
    </xf>
    <xf numFmtId="0" fontId="64" fillId="0" borderId="11" xfId="0" applyFont="1" applyBorder="1"/>
    <xf numFmtId="10" fontId="64" fillId="6"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64" fillId="4" borderId="1" xfId="0" applyNumberFormat="1" applyFont="1" applyFill="1" applyBorder="1" applyAlignment="1">
      <alignment horizontal="center"/>
    </xf>
    <xf numFmtId="10" fontId="64" fillId="5" borderId="0" xfId="3" applyNumberFormat="1" applyFont="1" applyFill="1" applyBorder="1"/>
    <xf numFmtId="2" fontId="64" fillId="4" borderId="1" xfId="0" applyNumberFormat="1" applyFont="1" applyFill="1" applyBorder="1" applyAlignment="1">
      <alignment horizontal="center"/>
    </xf>
    <xf numFmtId="0" fontId="64" fillId="0" borderId="9" xfId="0" applyFont="1" applyBorder="1"/>
    <xf numFmtId="168" fontId="64" fillId="6" borderId="1" xfId="0" applyNumberFormat="1" applyFont="1" applyFill="1" applyBorder="1"/>
    <xf numFmtId="10" fontId="64" fillId="0" borderId="0" xfId="0" applyNumberFormat="1" applyFont="1"/>
    <xf numFmtId="0" fontId="64" fillId="0" borderId="29" xfId="0" applyFont="1" applyBorder="1"/>
    <xf numFmtId="10" fontId="64" fillId="5" borderId="0" xfId="0" applyNumberFormat="1" applyFont="1" applyFill="1" applyAlignment="1">
      <alignment horizontal="center"/>
    </xf>
    <xf numFmtId="2" fontId="64" fillId="0" borderId="0" xfId="0" applyNumberFormat="1" applyFont="1" applyAlignment="1">
      <alignment horizontal="center"/>
    </xf>
    <xf numFmtId="164" fontId="64" fillId="4" borderId="1" xfId="0" applyNumberFormat="1" applyFont="1" applyFill="1" applyBorder="1" applyAlignment="1">
      <alignment horizontal="center"/>
    </xf>
    <xf numFmtId="164" fontId="64" fillId="0" borderId="0" xfId="0" applyNumberFormat="1" applyFont="1" applyAlignment="1">
      <alignment horizontal="center"/>
    </xf>
    <xf numFmtId="0" fontId="68" fillId="0" borderId="0" xfId="0" applyFont="1"/>
    <xf numFmtId="10" fontId="64" fillId="0" borderId="0" xfId="0" applyNumberFormat="1" applyFont="1" applyAlignment="1">
      <alignment horizontal="center"/>
    </xf>
    <xf numFmtId="0" fontId="71" fillId="5" borderId="0" xfId="0" applyFont="1" applyFill="1"/>
    <xf numFmtId="0" fontId="68" fillId="5" borderId="0" xfId="0" applyFont="1" applyFill="1"/>
    <xf numFmtId="0" fontId="64" fillId="4" borderId="1" xfId="0" applyFont="1" applyFill="1" applyBorder="1" applyAlignment="1">
      <alignment horizontal="center"/>
    </xf>
    <xf numFmtId="9" fontId="64" fillId="4" borderId="1" xfId="0" applyNumberFormat="1" applyFont="1" applyFill="1" applyBorder="1" applyAlignment="1">
      <alignment horizontal="center"/>
    </xf>
    <xf numFmtId="9" fontId="64" fillId="5" borderId="0" xfId="0" applyNumberFormat="1" applyFont="1" applyFill="1" applyAlignment="1">
      <alignment horizontal="center"/>
    </xf>
    <xf numFmtId="164" fontId="64" fillId="10" borderId="0" xfId="0" applyNumberFormat="1" applyFont="1" applyFill="1" applyAlignment="1">
      <alignment horizontal="center"/>
    </xf>
    <xf numFmtId="10" fontId="64" fillId="4" borderId="1" xfId="3" applyNumberFormat="1" applyFont="1" applyFill="1" applyBorder="1" applyAlignment="1">
      <alignment horizontal="center"/>
    </xf>
    <xf numFmtId="164" fontId="62" fillId="4" borderId="1" xfId="0" applyNumberFormat="1" applyFont="1" applyFill="1" applyBorder="1" applyAlignment="1">
      <alignment horizontal="center"/>
    </xf>
    <xf numFmtId="0" fontId="63" fillId="4" borderId="1" xfId="0" applyFont="1" applyFill="1" applyBorder="1"/>
    <xf numFmtId="0" fontId="63" fillId="6" borderId="1" xfId="0" applyFont="1" applyFill="1" applyBorder="1"/>
    <xf numFmtId="0" fontId="72" fillId="0" borderId="1" xfId="0" applyFont="1" applyBorder="1"/>
    <xf numFmtId="0" fontId="73" fillId="0" borderId="0" xfId="0" applyFont="1"/>
    <xf numFmtId="0" fontId="54" fillId="10" borderId="0" xfId="0" applyFont="1" applyFill="1"/>
    <xf numFmtId="0" fontId="74" fillId="0" borderId="0" xfId="0" applyFont="1"/>
    <xf numFmtId="0" fontId="75" fillId="0" borderId="0" xfId="0" applyFont="1"/>
    <xf numFmtId="0" fontId="75" fillId="0" borderId="1" xfId="0" applyFont="1" applyBorder="1"/>
    <xf numFmtId="0" fontId="76" fillId="0" borderId="1" xfId="0" applyFont="1" applyBorder="1" applyAlignment="1">
      <alignment horizontal="center"/>
    </xf>
    <xf numFmtId="10" fontId="75" fillId="10" borderId="1" xfId="0" applyNumberFormat="1" applyFont="1" applyFill="1" applyBorder="1" applyAlignment="1">
      <alignment horizontal="center"/>
    </xf>
    <xf numFmtId="10" fontId="0" fillId="0" borderId="0" xfId="0" applyNumberFormat="1"/>
    <xf numFmtId="0" fontId="75" fillId="0" borderId="1" xfId="0" applyFont="1" applyBorder="1" applyAlignment="1">
      <alignment horizontal="center"/>
    </xf>
    <xf numFmtId="0" fontId="77" fillId="0" borderId="0" xfId="0" applyFont="1"/>
    <xf numFmtId="0" fontId="75" fillId="0" borderId="0" xfId="0" applyFont="1" applyAlignment="1">
      <alignment horizontal="center"/>
    </xf>
    <xf numFmtId="10" fontId="75" fillId="0" borderId="0" xfId="0" applyNumberFormat="1" applyFont="1" applyAlignment="1">
      <alignment horizontal="center"/>
    </xf>
    <xf numFmtId="0" fontId="39" fillId="10" borderId="5" xfId="0" applyFont="1" applyFill="1" applyBorder="1" applyAlignment="1">
      <alignment wrapText="1"/>
    </xf>
    <xf numFmtId="0" fontId="39" fillId="10" borderId="5" xfId="0" applyFont="1" applyFill="1" applyBorder="1"/>
    <xf numFmtId="0" fontId="12" fillId="0" borderId="0" xfId="0" applyFont="1" applyAlignment="1">
      <alignment horizontal="center"/>
    </xf>
    <xf numFmtId="0" fontId="79" fillId="0" borderId="0" xfId="0" applyFont="1" applyAlignment="1">
      <alignment horizontal="center"/>
    </xf>
    <xf numFmtId="164" fontId="12" fillId="0" borderId="1" xfId="0" applyNumberFormat="1" applyFont="1" applyBorder="1" applyAlignment="1">
      <alignment horizontal="center"/>
    </xf>
    <xf numFmtId="10" fontId="12" fillId="0" borderId="1" xfId="3" applyNumberFormat="1" applyFont="1" applyBorder="1" applyAlignment="1">
      <alignment horizontal="center"/>
    </xf>
    <xf numFmtId="10" fontId="12" fillId="0" borderId="1" xfId="0" applyNumberFormat="1" applyFont="1" applyBorder="1" applyAlignment="1">
      <alignment horizontal="center"/>
    </xf>
    <xf numFmtId="164" fontId="12" fillId="10" borderId="1" xfId="0" applyNumberFormat="1" applyFont="1" applyFill="1" applyBorder="1" applyAlignment="1">
      <alignment horizontal="center"/>
    </xf>
    <xf numFmtId="10" fontId="12" fillId="10" borderId="1" xfId="3" applyNumberFormat="1" applyFont="1" applyFill="1" applyBorder="1" applyAlignment="1">
      <alignment horizontal="center"/>
    </xf>
    <xf numFmtId="0" fontId="12" fillId="0" borderId="1" xfId="0" applyFont="1" applyBorder="1"/>
    <xf numFmtId="0" fontId="80" fillId="0" borderId="1" xfId="0" applyFont="1" applyBorder="1" applyAlignment="1">
      <alignment horizontal="center"/>
    </xf>
    <xf numFmtId="0" fontId="77" fillId="0" borderId="10" xfId="0" applyFont="1" applyBorder="1"/>
    <xf numFmtId="0" fontId="77" fillId="0" borderId="6" xfId="0" applyFont="1" applyBorder="1" applyAlignment="1">
      <alignment horizontal="center"/>
    </xf>
    <xf numFmtId="0" fontId="12" fillId="0" borderId="6" xfId="0" applyFont="1" applyBorder="1" applyAlignment="1">
      <alignment horizontal="center"/>
    </xf>
    <xf numFmtId="0" fontId="12" fillId="0" borderId="11" xfId="0" applyFont="1" applyBorder="1"/>
    <xf numFmtId="0" fontId="80" fillId="0" borderId="0" xfId="0" applyFont="1" applyAlignment="1">
      <alignment horizontal="center"/>
    </xf>
    <xf numFmtId="0" fontId="80" fillId="0" borderId="12" xfId="0" applyFont="1" applyBorder="1" applyAlignment="1">
      <alignment horizontal="center"/>
    </xf>
    <xf numFmtId="0" fontId="12" fillId="0" borderId="7" xfId="0" applyFont="1" applyBorder="1" applyAlignment="1">
      <alignment horizontal="center"/>
    </xf>
    <xf numFmtId="0" fontId="12" fillId="0" borderId="12" xfId="0" applyFont="1" applyBorder="1" applyAlignment="1">
      <alignment horizontal="center"/>
    </xf>
    <xf numFmtId="0" fontId="79" fillId="0" borderId="10" xfId="0" applyFont="1" applyBorder="1"/>
    <xf numFmtId="0" fontId="80" fillId="0" borderId="6" xfId="0" applyFont="1" applyBorder="1" applyAlignment="1">
      <alignment horizontal="center"/>
    </xf>
    <xf numFmtId="0" fontId="80" fillId="0" borderId="7" xfId="0" applyFont="1" applyBorder="1" applyAlignment="1">
      <alignment horizontal="center"/>
    </xf>
    <xf numFmtId="0" fontId="80" fillId="0" borderId="11" xfId="0" applyFont="1" applyBorder="1"/>
    <xf numFmtId="0" fontId="12" fillId="10" borderId="11" xfId="0" applyFont="1" applyFill="1" applyBorder="1"/>
    <xf numFmtId="0" fontId="12" fillId="10" borderId="37" xfId="0" applyFont="1" applyFill="1" applyBorder="1"/>
    <xf numFmtId="10" fontId="12" fillId="10" borderId="25" xfId="0" applyNumberFormat="1" applyFont="1" applyFill="1" applyBorder="1" applyAlignment="1">
      <alignment horizontal="center"/>
    </xf>
    <xf numFmtId="10" fontId="12" fillId="10" borderId="25" xfId="3" applyNumberFormat="1" applyFont="1" applyFill="1" applyBorder="1" applyAlignment="1">
      <alignment horizontal="center"/>
    </xf>
    <xf numFmtId="10" fontId="12" fillId="10" borderId="26" xfId="0" applyNumberFormat="1" applyFont="1" applyFill="1" applyBorder="1" applyAlignment="1">
      <alignment horizontal="center"/>
    </xf>
    <xf numFmtId="0" fontId="12" fillId="10" borderId="1" xfId="0" applyFont="1" applyFill="1" applyBorder="1"/>
    <xf numFmtId="44" fontId="12" fillId="10" borderId="1" xfId="0" applyNumberFormat="1" applyFont="1" applyFill="1" applyBorder="1" applyAlignment="1">
      <alignment horizontal="center"/>
    </xf>
    <xf numFmtId="10" fontId="12" fillId="10" borderId="1" xfId="0" applyNumberFormat="1" applyFont="1" applyFill="1" applyBorder="1" applyAlignment="1">
      <alignment horizontal="center"/>
    </xf>
    <xf numFmtId="0" fontId="12" fillId="0" borderId="1" xfId="0" applyFont="1" applyBorder="1" applyAlignment="1">
      <alignment wrapText="1"/>
    </xf>
    <xf numFmtId="0" fontId="12" fillId="10" borderId="36" xfId="0" applyFont="1" applyFill="1" applyBorder="1"/>
    <xf numFmtId="10" fontId="12" fillId="10" borderId="24" xfId="3" applyNumberFormat="1" applyFont="1" applyFill="1" applyBorder="1" applyAlignment="1">
      <alignment horizontal="center"/>
    </xf>
    <xf numFmtId="0" fontId="12" fillId="0" borderId="9" xfId="0" applyFont="1" applyBorder="1" applyAlignment="1">
      <alignment horizontal="center"/>
    </xf>
    <xf numFmtId="0" fontId="12" fillId="0" borderId="29" xfId="0" applyFont="1" applyBorder="1" applyAlignment="1">
      <alignment horizontal="center"/>
    </xf>
    <xf numFmtId="10" fontId="32" fillId="10" borderId="3" xfId="0" applyNumberFormat="1" applyFont="1" applyFill="1" applyBorder="1" applyAlignment="1">
      <alignment horizontal="center"/>
    </xf>
    <xf numFmtId="0" fontId="82" fillId="5" borderId="14" xfId="0" applyFont="1" applyFill="1" applyBorder="1" applyAlignment="1">
      <alignment horizontal="center" vertical="center" wrapText="1"/>
    </xf>
    <xf numFmtId="0" fontId="82" fillId="5" borderId="23" xfId="0" applyFont="1" applyFill="1" applyBorder="1" applyAlignment="1">
      <alignment horizontal="center" vertical="center" wrapText="1"/>
    </xf>
    <xf numFmtId="0" fontId="83" fillId="5" borderId="22" xfId="0" applyFont="1" applyFill="1" applyBorder="1" applyAlignment="1">
      <alignment vertical="center"/>
    </xf>
    <xf numFmtId="0" fontId="83" fillId="10" borderId="1" xfId="0" applyFont="1" applyFill="1" applyBorder="1" applyAlignment="1">
      <alignment horizontal="left" vertical="top" wrapText="1"/>
    </xf>
    <xf numFmtId="0" fontId="83" fillId="10" borderId="24" xfId="0" applyFont="1" applyFill="1" applyBorder="1" applyAlignment="1">
      <alignment horizontal="left" vertical="top" wrapText="1"/>
    </xf>
    <xf numFmtId="9" fontId="83" fillId="10" borderId="1" xfId="3" applyFont="1" applyFill="1" applyBorder="1" applyAlignment="1">
      <alignment horizontal="left" vertical="top" wrapText="1"/>
    </xf>
    <xf numFmtId="0" fontId="83" fillId="5" borderId="27" xfId="0" applyFont="1" applyFill="1" applyBorder="1"/>
    <xf numFmtId="0" fontId="83" fillId="5" borderId="28" xfId="0" applyFont="1" applyFill="1" applyBorder="1"/>
    <xf numFmtId="10" fontId="83" fillId="10" borderId="25" xfId="3" applyNumberFormat="1" applyFont="1" applyFill="1" applyBorder="1" applyAlignment="1">
      <alignment horizontal="left" vertical="top" wrapText="1"/>
    </xf>
    <xf numFmtId="0" fontId="83" fillId="10" borderId="26" xfId="0" applyFont="1" applyFill="1" applyBorder="1" applyAlignment="1">
      <alignment horizontal="left" vertical="top" wrapText="1"/>
    </xf>
    <xf numFmtId="0" fontId="32" fillId="10" borderId="39" xfId="0" applyFont="1" applyFill="1" applyBorder="1"/>
    <xf numFmtId="0" fontId="32" fillId="0" borderId="0" xfId="0" applyFont="1" applyAlignment="1">
      <alignment horizontal="center"/>
    </xf>
    <xf numFmtId="0" fontId="32" fillId="0" borderId="12" xfId="0" applyFont="1" applyBorder="1"/>
    <xf numFmtId="0" fontId="15" fillId="0" borderId="0" xfId="0" applyFont="1" applyAlignment="1">
      <alignment horizontal="center"/>
    </xf>
    <xf numFmtId="0" fontId="15" fillId="0" borderId="12" xfId="0" applyFont="1" applyBorder="1"/>
    <xf numFmtId="0" fontId="15" fillId="0" borderId="9" xfId="0" applyFont="1" applyBorder="1" applyAlignment="1">
      <alignment horizontal="center"/>
    </xf>
    <xf numFmtId="0" fontId="15" fillId="0" borderId="29" xfId="0" applyFont="1" applyBorder="1"/>
    <xf numFmtId="0" fontId="81" fillId="5" borderId="22" xfId="0" applyFont="1" applyFill="1" applyBorder="1" applyAlignment="1">
      <alignment horizontal="center" vertical="center" wrapText="1"/>
    </xf>
    <xf numFmtId="44" fontId="63" fillId="2" borderId="1" xfId="0" applyNumberFormat="1" applyFont="1" applyFill="1" applyBorder="1"/>
    <xf numFmtId="44" fontId="63" fillId="2" borderId="1" xfId="2" applyFont="1" applyFill="1" applyBorder="1"/>
    <xf numFmtId="2" fontId="63" fillId="2" borderId="1" xfId="0" applyNumberFormat="1" applyFont="1" applyFill="1" applyBorder="1"/>
    <xf numFmtId="10" fontId="63" fillId="2" borderId="1" xfId="3" applyNumberFormat="1" applyFont="1" applyFill="1" applyBorder="1"/>
    <xf numFmtId="10" fontId="63" fillId="2" borderId="1" xfId="0" applyNumberFormat="1" applyFont="1" applyFill="1" applyBorder="1"/>
    <xf numFmtId="4" fontId="63" fillId="2" borderId="1" xfId="0" applyNumberFormat="1" applyFont="1" applyFill="1" applyBorder="1"/>
    <xf numFmtId="0" fontId="84" fillId="0" borderId="0" xfId="0" applyFont="1"/>
    <xf numFmtId="0" fontId="87" fillId="0" borderId="0" xfId="0" applyFont="1"/>
    <xf numFmtId="0" fontId="63" fillId="0" borderId="1" xfId="0" applyFont="1" applyBorder="1"/>
    <xf numFmtId="44" fontId="63" fillId="6" borderId="2" xfId="2" applyFont="1" applyFill="1" applyBorder="1"/>
    <xf numFmtId="8" fontId="63" fillId="6" borderId="2" xfId="0" applyNumberFormat="1" applyFont="1" applyFill="1" applyBorder="1"/>
    <xf numFmtId="0" fontId="63" fillId="0" borderId="1" xfId="0" applyFont="1" applyBorder="1" applyAlignment="1">
      <alignment horizontal="center"/>
    </xf>
    <xf numFmtId="3" fontId="63" fillId="0" borderId="1" xfId="0" applyNumberFormat="1" applyFont="1" applyBorder="1" applyAlignment="1">
      <alignment horizontal="center"/>
    </xf>
    <xf numFmtId="10" fontId="77" fillId="0" borderId="1" xfId="0" applyNumberFormat="1" applyFont="1" applyBorder="1" applyAlignment="1">
      <alignment horizontal="center"/>
    </xf>
    <xf numFmtId="165" fontId="77" fillId="0" borderId="1" xfId="1" applyNumberFormat="1" applyFont="1" applyBorder="1" applyAlignment="1">
      <alignment horizontal="center"/>
    </xf>
    <xf numFmtId="10" fontId="63" fillId="0" borderId="1" xfId="0" applyNumberFormat="1" applyFont="1" applyBorder="1" applyAlignment="1">
      <alignment horizontal="center"/>
    </xf>
    <xf numFmtId="0" fontId="63" fillId="0" borderId="0" xfId="0" applyFont="1" applyAlignment="1">
      <alignment horizontal="center"/>
    </xf>
    <xf numFmtId="169" fontId="63" fillId="0" borderId="1" xfId="0" applyNumberFormat="1" applyFont="1" applyBorder="1" applyAlignment="1">
      <alignment horizontal="center"/>
    </xf>
    <xf numFmtId="0" fontId="77" fillId="0" borderId="13" xfId="0" applyFont="1" applyBorder="1" applyAlignment="1">
      <alignment horizontal="center"/>
    </xf>
    <xf numFmtId="0" fontId="86" fillId="0" borderId="0" xfId="0" applyFont="1"/>
    <xf numFmtId="0" fontId="88" fillId="0" borderId="0" xfId="0" applyFont="1"/>
    <xf numFmtId="0" fontId="89" fillId="0" borderId="0" xfId="0" applyFont="1"/>
    <xf numFmtId="0" fontId="83" fillId="0" borderId="0" xfId="0" applyFont="1"/>
    <xf numFmtId="10" fontId="77" fillId="0" borderId="0" xfId="0" applyNumberFormat="1" applyFont="1"/>
    <xf numFmtId="44" fontId="63" fillId="0" borderId="0" xfId="2" applyFont="1"/>
    <xf numFmtId="164" fontId="77" fillId="0" borderId="13" xfId="0" applyNumberFormat="1" applyFont="1" applyBorder="1" applyAlignment="1">
      <alignment horizontal="center"/>
    </xf>
    <xf numFmtId="0" fontId="81" fillId="0" borderId="0" xfId="0" applyFont="1"/>
    <xf numFmtId="0" fontId="90" fillId="10" borderId="14" xfId="0" applyFont="1" applyFill="1" applyBorder="1"/>
    <xf numFmtId="0" fontId="91" fillId="10" borderId="14" xfId="0" applyFont="1" applyFill="1" applyBorder="1"/>
    <xf numFmtId="0" fontId="91" fillId="10" borderId="1" xfId="0" applyFont="1" applyFill="1" applyBorder="1"/>
    <xf numFmtId="10" fontId="91" fillId="10" borderId="1" xfId="3" applyNumberFormat="1" applyFont="1" applyFill="1" applyBorder="1"/>
    <xf numFmtId="0" fontId="63" fillId="6" borderId="2" xfId="0" applyFont="1" applyFill="1" applyBorder="1" applyAlignment="1">
      <alignment horizontal="center"/>
    </xf>
    <xf numFmtId="44" fontId="63" fillId="6" borderId="1" xfId="0" applyNumberFormat="1" applyFont="1" applyFill="1" applyBorder="1"/>
    <xf numFmtId="164" fontId="63" fillId="6" borderId="2" xfId="0" applyNumberFormat="1" applyFont="1" applyFill="1" applyBorder="1"/>
    <xf numFmtId="10" fontId="63" fillId="6" borderId="2" xfId="0" applyNumberFormat="1" applyFont="1" applyFill="1" applyBorder="1"/>
    <xf numFmtId="2" fontId="77" fillId="6" borderId="2" xfId="0" applyNumberFormat="1" applyFont="1" applyFill="1" applyBorder="1" applyAlignment="1">
      <alignment horizontal="center"/>
    </xf>
    <xf numFmtId="0" fontId="77" fillId="6" borderId="4" xfId="0" applyFont="1" applyFill="1" applyBorder="1" applyAlignment="1">
      <alignment horizontal="center"/>
    </xf>
    <xf numFmtId="10" fontId="77" fillId="6" borderId="2" xfId="3" applyNumberFormat="1" applyFont="1" applyFill="1" applyBorder="1" applyAlignment="1">
      <alignment horizontal="center"/>
    </xf>
    <xf numFmtId="10" fontId="77" fillId="6" borderId="2" xfId="0" applyNumberFormat="1" applyFont="1" applyFill="1" applyBorder="1" applyAlignment="1">
      <alignment horizontal="center"/>
    </xf>
    <xf numFmtId="10" fontId="77" fillId="0" borderId="0" xfId="0" applyNumberFormat="1" applyFont="1" applyAlignment="1">
      <alignment horizontal="center"/>
    </xf>
    <xf numFmtId="10" fontId="84" fillId="0" borderId="0" xfId="0" applyNumberFormat="1" applyFont="1" applyAlignment="1">
      <alignment horizontal="center"/>
    </xf>
    <xf numFmtId="0" fontId="87" fillId="0" borderId="1" xfId="0" applyFont="1" applyBorder="1" applyAlignment="1">
      <alignment horizontal="centerContinuous"/>
    </xf>
    <xf numFmtId="0" fontId="87" fillId="0" borderId="1" xfId="0" applyFont="1" applyBorder="1"/>
    <xf numFmtId="0" fontId="87" fillId="0" borderId="1" xfId="0" applyFont="1" applyBorder="1" applyAlignment="1">
      <alignment horizontal="center"/>
    </xf>
    <xf numFmtId="10" fontId="63" fillId="0" borderId="30" xfId="3" applyNumberFormat="1" applyFont="1" applyBorder="1" applyAlignment="1">
      <alignment horizontal="center"/>
    </xf>
    <xf numFmtId="2" fontId="63" fillId="0" borderId="1" xfId="0" applyNumberFormat="1" applyFont="1" applyBorder="1" applyAlignment="1">
      <alignment horizontal="center"/>
    </xf>
    <xf numFmtId="0" fontId="63" fillId="0" borderId="1" xfId="0" applyFont="1" applyBorder="1" applyAlignment="1">
      <alignment horizontal="centerContinuous"/>
    </xf>
    <xf numFmtId="0" fontId="71" fillId="0" borderId="8" xfId="0" applyFont="1" applyBorder="1"/>
    <xf numFmtId="0" fontId="86" fillId="0" borderId="0" xfId="0" applyFont="1" applyAlignment="1">
      <alignment horizontal="centerContinuous"/>
    </xf>
    <xf numFmtId="0" fontId="83" fillId="3" borderId="1" xfId="0" applyFont="1" applyFill="1" applyBorder="1" applyAlignment="1">
      <alignment horizontal="center"/>
    </xf>
    <xf numFmtId="44" fontId="83" fillId="3" borderId="1" xfId="2" applyFont="1" applyFill="1" applyBorder="1"/>
    <xf numFmtId="2" fontId="88" fillId="0" borderId="1" xfId="0" applyNumberFormat="1" applyFont="1" applyBorder="1" applyAlignment="1">
      <alignment horizontal="center"/>
    </xf>
    <xf numFmtId="2" fontId="88" fillId="0" borderId="0" xfId="0" applyNumberFormat="1" applyFont="1"/>
    <xf numFmtId="2" fontId="83" fillId="0" borderId="0" xfId="0" applyNumberFormat="1" applyFont="1"/>
    <xf numFmtId="1" fontId="88" fillId="0" borderId="1" xfId="0" applyNumberFormat="1" applyFont="1" applyBorder="1" applyAlignment="1">
      <alignment horizontal="center"/>
    </xf>
    <xf numFmtId="2" fontId="88" fillId="3" borderId="1" xfId="0" applyNumberFormat="1" applyFont="1" applyFill="1" applyBorder="1" applyAlignment="1">
      <alignment horizontal="center"/>
    </xf>
    <xf numFmtId="2" fontId="92" fillId="0" borderId="0" xfId="0" applyNumberFormat="1" applyFont="1"/>
    <xf numFmtId="2" fontId="88" fillId="0" borderId="13" xfId="0" applyNumberFormat="1" applyFont="1" applyBorder="1" applyAlignment="1">
      <alignment horizontal="centerContinuous"/>
    </xf>
    <xf numFmtId="2" fontId="88" fillId="0" borderId="18" xfId="0" applyNumberFormat="1" applyFont="1" applyBorder="1" applyAlignment="1">
      <alignment horizontal="centerContinuous"/>
    </xf>
    <xf numFmtId="44" fontId="88" fillId="0" borderId="1" xfId="2" applyFont="1" applyBorder="1"/>
    <xf numFmtId="2" fontId="88" fillId="0" borderId="3" xfId="0" applyNumberFormat="1" applyFont="1" applyBorder="1" applyAlignment="1">
      <alignment horizontal="center"/>
    </xf>
    <xf numFmtId="44" fontId="88" fillId="0" borderId="3" xfId="2" applyFont="1" applyBorder="1"/>
    <xf numFmtId="44" fontId="83" fillId="0" borderId="2" xfId="2" applyFont="1" applyBorder="1"/>
    <xf numFmtId="44" fontId="88" fillId="0" borderId="0" xfId="2" applyFont="1"/>
    <xf numFmtId="44" fontId="83" fillId="0" borderId="0" xfId="2" applyFont="1"/>
    <xf numFmtId="164" fontId="83" fillId="0" borderId="19" xfId="0" applyNumberFormat="1" applyFont="1" applyBorder="1"/>
    <xf numFmtId="6" fontId="83" fillId="0" borderId="1" xfId="2" applyNumberFormat="1" applyFont="1" applyBorder="1"/>
    <xf numFmtId="0" fontId="64" fillId="0" borderId="1" xfId="0" applyFont="1" applyBorder="1" applyAlignment="1">
      <alignment vertical="center"/>
    </xf>
    <xf numFmtId="10" fontId="64" fillId="6" borderId="1" xfId="0" applyNumberFormat="1" applyFont="1" applyFill="1" applyBorder="1" applyAlignment="1">
      <alignment horizontal="center" vertical="center"/>
    </xf>
    <xf numFmtId="0" fontId="50" fillId="0" borderId="1" xfId="0" applyFont="1" applyBorder="1" applyAlignment="1">
      <alignment horizontal="center" wrapText="1"/>
    </xf>
    <xf numFmtId="0" fontId="50" fillId="0" borderId="18" xfId="0" applyFont="1" applyBorder="1" applyAlignment="1">
      <alignment horizontal="center" wrapText="1"/>
    </xf>
    <xf numFmtId="0" fontId="50" fillId="0" borderId="0" xfId="0" applyFont="1" applyAlignment="1">
      <alignment vertical="center"/>
    </xf>
    <xf numFmtId="0" fontId="68" fillId="0" borderId="1" xfId="0" applyFont="1" applyBorder="1" applyAlignment="1">
      <alignment horizontal="center"/>
    </xf>
    <xf numFmtId="10" fontId="64" fillId="6" borderId="14" xfId="3" applyNumberFormat="1" applyFont="1" applyFill="1" applyBorder="1" applyAlignment="1">
      <alignment horizontal="center"/>
    </xf>
    <xf numFmtId="10" fontId="64" fillId="6" borderId="1" xfId="3" applyNumberFormat="1" applyFont="1" applyFill="1" applyBorder="1" applyAlignment="1">
      <alignment horizontal="center"/>
    </xf>
    <xf numFmtId="10" fontId="64" fillId="6" borderId="1" xfId="0" applyNumberFormat="1" applyFont="1" applyFill="1" applyBorder="1" applyAlignment="1">
      <alignment horizontal="center"/>
    </xf>
    <xf numFmtId="2" fontId="64" fillId="6" borderId="1" xfId="0" applyNumberFormat="1" applyFont="1" applyFill="1" applyBorder="1" applyAlignment="1">
      <alignment horizontal="center"/>
    </xf>
    <xf numFmtId="2" fontId="64" fillId="6" borderId="0" xfId="0" applyNumberFormat="1" applyFont="1" applyFill="1" applyAlignment="1">
      <alignment horizontal="center"/>
    </xf>
    <xf numFmtId="9" fontId="64" fillId="0" borderId="0" xfId="0" applyNumberFormat="1" applyFont="1" applyAlignment="1">
      <alignment horizontal="center"/>
    </xf>
    <xf numFmtId="1" fontId="64" fillId="4" borderId="1" xfId="0" applyNumberFormat="1" applyFont="1" applyFill="1" applyBorder="1" applyAlignment="1">
      <alignment horizontal="center"/>
    </xf>
    <xf numFmtId="44" fontId="69" fillId="8" borderId="18" xfId="0" applyNumberFormat="1" applyFont="1" applyFill="1" applyBorder="1"/>
    <xf numFmtId="0" fontId="83" fillId="0" borderId="1" xfId="0" applyFont="1" applyBorder="1"/>
    <xf numFmtId="0" fontId="83" fillId="0" borderId="0" xfId="0" applyFont="1" applyAlignment="1">
      <alignment horizontal="center"/>
    </xf>
    <xf numFmtId="2" fontId="12" fillId="10" borderId="1" xfId="0" applyNumberFormat="1" applyFont="1" applyFill="1" applyBorder="1" applyAlignment="1">
      <alignment horizontal="center"/>
    </xf>
    <xf numFmtId="0" fontId="89" fillId="0" borderId="1" xfId="0" applyFont="1" applyBorder="1" applyAlignment="1">
      <alignment horizontal="center"/>
    </xf>
    <xf numFmtId="164" fontId="70" fillId="4" borderId="1" xfId="0" applyNumberFormat="1" applyFont="1" applyFill="1" applyBorder="1" applyAlignment="1">
      <alignment horizontal="center"/>
    </xf>
    <xf numFmtId="164" fontId="70" fillId="4" borderId="1" xfId="0" applyNumberFormat="1" applyFont="1" applyFill="1" applyBorder="1"/>
    <xf numFmtId="10" fontId="70" fillId="4" borderId="1" xfId="3" applyNumberFormat="1" applyFont="1" applyFill="1" applyBorder="1" applyAlignment="1">
      <alignment horizontal="center"/>
    </xf>
    <xf numFmtId="10" fontId="70" fillId="4" borderId="1" xfId="3" applyNumberFormat="1" applyFont="1" applyFill="1" applyBorder="1"/>
    <xf numFmtId="0" fontId="70" fillId="4" borderId="1" xfId="0" applyFont="1" applyFill="1" applyBorder="1" applyAlignment="1">
      <alignment horizontal="center"/>
    </xf>
    <xf numFmtId="0" fontId="89" fillId="0" borderId="5" xfId="0" applyFont="1" applyBorder="1" applyAlignment="1">
      <alignment horizontal="center"/>
    </xf>
    <xf numFmtId="0" fontId="83" fillId="6" borderId="1" xfId="0" applyFont="1" applyFill="1" applyBorder="1"/>
    <xf numFmtId="10" fontId="83" fillId="6" borderId="1" xfId="3" applyNumberFormat="1" applyFont="1" applyFill="1" applyBorder="1" applyAlignment="1">
      <alignment horizontal="center"/>
    </xf>
    <xf numFmtId="10" fontId="83" fillId="6" borderId="1" xfId="0" applyNumberFormat="1" applyFont="1" applyFill="1" applyBorder="1" applyAlignment="1">
      <alignment horizontal="center"/>
    </xf>
    <xf numFmtId="44" fontId="83" fillId="6" borderId="1" xfId="2" applyFont="1" applyFill="1" applyBorder="1"/>
    <xf numFmtId="44" fontId="83" fillId="6" borderId="1" xfId="2" applyFont="1" applyFill="1" applyBorder="1" applyAlignment="1">
      <alignment horizontal="center"/>
    </xf>
    <xf numFmtId="10" fontId="83" fillId="6" borderId="1" xfId="3" applyNumberFormat="1" applyFont="1" applyFill="1" applyBorder="1"/>
    <xf numFmtId="10" fontId="83" fillId="6" borderId="1" xfId="2" applyNumberFormat="1" applyFont="1" applyFill="1" applyBorder="1"/>
    <xf numFmtId="10" fontId="83" fillId="6" borderId="1" xfId="2" applyNumberFormat="1" applyFont="1" applyFill="1" applyBorder="1" applyAlignment="1">
      <alignment horizontal="center"/>
    </xf>
    <xf numFmtId="44" fontId="83" fillId="6" borderId="1" xfId="0" applyNumberFormat="1" applyFont="1" applyFill="1" applyBorder="1" applyAlignment="1">
      <alignment horizontal="center"/>
    </xf>
    <xf numFmtId="44" fontId="83" fillId="6" borderId="1" xfId="0" applyNumberFormat="1" applyFont="1" applyFill="1" applyBorder="1"/>
    <xf numFmtId="0" fontId="83" fillId="6" borderId="1" xfId="0" applyFont="1" applyFill="1" applyBorder="1" applyAlignment="1">
      <alignment horizontal="center"/>
    </xf>
    <xf numFmtId="0" fontId="83" fillId="6" borderId="3" xfId="0" applyFont="1" applyFill="1" applyBorder="1"/>
    <xf numFmtId="169" fontId="83" fillId="6" borderId="3" xfId="0" applyNumberFormat="1" applyFont="1" applyFill="1" applyBorder="1" applyAlignment="1">
      <alignment horizontal="center"/>
    </xf>
    <xf numFmtId="0" fontId="83" fillId="6" borderId="3" xfId="0" applyFont="1" applyFill="1" applyBorder="1" applyAlignment="1">
      <alignment horizontal="center"/>
    </xf>
    <xf numFmtId="44" fontId="83" fillId="0" borderId="0" xfId="0" applyNumberFormat="1" applyFont="1" applyAlignment="1">
      <alignment horizontal="center"/>
    </xf>
    <xf numFmtId="44" fontId="83" fillId="0" borderId="0" xfId="0" applyNumberFormat="1" applyFont="1" applyAlignment="1">
      <alignment horizontal="left"/>
    </xf>
    <xf numFmtId="10" fontId="83" fillId="6" borderId="1" xfId="0" applyNumberFormat="1" applyFont="1" applyFill="1" applyBorder="1"/>
    <xf numFmtId="164" fontId="83" fillId="6" borderId="1" xfId="0" applyNumberFormat="1" applyFont="1" applyFill="1" applyBorder="1"/>
    <xf numFmtId="8" fontId="83" fillId="6" borderId="1" xfId="0" applyNumberFormat="1" applyFont="1" applyFill="1" applyBorder="1"/>
    <xf numFmtId="43" fontId="83" fillId="6" borderId="1" xfId="1" applyFont="1" applyFill="1" applyBorder="1"/>
    <xf numFmtId="44" fontId="94" fillId="6" borderId="1" xfId="2" applyFont="1" applyFill="1" applyBorder="1"/>
    <xf numFmtId="0" fontId="95" fillId="0" borderId="1" xfId="0" applyFont="1" applyBorder="1"/>
    <xf numFmtId="2" fontId="83" fillId="6" borderId="1" xfId="0" applyNumberFormat="1" applyFont="1" applyFill="1" applyBorder="1" applyAlignment="1">
      <alignment horizontal="center"/>
    </xf>
    <xf numFmtId="168" fontId="83" fillId="6" borderId="1" xfId="0" applyNumberFormat="1" applyFont="1" applyFill="1" applyBorder="1"/>
    <xf numFmtId="168" fontId="83" fillId="6" borderId="1" xfId="0" applyNumberFormat="1" applyFont="1" applyFill="1" applyBorder="1" applyAlignment="1">
      <alignment horizontal="center"/>
    </xf>
    <xf numFmtId="44" fontId="83" fillId="6" borderId="1" xfId="3" applyNumberFormat="1" applyFont="1" applyFill="1" applyBorder="1"/>
    <xf numFmtId="44" fontId="83" fillId="0" borderId="0" xfId="0" applyNumberFormat="1" applyFont="1"/>
    <xf numFmtId="0" fontId="83" fillId="0" borderId="13" xfId="0" applyFont="1" applyBorder="1" applyAlignment="1">
      <alignment horizontal="center"/>
    </xf>
    <xf numFmtId="10" fontId="83" fillId="6" borderId="13" xfId="0" applyNumberFormat="1" applyFont="1" applyFill="1" applyBorder="1" applyAlignment="1">
      <alignment horizontal="center"/>
    </xf>
    <xf numFmtId="44" fontId="93" fillId="11" borderId="13" xfId="2" applyFont="1" applyFill="1" applyBorder="1" applyAlignment="1">
      <alignment horizontal="center"/>
    </xf>
    <xf numFmtId="10" fontId="83" fillId="6" borderId="13" xfId="2" applyNumberFormat="1" applyFont="1" applyFill="1" applyBorder="1" applyAlignment="1">
      <alignment horizontal="center"/>
    </xf>
    <xf numFmtId="44" fontId="83" fillId="6" borderId="13" xfId="2" applyFont="1" applyFill="1" applyBorder="1" applyAlignment="1">
      <alignment horizontal="center"/>
    </xf>
    <xf numFmtId="44" fontId="83" fillId="6" borderId="13" xfId="0" applyNumberFormat="1" applyFont="1" applyFill="1" applyBorder="1" applyAlignment="1">
      <alignment horizontal="center"/>
    </xf>
    <xf numFmtId="44" fontId="83" fillId="6" borderId="13" xfId="2" applyFont="1" applyFill="1" applyBorder="1"/>
    <xf numFmtId="0" fontId="83" fillId="0" borderId="51" xfId="0" applyFont="1" applyBorder="1"/>
    <xf numFmtId="0" fontId="81" fillId="0" borderId="19" xfId="0" applyFont="1" applyBorder="1" applyAlignment="1">
      <alignment horizontal="center"/>
    </xf>
    <xf numFmtId="44" fontId="81" fillId="6" borderId="52" xfId="0" applyNumberFormat="1" applyFont="1" applyFill="1" applyBorder="1"/>
    <xf numFmtId="0" fontId="81" fillId="0" borderId="51" xfId="0" applyFont="1" applyBorder="1"/>
    <xf numFmtId="44" fontId="81" fillId="6" borderId="53" xfId="0" applyNumberFormat="1" applyFont="1" applyFill="1" applyBorder="1"/>
    <xf numFmtId="0" fontId="41" fillId="0" borderId="0" xfId="0" applyFont="1" applyAlignment="1">
      <alignment horizontal="center"/>
    </xf>
    <xf numFmtId="44" fontId="3" fillId="10" borderId="1" xfId="0" applyNumberFormat="1" applyFont="1" applyFill="1" applyBorder="1" applyAlignment="1">
      <alignment horizontal="center"/>
    </xf>
    <xf numFmtId="173" fontId="38" fillId="0" borderId="46" xfId="0" applyNumberFormat="1" applyFont="1" applyBorder="1" applyAlignment="1">
      <alignment horizontal="center"/>
    </xf>
    <xf numFmtId="164" fontId="39" fillId="0" borderId="24" xfId="2" applyNumberFormat="1" applyFont="1" applyBorder="1" applyAlignment="1">
      <alignment horizontal="center"/>
    </xf>
    <xf numFmtId="164" fontId="39" fillId="0" borderId="26" xfId="2" applyNumberFormat="1" applyFont="1" applyBorder="1" applyAlignment="1">
      <alignment horizontal="center"/>
    </xf>
    <xf numFmtId="0" fontId="39" fillId="10" borderId="5" xfId="0" applyFont="1" applyFill="1" applyBorder="1" applyAlignment="1">
      <alignment horizontal="left" wrapText="1"/>
    </xf>
    <xf numFmtId="0" fontId="39" fillId="10" borderId="38" xfId="0" applyFont="1" applyFill="1" applyBorder="1" applyAlignment="1">
      <alignment wrapText="1"/>
    </xf>
    <xf numFmtId="0" fontId="39" fillId="10" borderId="16" xfId="0" applyFont="1" applyFill="1" applyBorder="1" applyAlignment="1">
      <alignment wrapText="1"/>
    </xf>
    <xf numFmtId="0" fontId="63" fillId="0" borderId="11" xfId="0" applyFont="1" applyBorder="1"/>
    <xf numFmtId="0" fontId="63" fillId="0" borderId="12" xfId="0" applyFont="1" applyBorder="1"/>
    <xf numFmtId="0" fontId="63" fillId="0" borderId="14" xfId="0" applyFont="1" applyBorder="1"/>
    <xf numFmtId="0" fontId="63" fillId="0" borderId="36" xfId="0" applyFont="1" applyBorder="1"/>
    <xf numFmtId="10" fontId="63" fillId="0" borderId="1" xfId="0" applyNumberFormat="1" applyFont="1" applyBorder="1"/>
    <xf numFmtId="175" fontId="63" fillId="0" borderId="1" xfId="0" applyNumberFormat="1" applyFont="1" applyBorder="1"/>
    <xf numFmtId="10" fontId="63" fillId="0" borderId="12" xfId="0" applyNumberFormat="1" applyFont="1" applyBorder="1"/>
    <xf numFmtId="44" fontId="63" fillId="10" borderId="31" xfId="0" applyNumberFormat="1" applyFont="1" applyFill="1" applyBorder="1"/>
    <xf numFmtId="0" fontId="63" fillId="10" borderId="1" xfId="0" applyFont="1" applyFill="1" applyBorder="1" applyAlignment="1">
      <alignment horizontal="center"/>
    </xf>
    <xf numFmtId="0" fontId="63" fillId="0" borderId="12" xfId="0" applyFont="1" applyBorder="1" applyAlignment="1">
      <alignment horizontal="center"/>
    </xf>
    <xf numFmtId="0" fontId="63" fillId="10" borderId="36" xfId="0" applyFont="1" applyFill="1" applyBorder="1"/>
    <xf numFmtId="10" fontId="63" fillId="10" borderId="1" xfId="0" applyNumberFormat="1" applyFont="1" applyFill="1" applyBorder="1"/>
    <xf numFmtId="168" fontId="63" fillId="0" borderId="1" xfId="0" applyNumberFormat="1" applyFont="1" applyBorder="1"/>
    <xf numFmtId="168" fontId="63" fillId="10" borderId="1" xfId="0" applyNumberFormat="1" applyFont="1" applyFill="1" applyBorder="1"/>
    <xf numFmtId="10" fontId="63" fillId="10" borderId="36" xfId="0" applyNumberFormat="1" applyFont="1" applyFill="1" applyBorder="1"/>
    <xf numFmtId="10" fontId="63" fillId="10" borderId="24" xfId="0" applyNumberFormat="1" applyFont="1" applyFill="1" applyBorder="1"/>
    <xf numFmtId="175" fontId="63" fillId="10" borderId="24" xfId="0" applyNumberFormat="1" applyFont="1" applyFill="1" applyBorder="1"/>
    <xf numFmtId="0" fontId="63" fillId="10" borderId="1" xfId="0" applyFont="1" applyFill="1" applyBorder="1"/>
    <xf numFmtId="44" fontId="63" fillId="10" borderId="1" xfId="0" applyNumberFormat="1" applyFont="1" applyFill="1" applyBorder="1"/>
    <xf numFmtId="43" fontId="63" fillId="10" borderId="36" xfId="0" applyNumberFormat="1" applyFont="1" applyFill="1" applyBorder="1"/>
    <xf numFmtId="43" fontId="63" fillId="10" borderId="24" xfId="0" applyNumberFormat="1" applyFont="1" applyFill="1" applyBorder="1"/>
    <xf numFmtId="10" fontId="63" fillId="0" borderId="0" xfId="0" applyNumberFormat="1" applyFont="1"/>
    <xf numFmtId="0" fontId="63" fillId="0" borderId="39" xfId="0" applyFont="1" applyBorder="1"/>
    <xf numFmtId="164" fontId="63" fillId="0" borderId="15" xfId="0" applyNumberFormat="1" applyFont="1" applyBorder="1"/>
    <xf numFmtId="169" fontId="63" fillId="0" borderId="1" xfId="0" applyNumberFormat="1" applyFont="1" applyBorder="1"/>
    <xf numFmtId="10" fontId="63" fillId="10" borderId="1" xfId="3" applyNumberFormat="1" applyFont="1" applyFill="1" applyBorder="1"/>
    <xf numFmtId="2" fontId="63" fillId="10" borderId="1" xfId="0" applyNumberFormat="1" applyFont="1" applyFill="1" applyBorder="1"/>
    <xf numFmtId="0" fontId="63" fillId="0" borderId="8" xfId="0" applyFont="1" applyBorder="1"/>
    <xf numFmtId="0" fontId="63" fillId="0" borderId="9" xfId="0" applyFont="1" applyBorder="1"/>
    <xf numFmtId="0" fontId="63" fillId="0" borderId="29" xfId="0" applyFont="1" applyBorder="1"/>
    <xf numFmtId="175" fontId="63" fillId="10" borderId="36" xfId="0" applyNumberFormat="1" applyFont="1" applyFill="1" applyBorder="1"/>
    <xf numFmtId="0" fontId="77" fillId="10" borderId="39" xfId="0" applyFont="1" applyFill="1" applyBorder="1"/>
    <xf numFmtId="164" fontId="77" fillId="10" borderId="50" xfId="0" applyNumberFormat="1" applyFont="1" applyFill="1" applyBorder="1"/>
    <xf numFmtId="0" fontId="85" fillId="10" borderId="36" xfId="0" applyFont="1" applyFill="1" applyBorder="1"/>
    <xf numFmtId="164" fontId="85" fillId="10" borderId="1" xfId="0" applyNumberFormat="1" applyFont="1" applyFill="1" applyBorder="1"/>
    <xf numFmtId="0" fontId="39" fillId="10" borderId="5" xfId="0" applyFont="1" applyFill="1" applyBorder="1" applyAlignment="1">
      <alignment vertical="center" wrapText="1"/>
    </xf>
    <xf numFmtId="0" fontId="97" fillId="0" borderId="3" xfId="0" applyFont="1" applyBorder="1" applyAlignment="1">
      <alignment horizontal="center"/>
    </xf>
    <xf numFmtId="0" fontId="97" fillId="10" borderId="3" xfId="0" applyFont="1" applyFill="1" applyBorder="1" applyAlignment="1">
      <alignment horizontal="center"/>
    </xf>
    <xf numFmtId="0" fontId="96" fillId="0" borderId="1" xfId="0" applyFont="1" applyBorder="1"/>
    <xf numFmtId="175" fontId="96" fillId="0" borderId="1" xfId="0" applyNumberFormat="1" applyFont="1" applyBorder="1" applyAlignment="1">
      <alignment horizontal="center"/>
    </xf>
    <xf numFmtId="175" fontId="96" fillId="10" borderId="1" xfId="0" applyNumberFormat="1" applyFont="1" applyFill="1" applyBorder="1" applyAlignment="1">
      <alignment horizontal="center"/>
    </xf>
    <xf numFmtId="0" fontId="96" fillId="0" borderId="1" xfId="0" applyFont="1" applyBorder="1" applyAlignment="1">
      <alignment vertical="center"/>
    </xf>
    <xf numFmtId="9" fontId="96" fillId="0" borderId="1" xfId="0" applyNumberFormat="1" applyFont="1" applyBorder="1" applyAlignment="1">
      <alignment horizontal="center" vertical="center"/>
    </xf>
    <xf numFmtId="0" fontId="97" fillId="10" borderId="50" xfId="0" applyFont="1" applyFill="1" applyBorder="1" applyAlignment="1">
      <alignment horizontal="center"/>
    </xf>
    <xf numFmtId="175" fontId="96" fillId="10" borderId="24" xfId="0" applyNumberFormat="1" applyFont="1" applyFill="1" applyBorder="1" applyAlignment="1">
      <alignment horizontal="center"/>
    </xf>
    <xf numFmtId="0" fontId="96" fillId="0" borderId="20" xfId="0" applyFont="1" applyBorder="1"/>
    <xf numFmtId="175" fontId="63" fillId="10" borderId="31" xfId="0" applyNumberFormat="1" applyFont="1" applyFill="1" applyBorder="1"/>
    <xf numFmtId="0" fontId="98" fillId="0" borderId="0" xfId="0" applyFont="1"/>
    <xf numFmtId="0" fontId="55" fillId="0" borderId="0" xfId="0" applyFont="1" applyAlignment="1">
      <alignment horizontal="center"/>
    </xf>
    <xf numFmtId="0" fontId="99" fillId="0" borderId="0" xfId="0" applyFont="1"/>
    <xf numFmtId="0" fontId="100" fillId="0" borderId="1" xfId="0" applyFont="1" applyBorder="1"/>
    <xf numFmtId="0" fontId="39" fillId="10" borderId="1" xfId="0" applyFont="1" applyFill="1" applyBorder="1" applyAlignment="1">
      <alignment horizontal="center"/>
    </xf>
    <xf numFmtId="0" fontId="100" fillId="10" borderId="1" xfId="0" applyFont="1" applyFill="1" applyBorder="1" applyAlignment="1">
      <alignment horizontal="center"/>
    </xf>
    <xf numFmtId="0" fontId="24" fillId="10" borderId="1" xfId="0" applyFont="1" applyFill="1" applyBorder="1" applyAlignment="1">
      <alignment horizontal="center"/>
    </xf>
    <xf numFmtId="0" fontId="39" fillId="0" borderId="1" xfId="0" applyFont="1" applyBorder="1"/>
    <xf numFmtId="0" fontId="2" fillId="0" borderId="1" xfId="0" applyFont="1" applyBorder="1"/>
    <xf numFmtId="0" fontId="2" fillId="0" borderId="1" xfId="0" applyFont="1" applyBorder="1" applyAlignment="1">
      <alignment horizontal="left"/>
    </xf>
    <xf numFmtId="0" fontId="101" fillId="0" borderId="1" xfId="0" applyFont="1" applyBorder="1" applyAlignment="1">
      <alignment horizontal="center"/>
    </xf>
    <xf numFmtId="10" fontId="101" fillId="0" borderId="1" xfId="0" applyNumberFormat="1" applyFont="1" applyBorder="1" applyAlignment="1">
      <alignment horizontal="center"/>
    </xf>
    <xf numFmtId="10" fontId="102" fillId="0" borderId="0" xfId="0" applyNumberFormat="1" applyFont="1" applyAlignment="1">
      <alignment horizontal="center"/>
    </xf>
    <xf numFmtId="175" fontId="0" fillId="0" borderId="1" xfId="0" applyNumberFormat="1" applyBorder="1" applyAlignment="1">
      <alignment horizontal="center"/>
    </xf>
    <xf numFmtId="0" fontId="0" fillId="0" borderId="54" xfId="0" applyBorder="1"/>
    <xf numFmtId="0" fontId="0" fillId="0" borderId="54" xfId="0" applyBorder="1" applyAlignment="1">
      <alignment horizontal="center" wrapText="1"/>
    </xf>
    <xf numFmtId="9" fontId="0" fillId="0" borderId="54" xfId="0" applyNumberFormat="1" applyBorder="1" applyAlignment="1">
      <alignment horizontal="center" wrapText="1"/>
    </xf>
    <xf numFmtId="174" fontId="0" fillId="10" borderId="54" xfId="0" applyNumberFormat="1" applyFill="1" applyBorder="1" applyAlignment="1">
      <alignment horizontal="center"/>
    </xf>
    <xf numFmtId="0" fontId="103" fillId="0" borderId="0" xfId="0" applyFont="1" applyAlignment="1">
      <alignment horizontal="left" vertical="top"/>
    </xf>
    <xf numFmtId="170" fontId="103" fillId="0" borderId="0" xfId="0" applyNumberFormat="1" applyFont="1" applyAlignment="1">
      <alignment horizontal="right" vertical="top" wrapText="1"/>
    </xf>
    <xf numFmtId="9" fontId="0" fillId="0" borderId="54" xfId="0" applyNumberFormat="1" applyBorder="1"/>
    <xf numFmtId="0" fontId="56" fillId="0" borderId="1" xfId="0" applyFont="1" applyBorder="1" applyAlignment="1">
      <alignment wrapText="1"/>
    </xf>
    <xf numFmtId="10" fontId="56" fillId="0" borderId="1" xfId="0" applyNumberFormat="1" applyFont="1" applyBorder="1" applyAlignment="1">
      <alignment horizontal="center" wrapText="1"/>
    </xf>
    <xf numFmtId="2" fontId="56" fillId="0" borderId="1" xfId="0" applyNumberFormat="1" applyFont="1" applyBorder="1" applyAlignment="1">
      <alignment horizontal="center" wrapText="1"/>
    </xf>
    <xf numFmtId="10" fontId="32" fillId="0" borderId="0" xfId="0" applyNumberFormat="1" applyFont="1" applyAlignment="1">
      <alignment horizontal="center"/>
    </xf>
    <xf numFmtId="2" fontId="32" fillId="0" borderId="0" xfId="0" applyNumberFormat="1" applyFont="1" applyAlignment="1">
      <alignment horizontal="center"/>
    </xf>
    <xf numFmtId="10" fontId="34" fillId="0" borderId="0" xfId="0" applyNumberFormat="1" applyFont="1" applyAlignment="1">
      <alignment horizontal="center"/>
    </xf>
    <xf numFmtId="0" fontId="56" fillId="0" borderId="0" xfId="0" applyFont="1"/>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39" fillId="0" borderId="3" xfId="0" applyFont="1" applyBorder="1" applyAlignment="1">
      <alignment horizontal="center"/>
    </xf>
    <xf numFmtId="0" fontId="39" fillId="0" borderId="3" xfId="0" applyFont="1" applyBorder="1"/>
    <xf numFmtId="0" fontId="96" fillId="0" borderId="54" xfId="0" applyFont="1" applyBorder="1"/>
    <xf numFmtId="0" fontId="63" fillId="0" borderId="54" xfId="0" applyFont="1" applyBorder="1" applyAlignment="1">
      <alignment horizontal="center"/>
    </xf>
    <xf numFmtId="10" fontId="63" fillId="0" borderId="54" xfId="0" applyNumberFormat="1" applyFont="1" applyBorder="1" applyAlignment="1">
      <alignment horizontal="center"/>
    </xf>
    <xf numFmtId="0" fontId="88" fillId="0" borderId="54" xfId="0" applyFont="1" applyBorder="1" applyAlignment="1">
      <alignment horizontal="left"/>
    </xf>
    <xf numFmtId="0" fontId="88" fillId="0" borderId="54" xfId="0" applyFont="1" applyBorder="1" applyAlignment="1">
      <alignment horizontal="center"/>
    </xf>
    <xf numFmtId="10" fontId="88" fillId="0" borderId="54" xfId="0" applyNumberFormat="1" applyFont="1" applyBorder="1" applyAlignment="1">
      <alignment horizontal="center"/>
    </xf>
    <xf numFmtId="10" fontId="2" fillId="0" borderId="13" xfId="3" applyNumberFormat="1" applyFont="1" applyBorder="1" applyAlignment="1">
      <alignment horizontal="center"/>
    </xf>
    <xf numFmtId="10" fontId="39" fillId="0" borderId="42" xfId="0" applyNumberFormat="1" applyFont="1" applyBorder="1" applyAlignment="1">
      <alignment horizontal="center"/>
    </xf>
    <xf numFmtId="10" fontId="0" fillId="0" borderId="54" xfId="0" applyNumberFormat="1" applyBorder="1" applyAlignment="1">
      <alignment horizontal="center"/>
    </xf>
    <xf numFmtId="0" fontId="71" fillId="0" borderId="0" xfId="0" applyFont="1"/>
    <xf numFmtId="0" fontId="65" fillId="0" borderId="43" xfId="0" applyFont="1" applyBorder="1" applyAlignment="1">
      <alignment horizontal="center"/>
    </xf>
    <xf numFmtId="0" fontId="65" fillId="0" borderId="9" xfId="0" applyFont="1" applyBorder="1" applyAlignment="1">
      <alignment horizontal="center"/>
    </xf>
    <xf numFmtId="0" fontId="65" fillId="0" borderId="41" xfId="0" applyFont="1" applyBorder="1" applyAlignment="1">
      <alignment horizontal="center"/>
    </xf>
    <xf numFmtId="0" fontId="65" fillId="0" borderId="6" xfId="0" applyFont="1" applyBorder="1" applyAlignment="1">
      <alignment horizontal="center"/>
    </xf>
    <xf numFmtId="0" fontId="65" fillId="0" borderId="7" xfId="0" applyFont="1" applyBorder="1" applyAlignment="1">
      <alignment horizontal="center"/>
    </xf>
    <xf numFmtId="0" fontId="65" fillId="0" borderId="10" xfId="0" applyFont="1" applyBorder="1" applyAlignment="1">
      <alignment horizontal="left"/>
    </xf>
    <xf numFmtId="0" fontId="65" fillId="0" borderId="6" xfId="0" applyFont="1" applyBorder="1" applyAlignment="1">
      <alignment horizontal="left"/>
    </xf>
    <xf numFmtId="0" fontId="65" fillId="0" borderId="7" xfId="0" applyFont="1" applyBorder="1" applyAlignment="1">
      <alignment horizontal="left"/>
    </xf>
    <xf numFmtId="0" fontId="69" fillId="0" borderId="20" xfId="0" applyFont="1" applyBorder="1" applyAlignment="1">
      <alignment horizontal="center" wrapText="1"/>
    </xf>
    <xf numFmtId="0" fontId="69" fillId="0" borderId="12" xfId="0" applyFont="1" applyBorder="1" applyAlignment="1">
      <alignment horizontal="center" wrapText="1"/>
    </xf>
    <xf numFmtId="0" fontId="68" fillId="0" borderId="1" xfId="0" applyFont="1" applyBorder="1" applyAlignment="1">
      <alignment horizontal="center"/>
    </xf>
    <xf numFmtId="0" fontId="65" fillId="0" borderId="0" xfId="0" applyFont="1" applyAlignment="1">
      <alignment horizontal="center"/>
    </xf>
    <xf numFmtId="0" fontId="41" fillId="0" borderId="13" xfId="0" applyFont="1" applyBorder="1" applyAlignment="1">
      <alignment horizontal="center"/>
    </xf>
    <xf numFmtId="0" fontId="41" fillId="0" borderId="5" xfId="0" applyFont="1" applyBorder="1" applyAlignment="1">
      <alignment horizontal="center"/>
    </xf>
    <xf numFmtId="0" fontId="41" fillId="0" borderId="18" xfId="0" applyFont="1" applyBorder="1" applyAlignment="1">
      <alignment horizontal="center"/>
    </xf>
    <xf numFmtId="0" fontId="41" fillId="0" borderId="42" xfId="0" applyFont="1" applyBorder="1" applyAlignment="1">
      <alignment horizontal="center"/>
    </xf>
    <xf numFmtId="0" fontId="39" fillId="0" borderId="22" xfId="0" applyFont="1" applyBorder="1" applyAlignment="1">
      <alignment horizontal="left"/>
    </xf>
    <xf numFmtId="0" fontId="39" fillId="0" borderId="5" xfId="0" applyFont="1" applyBorder="1" applyAlignment="1">
      <alignment horizontal="left"/>
    </xf>
    <xf numFmtId="0" fontId="39" fillId="0" borderId="18" xfId="0" applyFont="1" applyBorder="1" applyAlignment="1">
      <alignment horizontal="left"/>
    </xf>
    <xf numFmtId="10" fontId="39" fillId="10" borderId="13" xfId="3" applyNumberFormat="1" applyFont="1" applyFill="1" applyBorder="1" applyAlignment="1">
      <alignment horizontal="center"/>
    </xf>
    <xf numFmtId="10" fontId="39" fillId="10" borderId="18" xfId="3" applyNumberFormat="1" applyFont="1" applyFill="1" applyBorder="1" applyAlignment="1">
      <alignment horizontal="center"/>
    </xf>
    <xf numFmtId="0" fontId="3" fillId="0" borderId="13" xfId="0" applyFont="1" applyBorder="1" applyAlignment="1">
      <alignment horizontal="left"/>
    </xf>
    <xf numFmtId="0" fontId="41" fillId="0" borderId="5" xfId="0" applyFont="1" applyBorder="1" applyAlignment="1">
      <alignment horizontal="left"/>
    </xf>
    <xf numFmtId="0" fontId="41" fillId="0" borderId="18" xfId="0" applyFont="1" applyBorder="1" applyAlignment="1">
      <alignment horizontal="left"/>
    </xf>
    <xf numFmtId="0" fontId="3" fillId="0" borderId="5" xfId="0" applyFont="1" applyBorder="1" applyAlignment="1">
      <alignment horizontal="left"/>
    </xf>
    <xf numFmtId="0" fontId="3" fillId="0" borderId="18" xfId="0" applyFont="1" applyBorder="1" applyAlignment="1">
      <alignment horizontal="left"/>
    </xf>
    <xf numFmtId="0" fontId="35" fillId="0" borderId="13" xfId="0" applyFont="1" applyBorder="1" applyAlignment="1">
      <alignment horizontal="center"/>
    </xf>
    <xf numFmtId="0" fontId="35" fillId="0" borderId="5" xfId="0" applyFont="1" applyBorder="1" applyAlignment="1">
      <alignment horizontal="center"/>
    </xf>
    <xf numFmtId="0" fontId="35" fillId="0" borderId="18" xfId="0" applyFont="1" applyBorder="1" applyAlignment="1">
      <alignment horizontal="center"/>
    </xf>
    <xf numFmtId="0" fontId="1" fillId="10" borderId="15" xfId="0" applyFont="1" applyFill="1" applyBorder="1" applyAlignment="1">
      <alignment horizontal="left" vertical="top" wrapText="1"/>
    </xf>
    <xf numFmtId="0" fontId="5" fillId="10" borderId="16" xfId="0" applyFont="1" applyFill="1" applyBorder="1" applyAlignment="1">
      <alignment horizontal="left" vertical="top" wrapText="1"/>
    </xf>
    <xf numFmtId="0" fontId="5" fillId="10" borderId="17" xfId="0" applyFont="1" applyFill="1" applyBorder="1" applyAlignment="1">
      <alignment horizontal="left" vertical="top" wrapText="1"/>
    </xf>
    <xf numFmtId="0" fontId="5" fillId="10" borderId="20" xfId="0" applyFont="1" applyFill="1" applyBorder="1" applyAlignment="1">
      <alignment horizontal="left" vertical="top" wrapText="1"/>
    </xf>
    <xf numFmtId="0" fontId="5" fillId="10" borderId="0" xfId="0" applyFont="1" applyFill="1" applyAlignment="1">
      <alignment horizontal="left" vertical="top" wrapText="1"/>
    </xf>
    <xf numFmtId="0" fontId="5" fillId="10" borderId="21" xfId="0" applyFont="1" applyFill="1" applyBorder="1" applyAlignment="1">
      <alignment horizontal="left" vertical="top" wrapText="1"/>
    </xf>
    <xf numFmtId="0" fontId="5" fillId="10" borderId="44" xfId="0" applyFont="1" applyFill="1" applyBorder="1" applyAlignment="1">
      <alignment horizontal="left" vertical="top" wrapText="1"/>
    </xf>
    <xf numFmtId="0" fontId="5" fillId="10" borderId="45" xfId="0" applyFont="1" applyFill="1" applyBorder="1" applyAlignment="1">
      <alignment horizontal="left" vertical="top" wrapText="1"/>
    </xf>
    <xf numFmtId="0" fontId="5" fillId="10" borderId="30" xfId="0" applyFont="1" applyFill="1" applyBorder="1" applyAlignment="1">
      <alignment horizontal="left" vertical="top" wrapText="1"/>
    </xf>
    <xf numFmtId="0" fontId="42" fillId="0" borderId="15" xfId="0" applyFont="1" applyBorder="1" applyAlignment="1">
      <alignment horizontal="left" wrapText="1"/>
    </xf>
    <xf numFmtId="0" fontId="43" fillId="0" borderId="16" xfId="0" applyFont="1" applyBorder="1" applyAlignment="1">
      <alignment horizontal="left" wrapText="1"/>
    </xf>
    <xf numFmtId="0" fontId="43" fillId="0" borderId="17" xfId="0" applyFont="1" applyBorder="1" applyAlignment="1">
      <alignment horizontal="left" wrapText="1"/>
    </xf>
    <xf numFmtId="0" fontId="43" fillId="0" borderId="20" xfId="0" applyFont="1" applyBorder="1" applyAlignment="1">
      <alignment horizontal="left" wrapText="1"/>
    </xf>
    <xf numFmtId="0" fontId="43" fillId="0" borderId="0" xfId="0" applyFont="1" applyAlignment="1">
      <alignment horizontal="left" wrapText="1"/>
    </xf>
    <xf numFmtId="0" fontId="43" fillId="0" borderId="21" xfId="0" applyFont="1" applyBorder="1" applyAlignment="1">
      <alignment horizontal="left" wrapText="1"/>
    </xf>
    <xf numFmtId="0" fontId="43" fillId="0" borderId="44" xfId="0" applyFont="1" applyBorder="1" applyAlignment="1">
      <alignment horizontal="left" wrapText="1"/>
    </xf>
    <xf numFmtId="0" fontId="43" fillId="0" borderId="45" xfId="0" applyFont="1" applyBorder="1" applyAlignment="1">
      <alignment horizontal="left" wrapText="1"/>
    </xf>
    <xf numFmtId="0" fontId="43" fillId="0" borderId="30" xfId="0" applyFont="1" applyBorder="1" applyAlignment="1">
      <alignment horizontal="left"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0" fontId="36" fillId="0" borderId="17" xfId="0" applyFont="1" applyBorder="1" applyAlignment="1">
      <alignment horizontal="left" vertical="center" wrapText="1"/>
    </xf>
    <xf numFmtId="0" fontId="36" fillId="0" borderId="20" xfId="0" applyFont="1" applyBorder="1" applyAlignment="1">
      <alignment horizontal="left" vertical="center" wrapText="1"/>
    </xf>
    <xf numFmtId="0" fontId="36" fillId="0" borderId="0" xfId="0" applyFont="1" applyAlignment="1">
      <alignment horizontal="left" vertical="center" wrapText="1"/>
    </xf>
    <xf numFmtId="0" fontId="36" fillId="0" borderId="21" xfId="0" applyFont="1" applyBorder="1" applyAlignment="1">
      <alignment horizontal="left" vertical="center" wrapText="1"/>
    </xf>
    <xf numFmtId="0" fontId="36" fillId="0" borderId="44" xfId="0" applyFont="1" applyBorder="1" applyAlignment="1">
      <alignment horizontal="left" vertical="center" wrapText="1"/>
    </xf>
    <xf numFmtId="0" fontId="36" fillId="0" borderId="45" xfId="0" applyFont="1" applyBorder="1" applyAlignment="1">
      <alignment horizontal="left" vertical="center" wrapText="1"/>
    </xf>
    <xf numFmtId="0" fontId="36" fillId="0" borderId="30" xfId="0" applyFont="1" applyBorder="1" applyAlignment="1">
      <alignment horizontal="left" vertical="center" wrapText="1"/>
    </xf>
    <xf numFmtId="0" fontId="44" fillId="0" borderId="16" xfId="0" applyFont="1" applyBorder="1" applyAlignment="1">
      <alignment horizontal="left" vertical="center" wrapText="1"/>
    </xf>
    <xf numFmtId="0" fontId="39" fillId="0" borderId="16" xfId="0" applyFont="1" applyBorder="1" applyAlignment="1">
      <alignment horizontal="left" vertical="center" wrapText="1"/>
    </xf>
    <xf numFmtId="0" fontId="39" fillId="0" borderId="17" xfId="0" applyFont="1" applyBorder="1" applyAlignment="1">
      <alignment horizontal="left" vertical="center" wrapText="1"/>
    </xf>
    <xf numFmtId="0" fontId="39" fillId="0" borderId="0" xfId="0" applyFont="1" applyAlignment="1">
      <alignment horizontal="left" vertical="center" wrapText="1"/>
    </xf>
    <xf numFmtId="0" fontId="39" fillId="0" borderId="21" xfId="0" applyFont="1" applyBorder="1" applyAlignment="1">
      <alignment horizontal="left" vertical="center" wrapText="1"/>
    </xf>
    <xf numFmtId="0" fontId="39" fillId="0" borderId="45" xfId="0" applyFont="1" applyBorder="1" applyAlignment="1">
      <alignment horizontal="left" vertical="center" wrapText="1"/>
    </xf>
    <xf numFmtId="0" fontId="39" fillId="0" borderId="30" xfId="0" applyFont="1" applyBorder="1" applyAlignment="1">
      <alignment horizontal="left" vertical="center" wrapText="1"/>
    </xf>
    <xf numFmtId="0" fontId="36" fillId="0" borderId="11" xfId="0" applyFont="1" applyBorder="1" applyAlignment="1">
      <alignment horizontal="left" vertical="center" wrapText="1"/>
    </xf>
    <xf numFmtId="168" fontId="39" fillId="0" borderId="13" xfId="2" applyNumberFormat="1" applyFont="1" applyFill="1" applyBorder="1" applyAlignment="1">
      <alignment horizontal="right"/>
    </xf>
    <xf numFmtId="168" fontId="39" fillId="0" borderId="5" xfId="2" applyNumberFormat="1" applyFont="1" applyFill="1" applyBorder="1" applyAlignment="1">
      <alignment horizontal="right"/>
    </xf>
    <xf numFmtId="0" fontId="39" fillId="0" borderId="36" xfId="0" applyFont="1" applyBorder="1" applyAlignment="1">
      <alignment horizontal="left"/>
    </xf>
    <xf numFmtId="0" fontId="39" fillId="0" borderId="1" xfId="0" applyFont="1" applyBorder="1" applyAlignment="1">
      <alignment horizontal="left"/>
    </xf>
    <xf numFmtId="0" fontId="39" fillId="0" borderId="37" xfId="0" applyFont="1" applyBorder="1" applyAlignment="1">
      <alignment horizontal="left"/>
    </xf>
    <xf numFmtId="0" fontId="39" fillId="0" borderId="25" xfId="0" applyFont="1" applyBorder="1" applyAlignment="1">
      <alignment horizontal="left"/>
    </xf>
    <xf numFmtId="0" fontId="39" fillId="0" borderId="43" xfId="0" applyFont="1" applyBorder="1" applyAlignment="1">
      <alignment horizontal="right"/>
    </xf>
    <xf numFmtId="0" fontId="39" fillId="0" borderId="41" xfId="0" applyFont="1" applyBorder="1" applyAlignment="1">
      <alignment horizontal="right"/>
    </xf>
    <xf numFmtId="0" fontId="41" fillId="10" borderId="1" xfId="0" applyFont="1" applyFill="1" applyBorder="1" applyAlignment="1">
      <alignment horizontal="center"/>
    </xf>
    <xf numFmtId="0" fontId="63" fillId="10" borderId="1" xfId="0" applyFont="1" applyFill="1" applyBorder="1" applyAlignment="1">
      <alignment horizontal="left" vertical="top" wrapText="1"/>
    </xf>
    <xf numFmtId="0" fontId="63" fillId="10" borderId="25" xfId="0" applyFont="1" applyFill="1" applyBorder="1" applyAlignment="1">
      <alignment horizontal="left" vertical="top" wrapText="1"/>
    </xf>
    <xf numFmtId="0" fontId="77" fillId="0" borderId="47" xfId="0" applyFont="1" applyBorder="1" applyAlignment="1">
      <alignment horizontal="center"/>
    </xf>
    <xf numFmtId="0" fontId="77" fillId="0" borderId="48" xfId="0" applyFont="1" applyBorder="1" applyAlignment="1">
      <alignment horizontal="center"/>
    </xf>
    <xf numFmtId="0" fontId="77" fillId="0" borderId="49" xfId="0" applyFont="1" applyBorder="1" applyAlignment="1">
      <alignment horizontal="center"/>
    </xf>
    <xf numFmtId="0" fontId="97" fillId="0" borderId="14" xfId="0" applyFont="1" applyBorder="1" applyAlignment="1">
      <alignment horizontal="center"/>
    </xf>
    <xf numFmtId="0" fontId="97" fillId="0" borderId="23" xfId="0" applyFont="1" applyBorder="1" applyAlignment="1">
      <alignment horizontal="center"/>
    </xf>
    <xf numFmtId="0" fontId="87" fillId="0" borderId="1" xfId="0" applyFont="1" applyBorder="1" applyAlignment="1">
      <alignment horizontal="center"/>
    </xf>
    <xf numFmtId="0" fontId="87" fillId="0" borderId="24" xfId="0" applyFont="1" applyBorder="1" applyAlignment="1">
      <alignment horizontal="center"/>
    </xf>
    <xf numFmtId="0" fontId="77" fillId="0" borderId="10" xfId="0" applyFont="1" applyBorder="1" applyAlignment="1">
      <alignment horizontal="center"/>
    </xf>
    <xf numFmtId="0" fontId="77" fillId="0" borderId="7" xfId="0" applyFont="1" applyBorder="1" applyAlignment="1">
      <alignment horizontal="center"/>
    </xf>
    <xf numFmtId="0" fontId="77" fillId="0" borderId="6" xfId="0" applyFont="1" applyBorder="1" applyAlignment="1">
      <alignment horizontal="center"/>
    </xf>
    <xf numFmtId="17" fontId="77" fillId="0" borderId="43" xfId="0" applyNumberFormat="1" applyFont="1" applyBorder="1" applyAlignment="1">
      <alignment horizontal="center"/>
    </xf>
    <xf numFmtId="0" fontId="77" fillId="0" borderId="40" xfId="0" applyFont="1" applyBorder="1" applyAlignment="1">
      <alignment horizontal="center"/>
    </xf>
    <xf numFmtId="0" fontId="77" fillId="0" borderId="43" xfId="0" applyFont="1" applyBorder="1" applyAlignment="1">
      <alignment horizontal="center"/>
    </xf>
    <xf numFmtId="0" fontId="77" fillId="0" borderId="41" xfId="0" applyFont="1" applyBorder="1" applyAlignment="1">
      <alignment horizontal="center"/>
    </xf>
    <xf numFmtId="0" fontId="63" fillId="10" borderId="10" xfId="0" applyFont="1" applyFill="1" applyBorder="1" applyAlignment="1">
      <alignment horizontal="left" vertical="top" wrapText="1"/>
    </xf>
    <xf numFmtId="0" fontId="63" fillId="10" borderId="7" xfId="0" applyFont="1" applyFill="1" applyBorder="1" applyAlignment="1">
      <alignment horizontal="left" vertical="top" wrapText="1"/>
    </xf>
    <xf numFmtId="0" fontId="63" fillId="10" borderId="11" xfId="0" applyFont="1" applyFill="1" applyBorder="1" applyAlignment="1">
      <alignment horizontal="left" vertical="top" wrapText="1"/>
    </xf>
    <xf numFmtId="0" fontId="63" fillId="10" borderId="12" xfId="0" applyFont="1" applyFill="1" applyBorder="1" applyAlignment="1">
      <alignment horizontal="left" vertical="top" wrapText="1"/>
    </xf>
    <xf numFmtId="0" fontId="63" fillId="10" borderId="8" xfId="0" applyFont="1" applyFill="1" applyBorder="1" applyAlignment="1">
      <alignment horizontal="left" vertical="top" wrapText="1"/>
    </xf>
    <xf numFmtId="0" fontId="63" fillId="10" borderId="29" xfId="0" applyFont="1" applyFill="1" applyBorder="1" applyAlignment="1">
      <alignment horizontal="left" vertical="top" wrapText="1"/>
    </xf>
    <xf numFmtId="10" fontId="85" fillId="0" borderId="43" xfId="0" applyNumberFormat="1" applyFont="1" applyBorder="1" applyAlignment="1">
      <alignment horizontal="center"/>
    </xf>
    <xf numFmtId="10" fontId="85" fillId="0" borderId="40" xfId="0" applyNumberFormat="1" applyFont="1" applyBorder="1" applyAlignment="1">
      <alignment horizontal="center"/>
    </xf>
    <xf numFmtId="0" fontId="79" fillId="0" borderId="6" xfId="0" applyFont="1" applyBorder="1" applyAlignment="1">
      <alignment horizontal="center"/>
    </xf>
    <xf numFmtId="0" fontId="79" fillId="0" borderId="7" xfId="0" applyFont="1" applyBorder="1" applyAlignment="1">
      <alignment horizontal="center"/>
    </xf>
    <xf numFmtId="0" fontId="86" fillId="10" borderId="11" xfId="0" applyFont="1" applyFill="1" applyBorder="1" applyAlignment="1">
      <alignment horizontal="left" vertical="top" wrapText="1"/>
    </xf>
    <xf numFmtId="0" fontId="86" fillId="10" borderId="0" xfId="0" applyFont="1" applyFill="1" applyAlignment="1">
      <alignment horizontal="left" vertical="top" wrapText="1"/>
    </xf>
    <xf numFmtId="0" fontId="57" fillId="10" borderId="10" xfId="0" applyFont="1" applyFill="1" applyBorder="1" applyAlignment="1">
      <alignment horizontal="left" vertical="top" wrapText="1"/>
    </xf>
    <xf numFmtId="0" fontId="57" fillId="10" borderId="6" xfId="0" applyFont="1" applyFill="1" applyBorder="1" applyAlignment="1">
      <alignment horizontal="left" vertical="top" wrapText="1"/>
    </xf>
    <xf numFmtId="0" fontId="57" fillId="10" borderId="7" xfId="0" applyFont="1" applyFill="1" applyBorder="1" applyAlignment="1">
      <alignment horizontal="left" vertical="top" wrapText="1"/>
    </xf>
    <xf numFmtId="0" fontId="57" fillId="10" borderId="11" xfId="0" applyFont="1" applyFill="1" applyBorder="1" applyAlignment="1">
      <alignment horizontal="left" vertical="top" wrapText="1"/>
    </xf>
    <xf numFmtId="0" fontId="57" fillId="10" borderId="0" xfId="0" applyFont="1" applyFill="1" applyAlignment="1">
      <alignment horizontal="left" vertical="top" wrapText="1"/>
    </xf>
    <xf numFmtId="0" fontId="57" fillId="10" borderId="12" xfId="0" applyFont="1" applyFill="1" applyBorder="1" applyAlignment="1">
      <alignment horizontal="left" vertical="top" wrapText="1"/>
    </xf>
    <xf numFmtId="0" fontId="57" fillId="10" borderId="8" xfId="0" applyFont="1" applyFill="1" applyBorder="1" applyAlignment="1">
      <alignment horizontal="left" vertical="top" wrapText="1"/>
    </xf>
    <xf numFmtId="0" fontId="57" fillId="10" borderId="9" xfId="0" applyFont="1" applyFill="1" applyBorder="1" applyAlignment="1">
      <alignment horizontal="left" vertical="top" wrapText="1"/>
    </xf>
    <xf numFmtId="0" fontId="57" fillId="10" borderId="29" xfId="0" applyFont="1" applyFill="1" applyBorder="1" applyAlignment="1">
      <alignment horizontal="left" vertical="top" wrapText="1"/>
    </xf>
    <xf numFmtId="0" fontId="77" fillId="10" borderId="43" xfId="0" applyFont="1" applyFill="1" applyBorder="1" applyAlignment="1">
      <alignment horizontal="center"/>
    </xf>
    <xf numFmtId="0" fontId="77" fillId="10" borderId="41" xfId="0" applyFont="1" applyFill="1" applyBorder="1" applyAlignment="1">
      <alignment horizontal="center"/>
    </xf>
    <xf numFmtId="0" fontId="77" fillId="10" borderId="40" xfId="0" applyFont="1" applyFill="1" applyBorder="1" applyAlignment="1">
      <alignment horizontal="center"/>
    </xf>
    <xf numFmtId="0" fontId="63" fillId="10" borderId="10" xfId="0" applyFont="1" applyFill="1" applyBorder="1" applyAlignment="1">
      <alignment horizontal="left" wrapText="1"/>
    </xf>
    <xf numFmtId="0" fontId="63" fillId="10" borderId="6" xfId="0" applyFont="1" applyFill="1" applyBorder="1" applyAlignment="1">
      <alignment horizontal="left" wrapText="1"/>
    </xf>
    <xf numFmtId="0" fontId="63" fillId="10" borderId="7" xfId="0" applyFont="1" applyFill="1" applyBorder="1" applyAlignment="1">
      <alignment horizontal="left" wrapText="1"/>
    </xf>
    <xf numFmtId="0" fontId="63" fillId="10" borderId="8" xfId="0" applyFont="1" applyFill="1" applyBorder="1" applyAlignment="1">
      <alignment horizontal="left" wrapText="1"/>
    </xf>
    <xf numFmtId="0" fontId="63" fillId="10" borderId="9" xfId="0" applyFont="1" applyFill="1" applyBorder="1" applyAlignment="1">
      <alignment horizontal="left" wrapText="1"/>
    </xf>
    <xf numFmtId="0" fontId="63" fillId="10" borderId="29" xfId="0" applyFont="1" applyFill="1" applyBorder="1" applyAlignment="1">
      <alignment horizontal="left" wrapText="1"/>
    </xf>
    <xf numFmtId="0" fontId="0" fillId="0" borderId="16" xfId="0" applyBorder="1" applyAlignment="1">
      <alignment horizontal="left" vertical="top" wrapText="1"/>
    </xf>
    <xf numFmtId="0" fontId="0" fillId="0" borderId="0" xfId="0" applyAlignment="1">
      <alignment horizontal="left" vertical="top" wrapText="1"/>
    </xf>
    <xf numFmtId="0" fontId="58" fillId="6" borderId="10" xfId="0" applyFont="1" applyFill="1" applyBorder="1" applyAlignment="1">
      <alignment horizontal="left" vertical="top" wrapText="1"/>
    </xf>
    <xf numFmtId="0" fontId="58" fillId="6" borderId="6" xfId="0" applyFont="1" applyFill="1" applyBorder="1" applyAlignment="1">
      <alignment horizontal="left" vertical="top" wrapText="1"/>
    </xf>
    <xf numFmtId="0" fontId="58" fillId="6" borderId="7" xfId="0" applyFont="1" applyFill="1" applyBorder="1" applyAlignment="1">
      <alignment horizontal="left" vertical="top" wrapText="1"/>
    </xf>
    <xf numFmtId="0" fontId="58" fillId="6" borderId="11" xfId="0" applyFont="1" applyFill="1" applyBorder="1" applyAlignment="1">
      <alignment horizontal="left" vertical="top" wrapText="1"/>
    </xf>
    <xf numFmtId="0" fontId="58" fillId="6" borderId="0" xfId="0" applyFont="1" applyFill="1" applyAlignment="1">
      <alignment horizontal="left" vertical="top" wrapText="1"/>
    </xf>
    <xf numFmtId="0" fontId="58" fillId="6" borderId="12" xfId="0" applyFont="1" applyFill="1" applyBorder="1" applyAlignment="1">
      <alignment horizontal="left" vertical="top" wrapText="1"/>
    </xf>
    <xf numFmtId="0" fontId="58" fillId="6" borderId="8" xfId="0" applyFont="1" applyFill="1" applyBorder="1" applyAlignment="1">
      <alignment horizontal="left" vertical="top" wrapText="1"/>
    </xf>
    <xf numFmtId="0" fontId="58" fillId="6" borderId="9" xfId="0" applyFont="1" applyFill="1" applyBorder="1" applyAlignment="1">
      <alignment horizontal="left" vertical="top" wrapText="1"/>
    </xf>
    <xf numFmtId="0" fontId="58" fillId="6" borderId="29" xfId="0" applyFont="1"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17" xfId="0" applyFill="1" applyBorder="1" applyAlignment="1">
      <alignment horizontal="left" vertical="top" wrapText="1"/>
    </xf>
    <xf numFmtId="0" fontId="0" fillId="10" borderId="20" xfId="0" applyFill="1" applyBorder="1" applyAlignment="1">
      <alignment horizontal="left" vertical="top" wrapText="1"/>
    </xf>
    <xf numFmtId="0" fontId="0" fillId="10" borderId="0" xfId="0" applyFill="1" applyAlignment="1">
      <alignment horizontal="left" vertical="top" wrapText="1"/>
    </xf>
    <xf numFmtId="0" fontId="0" fillId="10" borderId="21" xfId="0" applyFill="1" applyBorder="1" applyAlignment="1">
      <alignment horizontal="left" vertical="top" wrapText="1"/>
    </xf>
    <xf numFmtId="0" fontId="0" fillId="10" borderId="44" xfId="0" applyFill="1" applyBorder="1" applyAlignment="1">
      <alignment horizontal="left" vertical="top" wrapText="1"/>
    </xf>
    <xf numFmtId="0" fontId="0" fillId="10" borderId="45" xfId="0" applyFill="1" applyBorder="1" applyAlignment="1">
      <alignment horizontal="left" vertical="top" wrapText="1"/>
    </xf>
    <xf numFmtId="0" fontId="0" fillId="10" borderId="30" xfId="0" applyFill="1" applyBorder="1" applyAlignment="1">
      <alignment horizontal="left" vertical="top" wrapText="1"/>
    </xf>
    <xf numFmtId="0" fontId="15" fillId="9" borderId="0" xfId="0" applyFont="1" applyFill="1" applyAlignment="1">
      <alignment horizontal="center" vertical="center" wrapText="1"/>
    </xf>
    <xf numFmtId="0" fontId="6" fillId="10" borderId="15" xfId="0" applyFont="1" applyFill="1" applyBorder="1" applyAlignment="1">
      <alignment horizontal="left" vertical="top" wrapText="1"/>
    </xf>
    <xf numFmtId="0" fontId="6" fillId="10" borderId="16" xfId="0" applyFont="1" applyFill="1" applyBorder="1" applyAlignment="1">
      <alignment horizontal="left" vertical="top" wrapText="1"/>
    </xf>
    <xf numFmtId="0" fontId="6" fillId="10" borderId="17" xfId="0" applyFont="1" applyFill="1" applyBorder="1" applyAlignment="1">
      <alignment horizontal="left" vertical="top" wrapText="1"/>
    </xf>
    <xf numFmtId="0" fontId="6" fillId="10" borderId="44" xfId="0" applyFont="1" applyFill="1" applyBorder="1" applyAlignment="1">
      <alignment horizontal="left" vertical="top" wrapText="1"/>
    </xf>
    <xf numFmtId="0" fontId="6" fillId="10" borderId="45" xfId="0" applyFont="1" applyFill="1" applyBorder="1" applyAlignment="1">
      <alignment horizontal="left" vertical="top" wrapText="1"/>
    </xf>
    <xf numFmtId="0" fontId="6" fillId="10" borderId="30" xfId="0" applyFont="1" applyFill="1" applyBorder="1" applyAlignment="1">
      <alignment horizontal="left" vertical="top" wrapText="1"/>
    </xf>
    <xf numFmtId="0" fontId="28" fillId="0" borderId="38" xfId="0" applyFont="1" applyBorder="1" applyAlignment="1">
      <alignment horizontal="center"/>
    </xf>
    <xf numFmtId="0" fontId="59" fillId="0" borderId="43" xfId="0" applyFont="1" applyBorder="1" applyAlignment="1">
      <alignment horizontal="center"/>
    </xf>
    <xf numFmtId="0" fontId="59" fillId="0" borderId="41" xfId="0" applyFont="1" applyBorder="1" applyAlignment="1">
      <alignment horizontal="center"/>
    </xf>
    <xf numFmtId="0" fontId="59" fillId="0" borderId="40" xfId="0" applyFont="1" applyBorder="1" applyAlignment="1">
      <alignment horizontal="center"/>
    </xf>
    <xf numFmtId="0" fontId="30" fillId="0" borderId="43" xfId="0" applyFont="1" applyBorder="1" applyAlignment="1">
      <alignment horizontal="center"/>
    </xf>
    <xf numFmtId="0" fontId="30" fillId="0" borderId="41" xfId="0" applyFont="1" applyBorder="1" applyAlignment="1">
      <alignment horizontal="center"/>
    </xf>
    <xf numFmtId="0" fontId="30" fillId="0" borderId="40" xfId="0" applyFont="1" applyBorder="1" applyAlignment="1">
      <alignment horizontal="center"/>
    </xf>
    <xf numFmtId="0" fontId="30" fillId="0" borderId="10" xfId="0" applyFont="1" applyBorder="1" applyAlignment="1">
      <alignment horizontal="center"/>
    </xf>
    <xf numFmtId="0" fontId="30" fillId="0" borderId="6" xfId="0" applyFont="1" applyBorder="1" applyAlignment="1">
      <alignment horizontal="center"/>
    </xf>
    <xf numFmtId="0" fontId="30" fillId="0" borderId="7" xfId="0" applyFont="1" applyBorder="1" applyAlignment="1">
      <alignment horizontal="center"/>
    </xf>
    <xf numFmtId="0" fontId="31" fillId="10" borderId="43" xfId="0" applyFont="1" applyFill="1" applyBorder="1" applyAlignment="1">
      <alignment horizontal="center"/>
    </xf>
    <xf numFmtId="0" fontId="31" fillId="10" borderId="41" xfId="0" applyFont="1" applyFill="1" applyBorder="1" applyAlignment="1">
      <alignment horizontal="center"/>
    </xf>
    <xf numFmtId="0" fontId="31" fillId="10" borderId="40" xfId="0" applyFont="1" applyFill="1" applyBorder="1" applyAlignment="1">
      <alignment horizontal="center"/>
    </xf>
    <xf numFmtId="0" fontId="78" fillId="0" borderId="3" xfId="0" applyFont="1" applyBorder="1" applyAlignment="1">
      <alignment horizontal="center" vertical="center" textRotation="90" wrapText="1"/>
    </xf>
    <xf numFmtId="0" fontId="78" fillId="0" borderId="42" xfId="0" applyFont="1" applyBorder="1" applyAlignment="1">
      <alignment horizontal="center" vertical="center" textRotation="90" wrapText="1"/>
    </xf>
    <xf numFmtId="0" fontId="78" fillId="0" borderId="14" xfId="0" applyFont="1" applyBorder="1" applyAlignment="1">
      <alignment horizontal="center" vertical="center" textRotation="90" wrapText="1"/>
    </xf>
    <xf numFmtId="0" fontId="0" fillId="0" borderId="0" xfId="0" applyAlignment="1">
      <alignment horizontal="center"/>
    </xf>
    <xf numFmtId="0" fontId="50" fillId="0" borderId="45" xfId="0" applyFont="1" applyBorder="1" applyAlignment="1">
      <alignment horizontal="center"/>
    </xf>
    <xf numFmtId="2" fontId="50" fillId="0" borderId="45" xfId="0" applyNumberFormat="1" applyFont="1" applyBorder="1" applyAlignment="1">
      <alignment horizontal="center"/>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2">
    <dxf>
      <border>
        <left/>
        <right/>
        <top/>
        <bottom/>
      </border>
    </dxf>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1282700</xdr:colOff>
      <xdr:row>0</xdr:row>
      <xdr:rowOff>0</xdr:rowOff>
    </xdr:from>
    <xdr:to>
      <xdr:col>14</xdr:col>
      <xdr:colOff>632623</xdr:colOff>
      <xdr:row>16</xdr:row>
      <xdr:rowOff>165100</xdr:rowOff>
    </xdr:to>
    <xdr:pic>
      <xdr:nvPicPr>
        <xdr:cNvPr id="6" name="Picture 5">
          <a:extLst>
            <a:ext uri="{FF2B5EF4-FFF2-40B4-BE49-F238E27FC236}">
              <a16:creationId xmlns:a16="http://schemas.microsoft.com/office/drawing/2014/main" id="{D7F8577F-5851-CD97-A3B2-9F28F03E3BE1}"/>
            </a:ext>
          </a:extLst>
        </xdr:cNvPr>
        <xdr:cNvPicPr>
          <a:picLocks noChangeAspect="1"/>
        </xdr:cNvPicPr>
      </xdr:nvPicPr>
      <xdr:blipFill>
        <a:blip xmlns:r="http://schemas.openxmlformats.org/officeDocument/2006/relationships" r:embed="rId1"/>
        <a:stretch>
          <a:fillRect/>
        </a:stretch>
      </xdr:blipFill>
      <xdr:spPr>
        <a:xfrm>
          <a:off x="16967200" y="0"/>
          <a:ext cx="3159923" cy="344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1160517</xdr:colOff>
      <xdr:row>10</xdr:row>
      <xdr:rowOff>109482</xdr:rowOff>
    </xdr:from>
    <xdr:to>
      <xdr:col>4</xdr:col>
      <xdr:colOff>1412328</xdr:colOff>
      <xdr:row>10</xdr:row>
      <xdr:rowOff>109483</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flipV="1">
          <a:off x="5550776" y="2583792"/>
          <a:ext cx="1510862" cy="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562841</xdr:colOff>
      <xdr:row>9</xdr:row>
      <xdr:rowOff>173182</xdr:rowOff>
    </xdr:from>
    <xdr:to>
      <xdr:col>15</xdr:col>
      <xdr:colOff>562841</xdr:colOff>
      <xdr:row>24</xdr:row>
      <xdr:rowOff>101023</xdr:rowOff>
    </xdr:to>
    <xdr:cxnSp macro="">
      <xdr:nvCxnSpPr>
        <xdr:cNvPr id="7" name="Straight Connector 6">
          <a:extLst>
            <a:ext uri="{FF2B5EF4-FFF2-40B4-BE49-F238E27FC236}">
              <a16:creationId xmlns:a16="http://schemas.microsoft.com/office/drawing/2014/main" id="{8F5752F9-C0F3-136B-B2BC-09D4DC22108B}"/>
            </a:ext>
          </a:extLst>
        </xdr:cNvPr>
        <xdr:cNvCxnSpPr/>
      </xdr:nvCxnSpPr>
      <xdr:spPr>
        <a:xfrm>
          <a:off x="18559318" y="2020455"/>
          <a:ext cx="0" cy="298738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43296</xdr:colOff>
      <xdr:row>24</xdr:row>
      <xdr:rowOff>115454</xdr:rowOff>
    </xdr:from>
    <xdr:to>
      <xdr:col>15</xdr:col>
      <xdr:colOff>548409</xdr:colOff>
      <xdr:row>24</xdr:row>
      <xdr:rowOff>115454</xdr:rowOff>
    </xdr:to>
    <xdr:cxnSp macro="">
      <xdr:nvCxnSpPr>
        <xdr:cNvPr id="9" name="Straight Arrow Connector 8">
          <a:extLst>
            <a:ext uri="{FF2B5EF4-FFF2-40B4-BE49-F238E27FC236}">
              <a16:creationId xmlns:a16="http://schemas.microsoft.com/office/drawing/2014/main" id="{5516FEA7-ECC7-0CB0-D7E2-1B0B7F83F8E1}"/>
            </a:ext>
          </a:extLst>
        </xdr:cNvPr>
        <xdr:cNvCxnSpPr/>
      </xdr:nvCxnSpPr>
      <xdr:spPr>
        <a:xfrm flipH="1">
          <a:off x="15196705" y="5224318"/>
          <a:ext cx="2121477"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360796</xdr:colOff>
      <xdr:row>27</xdr:row>
      <xdr:rowOff>72159</xdr:rowOff>
    </xdr:from>
    <xdr:to>
      <xdr:col>2</xdr:col>
      <xdr:colOff>389659</xdr:colOff>
      <xdr:row>36</xdr:row>
      <xdr:rowOff>57727</xdr:rowOff>
    </xdr:to>
    <xdr:cxnSp macro="">
      <xdr:nvCxnSpPr>
        <xdr:cNvPr id="12" name="Straight Connector 11">
          <a:extLst>
            <a:ext uri="{FF2B5EF4-FFF2-40B4-BE49-F238E27FC236}">
              <a16:creationId xmlns:a16="http://schemas.microsoft.com/office/drawing/2014/main" id="{6F51E40F-C27D-B7F5-FBD0-63B4F7D42505}"/>
            </a:ext>
          </a:extLst>
        </xdr:cNvPr>
        <xdr:cNvCxnSpPr/>
      </xdr:nvCxnSpPr>
      <xdr:spPr>
        <a:xfrm>
          <a:off x="3680114" y="5585114"/>
          <a:ext cx="28863" cy="178954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375227</xdr:colOff>
      <xdr:row>36</xdr:row>
      <xdr:rowOff>72159</xdr:rowOff>
    </xdr:from>
    <xdr:to>
      <xdr:col>3</xdr:col>
      <xdr:colOff>0</xdr:colOff>
      <xdr:row>36</xdr:row>
      <xdr:rowOff>72159</xdr:rowOff>
    </xdr:to>
    <xdr:cxnSp macro="">
      <xdr:nvCxnSpPr>
        <xdr:cNvPr id="14" name="Straight Connector 13">
          <a:extLst>
            <a:ext uri="{FF2B5EF4-FFF2-40B4-BE49-F238E27FC236}">
              <a16:creationId xmlns:a16="http://schemas.microsoft.com/office/drawing/2014/main" id="{F4766409-2850-3571-86AF-80F40AB44D21}"/>
            </a:ext>
          </a:extLst>
        </xdr:cNvPr>
        <xdr:cNvCxnSpPr/>
      </xdr:nvCxnSpPr>
      <xdr:spPr>
        <a:xfrm>
          <a:off x="3694545" y="7389091"/>
          <a:ext cx="44738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360796</xdr:colOff>
      <xdr:row>27</xdr:row>
      <xdr:rowOff>86590</xdr:rowOff>
    </xdr:from>
    <xdr:to>
      <xdr:col>3</xdr:col>
      <xdr:colOff>14432</xdr:colOff>
      <xdr:row>27</xdr:row>
      <xdr:rowOff>86590</xdr:rowOff>
    </xdr:to>
    <xdr:cxnSp macro="">
      <xdr:nvCxnSpPr>
        <xdr:cNvPr id="17" name="Straight Arrow Connector 16">
          <a:extLst>
            <a:ext uri="{FF2B5EF4-FFF2-40B4-BE49-F238E27FC236}">
              <a16:creationId xmlns:a16="http://schemas.microsoft.com/office/drawing/2014/main" id="{C3825DCC-7151-66CA-4C0D-224221CC72B6}"/>
            </a:ext>
          </a:extLst>
        </xdr:cNvPr>
        <xdr:cNvCxnSpPr/>
      </xdr:nvCxnSpPr>
      <xdr:spPr>
        <a:xfrm>
          <a:off x="3680114" y="5599545"/>
          <a:ext cx="4762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1255568</xdr:colOff>
      <xdr:row>31</xdr:row>
      <xdr:rowOff>72159</xdr:rowOff>
    </xdr:from>
    <xdr:to>
      <xdr:col>10</xdr:col>
      <xdr:colOff>288637</xdr:colOff>
      <xdr:row>36</xdr:row>
      <xdr:rowOff>28864</xdr:rowOff>
    </xdr:to>
    <xdr:cxnSp macro="">
      <xdr:nvCxnSpPr>
        <xdr:cNvPr id="23" name="Straight Arrow Connector 22">
          <a:extLst>
            <a:ext uri="{FF2B5EF4-FFF2-40B4-BE49-F238E27FC236}">
              <a16:creationId xmlns:a16="http://schemas.microsoft.com/office/drawing/2014/main" id="{253D89CD-E3A6-ABB6-0571-D5DAFB85924A}"/>
            </a:ext>
          </a:extLst>
        </xdr:cNvPr>
        <xdr:cNvCxnSpPr/>
      </xdr:nvCxnSpPr>
      <xdr:spPr>
        <a:xfrm flipV="1">
          <a:off x="11054773" y="6393295"/>
          <a:ext cx="1183409" cy="93806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Aswath Damodaran" id="{399B3B34-9084-A749-9828-7191FAEFBE90}" userId="589fc2f8758a430e" providerId="Windows Live"/>
  <person displayName="Microsoft Office User" id="{424C302C-36C0-954E-9569-B7E5FF7107A5}" userId="Microsoft Office Us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5" dT="2023-02-16T12:08:17.35" personId="{399B3B34-9084-A749-9828-7191FAEFBE90}" id="{7BAE0B7D-2A22-9646-AFBD-9CED059E2F7D}">
    <text>If you have R&amp;D or R&amp;D-like expenses (customer acquisitions, exploration costs, brand advertising), say yes, and input data into the R&amp;D page.</text>
  </threadedComment>
  <threadedComment ref="B16" dT="2023-02-16T12:06:35.35" personId="{399B3B34-9084-A749-9828-7191FAEFBE90}" id="{DF1B34C1-6F66-8E4E-B352-B5D7538E8B46}">
    <text>If accountants have already converted leases to debt, and you included that debt is cell B12, answer no to this question. Do not double count.</text>
  </threadedComment>
  <threadedComment ref="B25" dT="2023-02-16T13:29:36.65" personId="{399B3B34-9084-A749-9828-7191FAEFBE90}" id="{4ADC1F30-8193-6A46-9CCC-BC8DC63A7A6F}">
    <text>If you want to adjust for something specific (an aberrant base year, an unusual upcoming year, you can use your year 1 revenue growth rate to do that.</text>
  </threadedComment>
</ThreadedComments>
</file>

<file path=xl/threadedComments/threadedComment2.xml><?xml version="1.0" encoding="utf-8"?>
<ThreadedComments xmlns="http://schemas.microsoft.com/office/spreadsheetml/2018/threadedcomments" xmlns:x="http://schemas.openxmlformats.org/spreadsheetml/2006/main">
  <threadedComment ref="B1" personId="{424C302C-36C0-954E-9569-B7E5FF7107A5}" id="{07FDDA8E-E380-7540-BB28-57DD78A067CA}">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tabSelected="1" topLeftCell="A59" zoomScale="150" zoomScaleNormal="100" workbookViewId="0">
      <selection activeCell="D23" sqref="D23"/>
    </sheetView>
  </sheetViews>
  <sheetFormatPr baseColWidth="10" defaultRowHeight="12"/>
  <cols>
    <col min="1" max="1" width="73.6640625" style="4" customWidth="1"/>
    <col min="2" max="2" width="26.5" style="4" customWidth="1"/>
    <col min="3" max="3" width="23.1640625" style="4" customWidth="1"/>
    <col min="4" max="4" width="16.6640625" style="4" customWidth="1"/>
    <col min="5" max="7" width="10.83203125" style="4"/>
    <col min="8" max="8" width="11" style="4" bestFit="1" customWidth="1"/>
    <col min="9" max="9" width="21.83203125" style="4" customWidth="1"/>
    <col min="10" max="10" width="15" style="4" bestFit="1" customWidth="1"/>
    <col min="11" max="11" width="17.5" style="4" bestFit="1" customWidth="1"/>
    <col min="12" max="16384" width="10.83203125" style="4"/>
  </cols>
  <sheetData>
    <row r="1" spans="1:10" s="187" customFormat="1" ht="16">
      <c r="B1" s="233"/>
      <c r="C1" s="187" t="s">
        <v>756</v>
      </c>
      <c r="D1" s="234"/>
      <c r="E1" s="187" t="s">
        <v>757</v>
      </c>
    </row>
    <row r="2" spans="1:10" s="188" customFormat="1" ht="16"/>
    <row r="3" spans="1:10" s="188" customFormat="1" ht="16">
      <c r="A3" s="189" t="s">
        <v>355</v>
      </c>
      <c r="B3" s="190">
        <v>44196</v>
      </c>
      <c r="C3" s="191" t="s">
        <v>758</v>
      </c>
      <c r="D3" s="192"/>
      <c r="E3" s="192"/>
      <c r="F3" s="192"/>
      <c r="G3" s="192"/>
      <c r="H3" s="192"/>
      <c r="I3" s="192"/>
      <c r="J3" s="193"/>
    </row>
    <row r="4" spans="1:10" s="188" customFormat="1" ht="17" thickBot="1">
      <c r="A4" s="189" t="s">
        <v>23</v>
      </c>
      <c r="B4" s="194" t="s">
        <v>873</v>
      </c>
      <c r="C4" s="195" t="s">
        <v>82</v>
      </c>
      <c r="J4" s="196"/>
    </row>
    <row r="5" spans="1:10" s="188" customFormat="1" ht="17" thickBot="1">
      <c r="A5" s="533" t="s">
        <v>398</v>
      </c>
      <c r="B5" s="534"/>
      <c r="C5" s="535"/>
      <c r="D5" s="535"/>
      <c r="E5" s="536"/>
      <c r="F5" s="536"/>
      <c r="G5" s="536"/>
      <c r="H5" s="536"/>
      <c r="I5" s="536"/>
      <c r="J5" s="537"/>
    </row>
    <row r="6" spans="1:10" s="188" customFormat="1" ht="16">
      <c r="A6" s="189"/>
      <c r="B6" s="189" t="s">
        <v>153</v>
      </c>
      <c r="C6" s="189" t="s">
        <v>154</v>
      </c>
      <c r="E6" s="235" t="s">
        <v>759</v>
      </c>
      <c r="F6" s="197"/>
      <c r="G6" s="197"/>
      <c r="H6" s="197"/>
      <c r="I6" s="197"/>
      <c r="J6" s="197"/>
    </row>
    <row r="7" spans="1:10" s="188" customFormat="1" ht="16">
      <c r="A7" s="188" t="s">
        <v>412</v>
      </c>
      <c r="B7" s="198" t="s">
        <v>319</v>
      </c>
      <c r="C7" s="189"/>
    </row>
    <row r="8" spans="1:10" s="188" customFormat="1" ht="16">
      <c r="A8" s="188" t="s">
        <v>403</v>
      </c>
      <c r="B8" s="198" t="s">
        <v>712</v>
      </c>
    </row>
    <row r="9" spans="1:10" s="188" customFormat="1" ht="16">
      <c r="A9" s="188" t="s">
        <v>404</v>
      </c>
      <c r="B9" s="198" t="s">
        <v>712</v>
      </c>
      <c r="C9" s="199" t="s">
        <v>364</v>
      </c>
      <c r="D9" s="199" t="s">
        <v>495</v>
      </c>
    </row>
    <row r="10" spans="1:10" s="188" customFormat="1" ht="16">
      <c r="A10" s="200" t="s">
        <v>5</v>
      </c>
      <c r="B10" s="201">
        <v>113269</v>
      </c>
      <c r="C10" s="201">
        <v>60922</v>
      </c>
      <c r="D10" s="198">
        <v>0.75</v>
      </c>
    </row>
    <row r="11" spans="1:10" s="188" customFormat="1" ht="16">
      <c r="A11" s="200" t="s">
        <v>18</v>
      </c>
      <c r="B11" s="201">
        <v>71033</v>
      </c>
      <c r="C11" s="201">
        <v>32972</v>
      </c>
      <c r="D11" s="198">
        <v>0.75</v>
      </c>
    </row>
    <row r="12" spans="1:10" s="188" customFormat="1" ht="16">
      <c r="A12" s="200" t="s">
        <v>405</v>
      </c>
      <c r="B12" s="201">
        <v>249</v>
      </c>
      <c r="C12" s="201">
        <v>257</v>
      </c>
      <c r="D12" s="202"/>
    </row>
    <row r="13" spans="1:10" s="188" customFormat="1" ht="16">
      <c r="A13" s="200" t="s">
        <v>19</v>
      </c>
      <c r="B13" s="201">
        <v>65899</v>
      </c>
      <c r="C13" s="201">
        <v>42978</v>
      </c>
      <c r="D13" s="202"/>
    </row>
    <row r="14" spans="1:10" s="188" customFormat="1" ht="16">
      <c r="A14" s="200" t="s">
        <v>20</v>
      </c>
      <c r="B14" s="201">
        <v>10225</v>
      </c>
      <c r="C14" s="201">
        <v>11056</v>
      </c>
      <c r="D14" s="202"/>
    </row>
    <row r="15" spans="1:10" s="188" customFormat="1" ht="16">
      <c r="A15" s="200" t="s">
        <v>394</v>
      </c>
      <c r="B15" s="203" t="s">
        <v>41</v>
      </c>
      <c r="C15" s="383" t="s">
        <v>850</v>
      </c>
      <c r="D15" s="202"/>
    </row>
    <row r="16" spans="1:10" s="188" customFormat="1" ht="16">
      <c r="A16" s="200" t="s">
        <v>217</v>
      </c>
      <c r="B16" s="201" t="s">
        <v>36</v>
      </c>
      <c r="C16" s="202" t="s">
        <v>851</v>
      </c>
      <c r="D16" s="202"/>
    </row>
    <row r="17" spans="1:14" s="188" customFormat="1" ht="16">
      <c r="A17" s="200" t="s">
        <v>478</v>
      </c>
      <c r="B17" s="201">
        <v>38487</v>
      </c>
      <c r="C17" s="201">
        <v>25984</v>
      </c>
      <c r="D17" s="202"/>
    </row>
    <row r="18" spans="1:14" s="188" customFormat="1" ht="16">
      <c r="A18" s="200" t="s">
        <v>479</v>
      </c>
      <c r="B18" s="204">
        <v>2237</v>
      </c>
      <c r="C18" s="201">
        <v>1546</v>
      </c>
      <c r="D18" s="202"/>
    </row>
    <row r="19" spans="1:14" s="188" customFormat="1" ht="16">
      <c r="A19" s="200" t="s">
        <v>360</v>
      </c>
      <c r="B19" s="204">
        <v>0</v>
      </c>
      <c r="C19" s="201">
        <v>0</v>
      </c>
      <c r="D19" s="202"/>
    </row>
    <row r="20" spans="1:14" s="188" customFormat="1" ht="16">
      <c r="A20" s="200" t="s">
        <v>21</v>
      </c>
      <c r="B20" s="205">
        <v>24490</v>
      </c>
      <c r="C20" s="202"/>
    </row>
    <row r="21" spans="1:14" s="188" customFormat="1" ht="16">
      <c r="A21" s="200" t="s">
        <v>22</v>
      </c>
      <c r="B21" s="201">
        <v>123</v>
      </c>
      <c r="C21" s="202"/>
      <c r="E21" s="544" t="s">
        <v>216</v>
      </c>
      <c r="F21" s="544"/>
      <c r="G21" s="544"/>
      <c r="H21" s="544"/>
      <c r="I21" s="544"/>
      <c r="J21" s="544"/>
      <c r="K21" s="544"/>
      <c r="L21" s="544"/>
      <c r="M21" s="544"/>
      <c r="N21" s="544"/>
    </row>
    <row r="22" spans="1:14" s="188" customFormat="1" ht="16">
      <c r="A22" s="188" t="s">
        <v>86</v>
      </c>
      <c r="B22" s="206">
        <v>0.13500000000000001</v>
      </c>
      <c r="C22" s="202"/>
      <c r="E22" s="223" t="s">
        <v>397</v>
      </c>
    </row>
    <row r="23" spans="1:14" s="188" customFormat="1" ht="16">
      <c r="A23" s="188" t="s">
        <v>87</v>
      </c>
      <c r="B23" s="206">
        <v>0.25</v>
      </c>
      <c r="C23" s="202"/>
      <c r="E23" s="189"/>
      <c r="J23" s="199" t="s">
        <v>403</v>
      </c>
      <c r="K23" s="199" t="s">
        <v>404</v>
      </c>
      <c r="L23" s="543" t="s">
        <v>840</v>
      </c>
      <c r="M23" s="543"/>
      <c r="N23" s="543"/>
    </row>
    <row r="24" spans="1:14" s="188" customFormat="1" ht="16">
      <c r="A24" s="189" t="s">
        <v>866</v>
      </c>
      <c r="B24" s="207"/>
      <c r="C24" s="202"/>
      <c r="E24" s="189"/>
      <c r="I24" s="200" t="s">
        <v>213</v>
      </c>
      <c r="J24" s="375" t="s">
        <v>839</v>
      </c>
      <c r="K24" s="375" t="s">
        <v>839</v>
      </c>
      <c r="L24" s="375" t="s">
        <v>841</v>
      </c>
      <c r="M24" s="375" t="s">
        <v>746</v>
      </c>
      <c r="N24" s="375" t="s">
        <v>842</v>
      </c>
    </row>
    <row r="25" spans="1:14" s="188" customFormat="1" ht="16">
      <c r="A25" s="210" t="s">
        <v>612</v>
      </c>
      <c r="B25" s="211">
        <v>0.15</v>
      </c>
      <c r="C25" s="202"/>
      <c r="E25" s="188" t="s">
        <v>149</v>
      </c>
      <c r="I25" s="378">
        <f>IF(C10&gt;0,(B10/C10)^(1/D10)-1, "NA")</f>
        <v>1.286208764772796</v>
      </c>
      <c r="J25" s="378">
        <f>VLOOKUP(B8,'Industry Averages(US)'!A2:S95,3)</f>
        <v>5.1318863639999997E-2</v>
      </c>
      <c r="K25" s="377">
        <f>VLOOKUP(B9,'Industry Average Beta (Global)'!A2:N95,3)</f>
        <v>7.7384328358208868E-2</v>
      </c>
      <c r="L25" s="376">
        <f>VLOOKUP($B$9,'Input Stat Distributioons'!$A$3:$R$96,3,FALSE)</f>
        <v>6.2600000000000003E-2</v>
      </c>
      <c r="M25" s="376">
        <f>VLOOKUP($B$9,'Input Stat Distributioons'!$A$3:$R$96,4,FALSE)</f>
        <v>0.156</v>
      </c>
      <c r="N25" s="376">
        <f>VLOOKUP($B$9,'Input Stat Distributioons'!$A$3:$R$96,5,FALSE)</f>
        <v>0.28599999999999998</v>
      </c>
    </row>
    <row r="26" spans="1:14" s="188" customFormat="1" ht="16">
      <c r="A26" s="210" t="s">
        <v>614</v>
      </c>
      <c r="B26" s="211">
        <v>0.65</v>
      </c>
      <c r="C26" s="202"/>
      <c r="E26" s="188" t="s">
        <v>150</v>
      </c>
      <c r="I26" s="378">
        <f>'Valuation output'!B4</f>
        <v>0.72210780336599467</v>
      </c>
      <c r="J26" s="377">
        <f>VLOOKUP(B8,'Industry Averages(US)'!A2:AA95,4)</f>
        <v>0.29711161343465048</v>
      </c>
      <c r="K26" s="377">
        <f>VLOOKUP(B9,'Industry Average Beta (Global)'!A2:N95,4)</f>
        <v>0.21342892802586189</v>
      </c>
      <c r="L26" s="377">
        <f>VLOOKUP($B$9,'Input Stat Distributioons'!$A$3:$R$96,6,FALSE)</f>
        <v>-0.15234567901234569</v>
      </c>
      <c r="M26" s="377">
        <f>VLOOKUP($B$9,'Input Stat Distributioons'!$A$3:$R$96,7,FALSE)</f>
        <v>1.852173913043478E-2</v>
      </c>
      <c r="N26" s="377">
        <f>VLOOKUP($B$9,'Input Stat Distributioons'!$A$3:$R$96,8,FALSE)</f>
        <v>0.10859823554124071</v>
      </c>
    </row>
    <row r="27" spans="1:14" s="188" customFormat="1" ht="16">
      <c r="A27" s="200" t="s">
        <v>613</v>
      </c>
      <c r="B27" s="212">
        <f>B25</f>
        <v>0.15</v>
      </c>
      <c r="C27" s="202" t="s">
        <v>482</v>
      </c>
      <c r="E27" s="188" t="s">
        <v>151</v>
      </c>
      <c r="I27" s="379">
        <f>B10/'Valuation output'!B58</f>
        <v>1.7827138032088188</v>
      </c>
      <c r="J27" s="379">
        <f>VLOOKUP(B8,'Industry Averages(US)'!A2:S95,14)</f>
        <v>1.1023163547709465</v>
      </c>
      <c r="K27" s="379">
        <f>VLOOKUP(B9,'Industry Average Beta (Global)'!A2:N95,14)</f>
        <v>1.0926794351128142</v>
      </c>
      <c r="L27" s="379">
        <f>VLOOKUP($B$9,'Input Stat Distributioons'!$A$3:$R$96,9,FALSE)</f>
        <v>0.56978653530377676</v>
      </c>
      <c r="M27" s="379">
        <f>VLOOKUP($B$9,'Input Stat Distributioons'!$A$3:$R$96,10,FALSE)</f>
        <v>0.94674510083543639</v>
      </c>
      <c r="N27" s="379">
        <f>VLOOKUP($B$9,'Input Stat Distributioons'!$A$3:$R$96,11,FALSE)</f>
        <v>1.596578759800428</v>
      </c>
    </row>
    <row r="28" spans="1:14" s="188" customFormat="1" ht="16">
      <c r="A28" s="200" t="s">
        <v>849</v>
      </c>
      <c r="B28" s="212">
        <v>0.6</v>
      </c>
      <c r="C28" s="202" t="s">
        <v>480</v>
      </c>
      <c r="E28" s="188" t="s">
        <v>844</v>
      </c>
      <c r="I28" s="379">
        <f>IF(('Input sheet'!B10-'Input sheet'!C10)/(('Input sheet'!B13+'Input sheet'!B14-'Input sheet'!B17)-('Input sheet'!C13+'Input sheet'!C14-'Input sheet'!C17))&gt;0,('Input sheet'!B10-'Input sheet'!C10)/(('Input sheet'!B13+'Input sheet'!B14-'Input sheet'!B17)-('Input sheet'!C13+'Input sheet'!C14-'Input sheet'!C17)),"NA")</f>
        <v>5.4602065296756024</v>
      </c>
      <c r="J28" s="379"/>
      <c r="K28" s="379"/>
      <c r="L28" s="380"/>
      <c r="M28" s="380"/>
      <c r="N28" s="380"/>
    </row>
    <row r="29" spans="1:14" s="188" customFormat="1" ht="16">
      <c r="A29" s="200" t="s">
        <v>730</v>
      </c>
      <c r="B29" s="214">
        <v>5</v>
      </c>
      <c r="C29" s="202" t="s">
        <v>547</v>
      </c>
      <c r="E29" s="188" t="s">
        <v>152</v>
      </c>
      <c r="I29" s="377">
        <f>'Valuation output'!B7/'Valuation output'!B58</f>
        <v>0.47255655724030254</v>
      </c>
      <c r="J29" s="377">
        <f>VLOOKUP(B8,'Industry Averages(US)'!A2:S95,5)</f>
        <v>0.21144652173406386</v>
      </c>
      <c r="K29" s="377">
        <f>VLOOKUP(B9,'Industry Average Beta (Global)'!A2:N95,5)</f>
        <v>0.15913647234971032</v>
      </c>
      <c r="L29"/>
      <c r="M29"/>
      <c r="N29"/>
    </row>
    <row r="30" spans="1:14" s="188" customFormat="1" ht="16">
      <c r="A30" s="200" t="s">
        <v>843</v>
      </c>
      <c r="B30" s="214">
        <v>2.5</v>
      </c>
      <c r="C30" s="202" t="s">
        <v>481</v>
      </c>
      <c r="E30" s="188" t="s">
        <v>354</v>
      </c>
      <c r="I30" s="213"/>
      <c r="J30" s="377">
        <f>VLOOKUP(B8,'Industry Averages(US)'!A2:S95,10)</f>
        <v>0.560486072</v>
      </c>
      <c r="K30" s="377">
        <f>VLOOKUP(B8,'Industry Average Beta (Global)'!A2:Z95,10)</f>
        <v>0.42273542251589769</v>
      </c>
      <c r="L30"/>
      <c r="M30"/>
      <c r="N30"/>
    </row>
    <row r="31" spans="1:14" s="188" customFormat="1" ht="16">
      <c r="A31" s="200" t="s">
        <v>634</v>
      </c>
      <c r="B31" s="214">
        <v>2.5</v>
      </c>
      <c r="C31" s="202"/>
      <c r="E31" s="188" t="s">
        <v>353</v>
      </c>
      <c r="J31" s="377">
        <f>VLOOKUP(B8,'Industry Averages(US)'!A2:S95,13)</f>
        <v>0.10763510523051874</v>
      </c>
      <c r="K31" s="377">
        <f>VLOOKUP(B8,'Industry Average Beta (Global)'!A2:Z95,13)</f>
        <v>0.13648766667355014</v>
      </c>
      <c r="L31" s="377">
        <f>VLOOKUP($B$9,'Input Stat Distributioons'!$A$3:$R$96,12,FALSE)</f>
        <v>0.12469940681108189</v>
      </c>
      <c r="M31" s="377">
        <f>VLOOKUP($B$9,'Input Stat Distributioons'!$A$3:$R$96,13,FALSE)</f>
        <v>0.12954436896422691</v>
      </c>
      <c r="N31" s="377">
        <f>VLOOKUP($B$9,'Input Stat Distributioons'!$A$3:$R$96,14,FALSE)</f>
        <v>0.1309863130034401</v>
      </c>
    </row>
    <row r="32" spans="1:14" s="188" customFormat="1" ht="17" thickBot="1">
      <c r="A32" s="189" t="s">
        <v>24</v>
      </c>
      <c r="B32" s="217"/>
      <c r="C32" s="202"/>
    </row>
    <row r="33" spans="1:14" s="188" customFormat="1" ht="16">
      <c r="A33" s="200" t="s">
        <v>16</v>
      </c>
      <c r="B33" s="212">
        <v>4.7E-2</v>
      </c>
      <c r="C33" s="202"/>
      <c r="E33" s="538" t="s">
        <v>483</v>
      </c>
      <c r="F33" s="539"/>
      <c r="G33" s="539"/>
      <c r="H33" s="539"/>
      <c r="I33" s="539"/>
      <c r="J33" s="540"/>
    </row>
    <row r="34" spans="1:14" s="188" customFormat="1" ht="16">
      <c r="A34" s="370" t="s">
        <v>26</v>
      </c>
      <c r="B34" s="371">
        <f>'Cost of capital worksheet'!B13</f>
        <v>0.11793732266471768</v>
      </c>
      <c r="C34" s="541" t="s">
        <v>753</v>
      </c>
      <c r="D34" s="542"/>
      <c r="E34" s="208" t="s">
        <v>484</v>
      </c>
      <c r="J34" s="216">
        <f>'Valuation output'!L3+'Valuation output'!L14+'Valuation output'!L23</f>
        <v>357271.68581640709</v>
      </c>
    </row>
    <row r="35" spans="1:14" s="188" customFormat="1" ht="25" customHeight="1">
      <c r="A35" s="189" t="s">
        <v>72</v>
      </c>
      <c r="B35" s="219"/>
      <c r="C35" s="219"/>
      <c r="D35" s="202"/>
      <c r="E35" s="208" t="s">
        <v>486</v>
      </c>
      <c r="J35" s="216">
        <f>'Valuation output'!M5+'Valuation output'!M16+'Valuation output'!M25</f>
        <v>224438.07302986697</v>
      </c>
    </row>
    <row r="36" spans="1:14" s="188" customFormat="1" ht="16">
      <c r="A36" s="188" t="s">
        <v>219</v>
      </c>
      <c r="B36" s="212" t="s">
        <v>36</v>
      </c>
      <c r="C36" s="176"/>
      <c r="D36" s="202"/>
      <c r="E36" s="208" t="s">
        <v>485</v>
      </c>
      <c r="J36" s="209">
        <f>'Valuation output'!L59</f>
        <v>1.1432482667760431</v>
      </c>
    </row>
    <row r="37" spans="1:14" s="188" customFormat="1" ht="17" thickBot="1">
      <c r="A37" s="188" t="s">
        <v>73</v>
      </c>
      <c r="B37" s="214">
        <v>7.72</v>
      </c>
      <c r="C37" s="220"/>
      <c r="D37" s="202"/>
      <c r="E37" s="350" t="s">
        <v>487</v>
      </c>
      <c r="F37" s="215"/>
      <c r="G37" s="215"/>
      <c r="H37" s="215"/>
      <c r="I37" s="215"/>
      <c r="J37" s="218"/>
    </row>
    <row r="38" spans="1:14" s="188" customFormat="1" ht="16">
      <c r="A38" s="188" t="s">
        <v>74</v>
      </c>
      <c r="B38" s="221">
        <v>1.29</v>
      </c>
      <c r="C38" s="222"/>
      <c r="D38" s="202"/>
    </row>
    <row r="39" spans="1:14" s="223" customFormat="1" ht="16">
      <c r="A39" s="188" t="s">
        <v>75</v>
      </c>
      <c r="B39" s="214">
        <v>7</v>
      </c>
      <c r="C39" s="220"/>
      <c r="D39" s="202"/>
      <c r="E39" s="188"/>
      <c r="F39" s="188"/>
      <c r="G39" s="188"/>
      <c r="H39" s="188"/>
      <c r="I39" s="188"/>
      <c r="J39" s="188"/>
      <c r="K39" s="188"/>
      <c r="L39" s="188"/>
      <c r="M39" s="188"/>
      <c r="N39" s="188"/>
    </row>
    <row r="40" spans="1:14" s="188" customFormat="1" ht="16">
      <c r="A40" s="188" t="s">
        <v>76</v>
      </c>
      <c r="B40" s="212">
        <v>0.45</v>
      </c>
      <c r="C40" s="202"/>
    </row>
    <row r="41" spans="1:14" s="188" customFormat="1" ht="16">
      <c r="B41" s="224"/>
      <c r="C41" s="202"/>
    </row>
    <row r="42" spans="1:14" s="188" customFormat="1" ht="16">
      <c r="A42" s="189" t="s">
        <v>888</v>
      </c>
      <c r="B42" s="224"/>
      <c r="C42" s="202"/>
      <c r="I42"/>
      <c r="J42"/>
    </row>
    <row r="43" spans="1:14" s="188" customFormat="1" ht="16">
      <c r="B43" s="212" t="s">
        <v>388</v>
      </c>
      <c r="C43" s="392" t="s">
        <v>787</v>
      </c>
      <c r="I43"/>
      <c r="J43"/>
    </row>
    <row r="44" spans="1:14" s="188" customFormat="1" ht="16">
      <c r="A44" s="188" t="s">
        <v>867</v>
      </c>
      <c r="B44" s="388">
        <v>80000</v>
      </c>
      <c r="C44" s="389">
        <v>300000</v>
      </c>
      <c r="I44"/>
      <c r="J44"/>
    </row>
    <row r="45" spans="1:14" s="188" customFormat="1" ht="16">
      <c r="A45" s="188" t="s">
        <v>875</v>
      </c>
      <c r="B45" s="390">
        <v>0.8</v>
      </c>
      <c r="C45" s="391">
        <v>0.6</v>
      </c>
      <c r="I45"/>
      <c r="J45"/>
    </row>
    <row r="46" spans="1:14" s="188" customFormat="1" ht="16">
      <c r="A46" s="188" t="s">
        <v>868</v>
      </c>
      <c r="B46" s="390">
        <v>0.65</v>
      </c>
      <c r="C46" s="391">
        <v>0.6</v>
      </c>
    </row>
    <row r="47" spans="1:14" s="188" customFormat="1" ht="16">
      <c r="B47" s="220"/>
      <c r="C47" s="202"/>
    </row>
    <row r="48" spans="1:14" s="188" customFormat="1" ht="16">
      <c r="A48" s="189" t="s">
        <v>887</v>
      </c>
      <c r="B48" s="224"/>
      <c r="C48" s="202"/>
    </row>
    <row r="49" spans="1:14" s="188" customFormat="1" ht="16">
      <c r="B49" s="212" t="s">
        <v>388</v>
      </c>
      <c r="C49" s="392" t="s">
        <v>787</v>
      </c>
    </row>
    <row r="50" spans="1:14" s="188" customFormat="1" ht="16">
      <c r="A50" s="188" t="s">
        <v>867</v>
      </c>
      <c r="B50" s="388">
        <v>20000</v>
      </c>
      <c r="C50" s="389">
        <v>200000</v>
      </c>
    </row>
    <row r="51" spans="1:14" s="188" customFormat="1" ht="16">
      <c r="A51" s="188" t="s">
        <v>875</v>
      </c>
      <c r="B51" s="390">
        <v>0.06</v>
      </c>
      <c r="C51" s="391">
        <v>0.15</v>
      </c>
    </row>
    <row r="52" spans="1:14" s="188" customFormat="1" ht="16">
      <c r="A52" s="188" t="s">
        <v>868</v>
      </c>
      <c r="B52" s="390">
        <v>0.65</v>
      </c>
      <c r="C52" s="391">
        <v>0.6</v>
      </c>
    </row>
    <row r="53" spans="1:14" s="188" customFormat="1" ht="16">
      <c r="B53" s="224"/>
      <c r="C53" s="219"/>
      <c r="D53" s="202"/>
      <c r="E53" s="223"/>
      <c r="F53" s="223"/>
      <c r="G53" s="223"/>
    </row>
    <row r="54" spans="1:14" s="223" customFormat="1" ht="16">
      <c r="A54" s="532" t="s">
        <v>88</v>
      </c>
      <c r="B54" s="532"/>
      <c r="C54" s="225"/>
      <c r="D54" s="202"/>
      <c r="E54" s="188"/>
      <c r="F54" s="188"/>
      <c r="G54" s="188"/>
      <c r="H54" s="188"/>
      <c r="I54" s="188"/>
      <c r="J54" s="188"/>
      <c r="K54" s="188"/>
      <c r="L54" s="188"/>
      <c r="M54" s="188"/>
      <c r="N54" s="188"/>
    </row>
    <row r="55" spans="1:14" s="188" customFormat="1" ht="16">
      <c r="A55" s="223" t="s">
        <v>89</v>
      </c>
      <c r="B55" s="223"/>
      <c r="C55" s="226"/>
      <c r="D55" s="202"/>
      <c r="N55" s="223"/>
    </row>
    <row r="56" spans="1:14" s="188" customFormat="1" ht="16">
      <c r="A56" s="188" t="s">
        <v>27</v>
      </c>
      <c r="B56" s="227" t="s">
        <v>41</v>
      </c>
      <c r="C56" s="202" t="s">
        <v>39</v>
      </c>
      <c r="E56" s="223"/>
      <c r="F56" s="223"/>
      <c r="G56" s="223"/>
      <c r="H56" s="223"/>
      <c r="I56" s="223"/>
      <c r="J56" s="223"/>
      <c r="K56" s="223"/>
      <c r="L56" s="223"/>
      <c r="M56" s="223"/>
    </row>
    <row r="57" spans="1:14" s="188" customFormat="1" ht="16">
      <c r="A57" s="188" t="s">
        <v>29</v>
      </c>
      <c r="B57" s="212">
        <v>8.5000000000000006E-2</v>
      </c>
      <c r="C57" s="202" t="s">
        <v>635</v>
      </c>
    </row>
    <row r="58" spans="1:14" s="188" customFormat="1" ht="16">
      <c r="A58" s="223" t="s">
        <v>90</v>
      </c>
      <c r="B58" s="223"/>
      <c r="C58" s="202"/>
      <c r="D58" s="223"/>
      <c r="N58" s="223"/>
    </row>
    <row r="59" spans="1:14" s="188" customFormat="1" ht="16">
      <c r="A59" s="188" t="s">
        <v>27</v>
      </c>
      <c r="B59" s="227" t="s">
        <v>41</v>
      </c>
      <c r="C59" s="202" t="s">
        <v>38</v>
      </c>
      <c r="H59" s="223"/>
      <c r="I59" s="223"/>
      <c r="J59" s="223"/>
      <c r="K59" s="223"/>
      <c r="L59" s="223"/>
      <c r="M59" s="223"/>
    </row>
    <row r="60" spans="1:14" s="188" customFormat="1" ht="16">
      <c r="A60" s="188" t="s">
        <v>28</v>
      </c>
      <c r="B60" s="228">
        <v>0.2</v>
      </c>
      <c r="C60" s="202" t="s">
        <v>124</v>
      </c>
    </row>
    <row r="61" spans="1:14" s="188" customFormat="1" ht="16">
      <c r="A61" s="223" t="s">
        <v>121</v>
      </c>
      <c r="C61" s="202"/>
    </row>
    <row r="62" spans="1:14" s="188" customFormat="1" ht="16">
      <c r="A62" s="188" t="s">
        <v>27</v>
      </c>
      <c r="B62" s="227" t="s">
        <v>36</v>
      </c>
      <c r="C62" s="202" t="s">
        <v>96</v>
      </c>
    </row>
    <row r="63" spans="1:14" s="188" customFormat="1" ht="16">
      <c r="A63" s="188" t="s">
        <v>91</v>
      </c>
      <c r="B63" s="228">
        <v>0.12</v>
      </c>
      <c r="C63" s="202" t="s">
        <v>760</v>
      </c>
    </row>
    <row r="64" spans="1:14" s="188" customFormat="1" ht="16">
      <c r="A64" s="188" t="s">
        <v>94</v>
      </c>
      <c r="B64" s="228" t="s">
        <v>211</v>
      </c>
      <c r="C64" s="202" t="s">
        <v>85</v>
      </c>
    </row>
    <row r="65" spans="1:14" s="188" customFormat="1" ht="16">
      <c r="A65" s="188" t="s">
        <v>212</v>
      </c>
      <c r="B65" s="228">
        <v>0.5</v>
      </c>
      <c r="C65" s="202" t="s">
        <v>95</v>
      </c>
    </row>
    <row r="66" spans="1:14" s="188" customFormat="1" ht="16">
      <c r="A66" s="188" t="s">
        <v>845</v>
      </c>
      <c r="B66" s="381"/>
      <c r="C66" s="202"/>
    </row>
    <row r="67" spans="1:14" s="188" customFormat="1" ht="16">
      <c r="A67" s="188" t="s">
        <v>846</v>
      </c>
      <c r="B67" s="227" t="s">
        <v>41</v>
      </c>
      <c r="C67" s="202"/>
    </row>
    <row r="68" spans="1:14" s="188" customFormat="1" ht="16">
      <c r="A68" s="188" t="s">
        <v>847</v>
      </c>
      <c r="B68" s="382">
        <v>3</v>
      </c>
      <c r="C68" s="202"/>
    </row>
    <row r="69" spans="1:14" s="188" customFormat="1" ht="16">
      <c r="A69" s="223" t="s">
        <v>123</v>
      </c>
      <c r="B69" s="229"/>
      <c r="C69" s="202"/>
    </row>
    <row r="70" spans="1:14" s="188" customFormat="1" ht="16">
      <c r="A70" s="188" t="s">
        <v>27</v>
      </c>
      <c r="B70" s="228" t="s">
        <v>36</v>
      </c>
      <c r="C70" s="202"/>
    </row>
    <row r="71" spans="1:14" s="188" customFormat="1" ht="16">
      <c r="A71" s="223" t="s">
        <v>120</v>
      </c>
      <c r="C71" s="202"/>
    </row>
    <row r="72" spans="1:14" s="188" customFormat="1" ht="16">
      <c r="A72" s="188" t="s">
        <v>27</v>
      </c>
      <c r="B72" s="227" t="s">
        <v>36</v>
      </c>
      <c r="C72" s="202" t="s">
        <v>40</v>
      </c>
    </row>
    <row r="73" spans="1:14" s="188" customFormat="1" ht="16">
      <c r="A73" s="188" t="s">
        <v>34</v>
      </c>
      <c r="B73" s="221">
        <f>474.8+256.6</f>
        <v>731.40000000000009</v>
      </c>
      <c r="C73" s="202" t="s">
        <v>125</v>
      </c>
    </row>
    <row r="74" spans="1:14" s="188" customFormat="1" ht="16">
      <c r="A74" s="188" t="s">
        <v>607</v>
      </c>
      <c r="B74" s="230"/>
      <c r="C74" s="202"/>
    </row>
    <row r="75" spans="1:14" s="188" customFormat="1" ht="16">
      <c r="A75" s="188" t="s">
        <v>27</v>
      </c>
      <c r="B75" s="221" t="s">
        <v>36</v>
      </c>
      <c r="C75" s="202" t="s">
        <v>609</v>
      </c>
    </row>
    <row r="76" spans="1:14" s="223" customFormat="1" ht="16">
      <c r="A76" s="188" t="s">
        <v>608</v>
      </c>
      <c r="B76" s="231">
        <v>0.02</v>
      </c>
      <c r="C76" s="202" t="s">
        <v>610</v>
      </c>
      <c r="D76" s="188"/>
      <c r="E76" s="188"/>
      <c r="F76" s="188"/>
      <c r="G76" s="188"/>
      <c r="H76" s="188"/>
      <c r="I76" s="188"/>
      <c r="J76" s="188"/>
      <c r="K76" s="188"/>
      <c r="L76" s="188"/>
      <c r="M76" s="188"/>
      <c r="N76" s="188"/>
    </row>
    <row r="77" spans="1:14" s="188" customFormat="1" ht="16">
      <c r="A77" s="188" t="s">
        <v>491</v>
      </c>
      <c r="B77" s="222"/>
      <c r="C77" s="202"/>
    </row>
    <row r="78" spans="1:14" s="188" customFormat="1" ht="16">
      <c r="A78" s="188" t="s">
        <v>27</v>
      </c>
      <c r="B78" s="221" t="s">
        <v>36</v>
      </c>
      <c r="C78" s="202" t="s">
        <v>611</v>
      </c>
      <c r="E78" s="223"/>
      <c r="F78" s="223"/>
      <c r="G78" s="223"/>
      <c r="H78" s="223"/>
      <c r="I78" s="223"/>
      <c r="J78" s="223"/>
      <c r="K78" s="223"/>
      <c r="L78" s="223"/>
      <c r="M78" s="223"/>
      <c r="N78" s="223"/>
    </row>
    <row r="79" spans="1:14" s="188" customFormat="1" ht="16">
      <c r="A79" s="188" t="s">
        <v>492</v>
      </c>
      <c r="B79" s="231">
        <v>-0.05</v>
      </c>
      <c r="C79" s="202" t="s">
        <v>493</v>
      </c>
    </row>
    <row r="80" spans="1:14" s="188" customFormat="1" ht="16">
      <c r="A80" s="223" t="s">
        <v>496</v>
      </c>
      <c r="B80" s="223"/>
      <c r="C80" s="223"/>
      <c r="D80" s="223"/>
    </row>
    <row r="81" spans="1:14" s="188" customFormat="1" ht="16">
      <c r="A81" s="188" t="s">
        <v>488</v>
      </c>
      <c r="B81" s="227" t="s">
        <v>36</v>
      </c>
    </row>
    <row r="82" spans="1:14" s="188" customFormat="1" ht="16">
      <c r="A82" s="188" t="s">
        <v>499</v>
      </c>
      <c r="B82" s="232">
        <v>140000</v>
      </c>
      <c r="C82" s="202" t="s">
        <v>497</v>
      </c>
    </row>
    <row r="83" spans="1:14" s="188" customFormat="1" ht="16">
      <c r="A83" s="200" t="s">
        <v>489</v>
      </c>
      <c r="B83" s="228">
        <v>0.15</v>
      </c>
      <c r="C83" s="202" t="s">
        <v>498</v>
      </c>
    </row>
    <row r="84" spans="1:14" s="188" customFormat="1" ht="16">
      <c r="A84" s="52"/>
      <c r="B84" s="4"/>
      <c r="C84" s="4"/>
      <c r="D84" s="4"/>
    </row>
    <row r="85" spans="1:14" ht="16">
      <c r="E85" s="188"/>
      <c r="F85" s="188"/>
      <c r="G85" s="188"/>
      <c r="H85" s="188"/>
      <c r="I85" s="188"/>
      <c r="J85" s="188"/>
      <c r="K85" s="188"/>
      <c r="L85" s="188"/>
      <c r="M85" s="188"/>
      <c r="N85" s="188"/>
    </row>
    <row r="86" spans="1:14" ht="16">
      <c r="E86" s="188"/>
      <c r="F86" s="188"/>
      <c r="G86" s="188"/>
      <c r="H86" s="188"/>
      <c r="I86" s="188"/>
      <c r="J86" s="188"/>
      <c r="K86" s="188"/>
      <c r="L86" s="188"/>
      <c r="M86" s="188"/>
      <c r="N86" s="188"/>
    </row>
  </sheetData>
  <mergeCells count="6">
    <mergeCell ref="A54:B54"/>
    <mergeCell ref="A5:J5"/>
    <mergeCell ref="E33:J33"/>
    <mergeCell ref="C34:D34"/>
    <mergeCell ref="L23:N23"/>
    <mergeCell ref="E21:N21"/>
  </mergeCells>
  <phoneticPr fontId="10"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2" xr:uid="{8CB89D6B-6512-6147-996A-22116969CDC5}">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4" xr:uid="{3BCCB279-45D9-E648-9CD2-0C470C13F11C}"/>
  </dataValidations>
  <pageMargins left="0.75" right="0.75" top="1" bottom="1" header="0.5" footer="0.5"/>
  <pageSetup orientation="portrait" horizontalDpi="4294967292" verticalDpi="4294967292"/>
  <headerFooter alignWithMargins="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2000000}">
          <x14:formula1>
            <xm:f>'Industry Averages(US)'!$A$2:$A$95</xm:f>
          </x14:formula1>
          <xm:sqref>B8</xm:sqref>
        </x14:dataValidation>
        <x14:dataValidation type="list" allowBlank="1" showInputMessage="1" showErrorMessage="1" xr:uid="{00000000-0002-0000-0000-000003000000}">
          <x14:formula1>
            <xm:f>'Industry Average Beta (Global)'!$A$2:$A$95</xm:f>
          </x14:formula1>
          <xm:sqref>B9</xm:sqref>
        </x14:dataValidation>
        <x14:dataValidation type="list" allowBlank="1" showInputMessage="1" showErrorMessage="1" xr:uid="{00000000-0002-0000-0000-000004000000}">
          <x14:formula1>
            <xm:f>'Answer keys'!$A$2:$A$3</xm:f>
          </x14:formula1>
          <xm:sqref>B15:B16 B36 B56 B59 B62 B70 B72 B78 B81 B75 B67</xm:sqref>
        </x14:dataValidation>
        <x14:dataValidation type="list" allowBlank="1" showInputMessage="1" showErrorMessage="1" xr:uid="{00000000-0002-0000-0000-000005000000}">
          <x14:formula1>
            <xm:f>'Answer keys'!$B$2:$B$3</xm:f>
          </x14:formula1>
          <xm:sqref>B64</xm:sqref>
        </x14:dataValidation>
        <x14:dataValidation type="list" allowBlank="1" showInputMessage="1" showErrorMessage="1" xr:uid="{00000000-0002-0000-0000-000001000000}">
          <x14:formula1>
            <xm:f>'Country equity risk premiums'!$A$5:$A$181</xm:f>
          </x14:formula1>
          <xm:sqref>B7</xm:sqref>
        </x14:dataValidation>
        <x14:dataValidation type="list" allowBlank="1" showInputMessage="1" showErrorMessage="1" xr:uid="{D54CE166-FBA5-B24A-A91B-F467D8D4B472}">
          <x14:formula1>
            <xm:f>'Answer keys'!$J$2:$J$5</xm:f>
          </x14:formula1>
          <xm:sqref>B68</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1"/>
  <sheetViews>
    <sheetView topLeftCell="A45" zoomScale="130" zoomScaleNormal="130" workbookViewId="0">
      <selection activeCell="I9" sqref="I9:I15"/>
    </sheetView>
  </sheetViews>
  <sheetFormatPr baseColWidth="10" defaultRowHeight="13"/>
  <cols>
    <col min="1" max="1" width="40.1640625" bestFit="1" customWidth="1"/>
    <col min="2" max="2" width="17.33203125" bestFit="1" customWidth="1"/>
    <col min="3" max="3" width="12.83203125" bestFit="1" customWidth="1"/>
    <col min="4" max="4" width="13.6640625" customWidth="1"/>
    <col min="5" max="5" width="12" customWidth="1"/>
    <col min="7" max="7" width="19.5" bestFit="1" customWidth="1"/>
    <col min="8" max="8" width="16.33203125" customWidth="1"/>
    <col min="11" max="11" width="18.1640625" bestFit="1" customWidth="1"/>
    <col min="12" max="12" width="17.5" customWidth="1"/>
  </cols>
  <sheetData>
    <row r="1" spans="1:20" ht="13" customHeight="1">
      <c r="A1" s="673" t="s">
        <v>596</v>
      </c>
      <c r="B1" s="674"/>
      <c r="C1" s="674"/>
      <c r="D1" s="674"/>
      <c r="E1" s="674"/>
      <c r="F1" s="674"/>
      <c r="G1" s="674"/>
      <c r="H1" s="674"/>
      <c r="I1" s="674"/>
      <c r="J1" s="674"/>
      <c r="K1" s="675"/>
    </row>
    <row r="2" spans="1:20">
      <c r="A2" s="676"/>
      <c r="B2" s="677"/>
      <c r="C2" s="677"/>
      <c r="D2" s="677"/>
      <c r="E2" s="677"/>
      <c r="F2" s="677"/>
      <c r="G2" s="677"/>
      <c r="H2" s="677"/>
      <c r="I2" s="677"/>
      <c r="J2" s="677"/>
      <c r="K2" s="678"/>
    </row>
    <row r="3" spans="1:20" s="34" customFormat="1" ht="19" thickBot="1">
      <c r="A3" s="679" t="s">
        <v>156</v>
      </c>
      <c r="B3" s="679"/>
      <c r="C3" s="679"/>
      <c r="D3" s="679"/>
      <c r="E3" s="679"/>
      <c r="G3" s="47" t="s">
        <v>477</v>
      </c>
    </row>
    <row r="4" spans="1:20" s="9" customFormat="1" ht="15" customHeight="1">
      <c r="A4" s="654" t="s">
        <v>754</v>
      </c>
      <c r="B4" s="655"/>
      <c r="C4" s="655"/>
      <c r="D4" s="655"/>
      <c r="E4" s="656"/>
      <c r="F4" s="34"/>
      <c r="G4" s="57" t="s">
        <v>324</v>
      </c>
      <c r="H4" s="57" t="s">
        <v>5</v>
      </c>
      <c r="I4" s="57" t="s">
        <v>349</v>
      </c>
      <c r="J4" s="57" t="s">
        <v>351</v>
      </c>
      <c r="K4" s="57" t="s">
        <v>350</v>
      </c>
    </row>
    <row r="5" spans="1:20" s="7" customFormat="1" ht="15" customHeight="1">
      <c r="A5" s="657"/>
      <c r="B5" s="658"/>
      <c r="C5" s="658"/>
      <c r="D5" s="658"/>
      <c r="E5" s="659"/>
      <c r="F5" s="34"/>
      <c r="G5" s="55" t="s">
        <v>319</v>
      </c>
      <c r="H5" s="55">
        <v>26966</v>
      </c>
      <c r="I5" s="41">
        <f>IF(H5=0,0,VLOOKUP(G5,'Country equity risk premiums'!$A$5:$D$196,4))</f>
        <v>4.3299999999999998E-2</v>
      </c>
      <c r="J5" s="41">
        <f t="shared" ref="J5:J12" si="0">IF(H5&gt;0,H5/$H$18,)</f>
        <v>0.4426315616690194</v>
      </c>
      <c r="K5" s="41">
        <f t="shared" ref="K5:K12" si="1">IF(J5=0,0,I5*J5)</f>
        <v>1.9165946620268538E-2</v>
      </c>
      <c r="M5" s="672" t="s">
        <v>525</v>
      </c>
      <c r="N5" s="672"/>
      <c r="O5" s="672"/>
      <c r="P5" s="672"/>
      <c r="Q5" s="672"/>
      <c r="S5" s="506" t="s">
        <v>319</v>
      </c>
      <c r="T5" s="507">
        <v>26966</v>
      </c>
    </row>
    <row r="6" spans="1:20" s="7" customFormat="1" ht="15" customHeight="1">
      <c r="A6" s="657"/>
      <c r="B6" s="658"/>
      <c r="C6" s="658"/>
      <c r="D6" s="658"/>
      <c r="E6" s="659"/>
      <c r="F6" s="34"/>
      <c r="G6" s="55" t="s">
        <v>243</v>
      </c>
      <c r="H6" s="55">
        <v>10306</v>
      </c>
      <c r="I6" s="41">
        <f>IF(H6=0,0,VLOOKUP(G6,'Country equity risk premiums'!$A$5:$D$196,4))</f>
        <v>5.2715839731572595E-2</v>
      </c>
      <c r="J6" s="41">
        <f t="shared" si="0"/>
        <v>0.16916713174222778</v>
      </c>
      <c r="K6" s="41">
        <f t="shared" si="1"/>
        <v>8.9177874047731073E-3</v>
      </c>
      <c r="M6" s="672"/>
      <c r="N6" s="672"/>
      <c r="O6" s="672"/>
      <c r="P6" s="672"/>
      <c r="Q6" s="672"/>
      <c r="S6" s="506" t="s">
        <v>312</v>
      </c>
      <c r="T6" s="507">
        <v>13405</v>
      </c>
    </row>
    <row r="7" spans="1:20" s="7" customFormat="1" ht="15" customHeight="1">
      <c r="A7" s="657"/>
      <c r="B7" s="658"/>
      <c r="C7" s="658"/>
      <c r="D7" s="658"/>
      <c r="E7" s="659"/>
      <c r="F7" s="34"/>
      <c r="G7" s="55" t="s">
        <v>312</v>
      </c>
      <c r="H7" s="55">
        <v>13405</v>
      </c>
      <c r="I7" s="41">
        <f>IF(H7=0,0,VLOOKUP(G7,'Country equity risk premiums'!$A$5:$D$196,4))</f>
        <v>5.1303463771836713E-2</v>
      </c>
      <c r="J7" s="41">
        <f t="shared" si="0"/>
        <v>0.22003545517218739</v>
      </c>
      <c r="K7" s="41">
        <f t="shared" si="1"/>
        <v>1.1288581002945917E-2</v>
      </c>
      <c r="M7" s="672"/>
      <c r="N7" s="672"/>
      <c r="O7" s="672"/>
      <c r="P7" s="672"/>
      <c r="Q7" s="672"/>
      <c r="S7" s="506" t="s">
        <v>933</v>
      </c>
      <c r="T7" s="507">
        <v>10306</v>
      </c>
    </row>
    <row r="8" spans="1:20" s="7" customFormat="1" ht="15" customHeight="1">
      <c r="A8" s="657"/>
      <c r="B8" s="658"/>
      <c r="C8" s="658"/>
      <c r="D8" s="658"/>
      <c r="E8" s="659"/>
      <c r="F8" s="34"/>
      <c r="G8" s="55"/>
      <c r="H8" s="55"/>
      <c r="I8" s="41">
        <f>IF(H8=0,0,VLOOKUP(G8,'Country equity risk premiums'!$A$5:$D$196,4))</f>
        <v>0</v>
      </c>
      <c r="J8" s="41">
        <f t="shared" si="0"/>
        <v>0</v>
      </c>
      <c r="K8" s="41">
        <f t="shared" si="1"/>
        <v>0</v>
      </c>
      <c r="M8" s="672"/>
      <c r="N8" s="672"/>
      <c r="O8" s="672"/>
      <c r="P8" s="672"/>
      <c r="Q8" s="672"/>
      <c r="S8" s="506" t="s">
        <v>934</v>
      </c>
      <c r="T8" s="507">
        <v>10245</v>
      </c>
    </row>
    <row r="9" spans="1:20" s="7" customFormat="1" ht="15" customHeight="1" thickBot="1">
      <c r="A9" s="660"/>
      <c r="B9" s="661"/>
      <c r="C9" s="661"/>
      <c r="D9" s="661"/>
      <c r="E9" s="662"/>
      <c r="F9" s="34"/>
      <c r="G9" s="55"/>
      <c r="H9" s="55"/>
      <c r="I9" s="41">
        <f>IF(H9=0,0,VLOOKUP(G9,'Country equity risk premiums'!$A$5:$D$196,4))</f>
        <v>0</v>
      </c>
      <c r="J9" s="41">
        <f t="shared" si="0"/>
        <v>0</v>
      </c>
      <c r="K9" s="41">
        <f t="shared" si="1"/>
        <v>0</v>
      </c>
      <c r="M9" s="672"/>
      <c r="N9" s="672"/>
      <c r="O9" s="672"/>
      <c r="P9" s="672"/>
      <c r="Q9" s="672"/>
    </row>
    <row r="10" spans="1:20" s="7" customFormat="1" ht="15" customHeight="1">
      <c r="A10" s="167"/>
      <c r="B10" s="167"/>
      <c r="C10" s="167"/>
      <c r="D10" s="167"/>
      <c r="E10" s="167"/>
      <c r="F10" s="34"/>
      <c r="G10" s="55"/>
      <c r="H10" s="55"/>
      <c r="I10" s="41">
        <f>IF(H10=0,0,VLOOKUP(G10,'Country equity risk premiums'!$A$5:$D$196,4))</f>
        <v>0</v>
      </c>
      <c r="J10" s="41">
        <f t="shared" si="0"/>
        <v>0</v>
      </c>
      <c r="K10" s="41">
        <f t="shared" si="1"/>
        <v>0</v>
      </c>
      <c r="M10" s="672"/>
      <c r="N10" s="672"/>
      <c r="O10" s="672"/>
      <c r="P10" s="672"/>
      <c r="Q10" s="672"/>
    </row>
    <row r="11" spans="1:20" s="7" customFormat="1" ht="15" customHeight="1">
      <c r="A11" s="167" t="s">
        <v>740</v>
      </c>
      <c r="B11" s="168" t="s">
        <v>742</v>
      </c>
      <c r="C11" s="167"/>
      <c r="D11" s="167"/>
      <c r="E11" s="167"/>
      <c r="F11" s="34"/>
      <c r="G11" s="55"/>
      <c r="H11" s="55"/>
      <c r="I11" s="41">
        <f>IF(H11=0,0,VLOOKUP(G11,'Country equity risk premiums'!$A$5:$D$196,4))</f>
        <v>0</v>
      </c>
      <c r="J11" s="41">
        <f t="shared" si="0"/>
        <v>0</v>
      </c>
      <c r="K11" s="41">
        <f t="shared" si="1"/>
        <v>0</v>
      </c>
      <c r="M11" s="672"/>
      <c r="N11" s="672"/>
      <c r="O11" s="672"/>
      <c r="P11" s="672"/>
      <c r="Q11" s="672"/>
    </row>
    <row r="12" spans="1:20" s="7" customFormat="1" ht="15" customHeight="1">
      <c r="A12" s="167" t="s">
        <v>744</v>
      </c>
      <c r="B12" s="169">
        <v>0.09</v>
      </c>
      <c r="C12" s="167"/>
      <c r="D12" s="167"/>
      <c r="E12" s="167"/>
      <c r="F12" s="34"/>
      <c r="G12" s="55"/>
      <c r="H12" s="55"/>
      <c r="I12" s="41">
        <f>IF(H12=0,0,VLOOKUP(G12,'Country equity risk premiums'!$A$5:$D$196,4))</f>
        <v>0</v>
      </c>
      <c r="J12" s="41">
        <f t="shared" si="0"/>
        <v>0</v>
      </c>
      <c r="K12" s="41">
        <f t="shared" si="1"/>
        <v>0</v>
      </c>
      <c r="M12" s="672"/>
      <c r="N12" s="672"/>
      <c r="O12" s="672"/>
      <c r="P12" s="672"/>
      <c r="Q12" s="672"/>
    </row>
    <row r="13" spans="1:20" s="7" customFormat="1" ht="15" customHeight="1">
      <c r="A13" s="167" t="s">
        <v>743</v>
      </c>
      <c r="B13" s="170">
        <f>IF(B11="I will input",B12,IF(B11="Detailed",E62,IF(B11="Industry Average",B67,B72)))</f>
        <v>0.11793732266471768</v>
      </c>
      <c r="C13" s="167"/>
      <c r="D13" s="167"/>
      <c r="E13" s="167"/>
      <c r="F13" s="34"/>
      <c r="G13" s="55"/>
      <c r="H13" s="55"/>
      <c r="I13" s="41">
        <f>IF(H13=0,0,VLOOKUP(G13,'Country equity risk premiums'!$A$5:$D$196,4))</f>
        <v>0</v>
      </c>
      <c r="J13" s="41">
        <f>IF(H13&gt;0,H13/$H$18,)</f>
        <v>0</v>
      </c>
      <c r="K13" s="41">
        <f>IF(J13=0,0,I13*J13)</f>
        <v>0</v>
      </c>
      <c r="M13" s="672"/>
      <c r="N13" s="672"/>
      <c r="O13" s="672"/>
      <c r="P13" s="672"/>
      <c r="Q13" s="672"/>
    </row>
    <row r="14" spans="1:20" s="7" customFormat="1" ht="15" customHeight="1" thickBot="1">
      <c r="A14" s="167"/>
      <c r="B14" s="167"/>
      <c r="C14" s="167"/>
      <c r="D14" s="167"/>
      <c r="E14" s="167"/>
      <c r="F14" s="34"/>
      <c r="G14" s="55"/>
      <c r="H14" s="55"/>
      <c r="I14" s="41">
        <f>IF(H14=0,0,VLOOKUP(G14,'Country equity risk premiums'!$A$5:$D$196,4))</f>
        <v>0</v>
      </c>
      <c r="J14" s="41">
        <f>IF(H14&gt;0,H14/$H$18,)</f>
        <v>0</v>
      </c>
      <c r="K14" s="41">
        <f>IF(J14=0,0,I14*J14)</f>
        <v>0</v>
      </c>
      <c r="M14" s="672"/>
      <c r="N14" s="672"/>
      <c r="O14" s="672"/>
      <c r="P14" s="672"/>
      <c r="Q14" s="672"/>
    </row>
    <row r="15" spans="1:20" s="7" customFormat="1" ht="15" customHeight="1" thickBot="1">
      <c r="A15" s="680" t="s">
        <v>731</v>
      </c>
      <c r="B15" s="681"/>
      <c r="C15" s="681"/>
      <c r="D15" s="681"/>
      <c r="E15" s="681"/>
      <c r="F15" s="682"/>
      <c r="G15" s="55"/>
      <c r="H15" s="55"/>
      <c r="I15" s="41">
        <f>IF(H15=0,0,VLOOKUP(G15,'Country equity risk premiums'!$A$5:$D$196,4))</f>
        <v>0</v>
      </c>
      <c r="J15" s="41">
        <f>IF(H15&gt;0,H15/$H$18,)</f>
        <v>0</v>
      </c>
      <c r="K15" s="41">
        <f>IF(J15=0,0,I15*J15)</f>
        <v>0</v>
      </c>
      <c r="M15" s="672"/>
      <c r="N15" s="672"/>
      <c r="O15" s="672"/>
      <c r="P15" s="672"/>
      <c r="Q15" s="672"/>
    </row>
    <row r="16" spans="1:20" s="7" customFormat="1" ht="15" customHeight="1">
      <c r="A16" s="9" t="s">
        <v>4</v>
      </c>
      <c r="B16" s="158"/>
      <c r="C16" s="82"/>
      <c r="D16" s="9"/>
      <c r="E16" s="9"/>
      <c r="F16" s="9"/>
      <c r="G16" s="113" t="s">
        <v>599</v>
      </c>
      <c r="H16" s="55">
        <v>10245</v>
      </c>
      <c r="I16" s="120">
        <v>5.5E-2</v>
      </c>
      <c r="J16" s="41">
        <f>IF(H16&gt;0,H16/$H$18,)</f>
        <v>0.16816585141656545</v>
      </c>
      <c r="K16" s="41">
        <f>IF(J16=0,0,I16*J16)</f>
        <v>9.2491218279110998E-3</v>
      </c>
      <c r="M16" s="672"/>
      <c r="N16" s="672"/>
      <c r="O16" s="672"/>
      <c r="P16" s="672"/>
      <c r="Q16" s="672"/>
    </row>
    <row r="17" spans="1:17" s="7" customFormat="1" ht="15" customHeight="1">
      <c r="A17" s="12" t="s">
        <v>157</v>
      </c>
      <c r="B17" s="159"/>
      <c r="G17" s="113"/>
      <c r="H17" s="55"/>
      <c r="I17" s="113"/>
      <c r="J17" s="41">
        <f>IF(H17&gt;0,H17/$H$18,)</f>
        <v>0</v>
      </c>
      <c r="K17" s="41">
        <f>IF(J17=0,0,I17*J17)</f>
        <v>0</v>
      </c>
      <c r="M17" s="672"/>
      <c r="N17" s="672"/>
      <c r="O17" s="672"/>
      <c r="P17" s="672"/>
      <c r="Q17" s="672"/>
    </row>
    <row r="18" spans="1:17" s="7" customFormat="1" ht="15" customHeight="1">
      <c r="A18" s="7" t="s">
        <v>158</v>
      </c>
      <c r="B18" s="38">
        <f>'Input sheet'!B20</f>
        <v>24490</v>
      </c>
      <c r="G18" s="56" t="s">
        <v>352</v>
      </c>
      <c r="H18" s="56">
        <f>SUM(H5:H17)</f>
        <v>60922</v>
      </c>
      <c r="I18" s="56"/>
      <c r="J18" s="41">
        <f>SUM(J5:J17)</f>
        <v>1</v>
      </c>
      <c r="K18" s="41">
        <f>SUM(K5:K17)</f>
        <v>4.8621436855898661E-2</v>
      </c>
      <c r="M18" s="672"/>
      <c r="N18" s="672"/>
      <c r="O18" s="672"/>
      <c r="P18" s="672"/>
      <c r="Q18" s="672"/>
    </row>
    <row r="19" spans="1:17" s="7" customFormat="1" ht="15" customHeight="1">
      <c r="A19" s="7" t="s">
        <v>159</v>
      </c>
      <c r="B19" s="39">
        <f>'Input sheet'!B21</f>
        <v>123</v>
      </c>
      <c r="G19" s="47" t="s">
        <v>415</v>
      </c>
      <c r="M19" s="672"/>
      <c r="N19" s="672"/>
      <c r="O19" s="672"/>
      <c r="P19" s="672"/>
      <c r="Q19" s="672"/>
    </row>
    <row r="20" spans="1:17" s="7" customFormat="1" ht="15" customHeight="1">
      <c r="G20" s="13" t="s">
        <v>327</v>
      </c>
      <c r="H20" s="13" t="s">
        <v>5</v>
      </c>
      <c r="I20" s="13" t="s">
        <v>349</v>
      </c>
      <c r="J20" s="13" t="s">
        <v>351</v>
      </c>
      <c r="K20" s="13" t="s">
        <v>350</v>
      </c>
    </row>
    <row r="21" spans="1:17" s="7" customFormat="1" ht="15" customHeight="1">
      <c r="A21" s="7" t="s">
        <v>441</v>
      </c>
      <c r="B21" s="55" t="s">
        <v>447</v>
      </c>
      <c r="G21" s="13" t="str">
        <f>'Country equity risk premiums'!A201</f>
        <v>Africa</v>
      </c>
      <c r="H21" s="55"/>
      <c r="I21" s="14">
        <f>'Country equity risk premiums'!B201</f>
        <v>0.10493973704915902</v>
      </c>
      <c r="J21" s="41">
        <f t="shared" ref="J21:J29" si="2">H21/$H$32</f>
        <v>0</v>
      </c>
      <c r="K21" s="58">
        <f>I21*J21</f>
        <v>0</v>
      </c>
    </row>
    <row r="22" spans="1:17" s="7" customFormat="1" ht="15" customHeight="1">
      <c r="A22" s="7" t="s">
        <v>443</v>
      </c>
      <c r="B22" s="83">
        <v>1.2</v>
      </c>
      <c r="G22" s="13" t="str">
        <f>'Country equity risk premiums'!A202</f>
        <v>Asia</v>
      </c>
      <c r="H22" s="55">
        <v>27899</v>
      </c>
      <c r="I22" s="14">
        <f>'Country equity risk premiums'!B202</f>
        <v>5.4008616059682123E-2</v>
      </c>
      <c r="J22" s="41">
        <f t="shared" si="2"/>
        <v>0.25831689860466839</v>
      </c>
      <c r="K22" s="58">
        <f t="shared" ref="K22:K29" si="3">I22*J22</f>
        <v>1.3951338198467372E-2</v>
      </c>
    </row>
    <row r="23" spans="1:17" s="7" customFormat="1" ht="15" customHeight="1">
      <c r="A23" s="7" t="s">
        <v>184</v>
      </c>
      <c r="B23" s="60">
        <f>IF(B21="Single Business(US)",VLOOKUP('Input sheet'!B8,'Industry Averages(US)'!A2:G95,7),IF(B21="Multibusiness(US)",K48,IF(B21="Single Business(Global)",VLOOKUP('Input sheet'!B9,'Industry Average Beta (Global)'!A2:G95,7),'Cost of capital worksheet'!K64)))</f>
        <v>1.4601551161065303</v>
      </c>
      <c r="G23" s="13" t="str">
        <f>'Country equity risk premiums'!A203</f>
        <v>Australia &amp; New Zealand</v>
      </c>
      <c r="H23" s="55"/>
      <c r="I23" s="14">
        <f>'Country equity risk premiums'!B203</f>
        <v>4.3331859249552414E-2</v>
      </c>
      <c r="J23" s="41">
        <f t="shared" si="2"/>
        <v>0</v>
      </c>
      <c r="K23" s="58">
        <f t="shared" si="3"/>
        <v>0</v>
      </c>
    </row>
    <row r="24" spans="1:17" s="7" customFormat="1" ht="15" customHeight="1">
      <c r="A24" s="7" t="s">
        <v>160</v>
      </c>
      <c r="B24" s="43">
        <f>'Input sheet'!B33</f>
        <v>4.7E-2</v>
      </c>
      <c r="G24" s="13" t="str">
        <f>'Country equity risk premiums'!A204</f>
        <v>Caribbean</v>
      </c>
      <c r="H24" s="55"/>
      <c r="I24" s="14">
        <f>'Country equity risk premiums'!B204</f>
        <v>0.10342263625836531</v>
      </c>
      <c r="J24" s="41">
        <f t="shared" si="2"/>
        <v>0</v>
      </c>
      <c r="K24" s="58">
        <f t="shared" si="3"/>
        <v>0</v>
      </c>
    </row>
    <row r="25" spans="1:17" s="7" customFormat="1" ht="15" customHeight="1">
      <c r="A25" s="7" t="s">
        <v>407</v>
      </c>
      <c r="B25" s="78" t="s">
        <v>410</v>
      </c>
      <c r="G25" s="13" t="str">
        <f>'Country equity risk premiums'!A205</f>
        <v>Central and South America</v>
      </c>
      <c r="H25" s="55"/>
      <c r="I25" s="14">
        <f>'Country equity risk premiums'!B205</f>
        <v>7.9069376863949853E-2</v>
      </c>
      <c r="J25" s="41">
        <f t="shared" si="2"/>
        <v>0</v>
      </c>
      <c r="K25" s="58">
        <f t="shared" si="3"/>
        <v>0</v>
      </c>
    </row>
    <row r="26" spans="1:17" s="7" customFormat="1" ht="15" customHeight="1">
      <c r="A26" s="7" t="s">
        <v>413</v>
      </c>
      <c r="B26" s="78">
        <v>0.06</v>
      </c>
      <c r="G26" s="13" t="str">
        <f>'Country equity risk premiums'!A206</f>
        <v>Eastern Europe</v>
      </c>
      <c r="H26" s="55"/>
      <c r="I26" s="14">
        <f>'Country equity risk premiums'!B206</f>
        <v>6.8513162818787027E-2</v>
      </c>
      <c r="J26" s="41">
        <f t="shared" si="2"/>
        <v>0</v>
      </c>
      <c r="K26" s="58">
        <f t="shared" si="3"/>
        <v>0</v>
      </c>
    </row>
    <row r="27" spans="1:17" s="7" customFormat="1" ht="15" customHeight="1">
      <c r="A27" s="7" t="s">
        <v>414</v>
      </c>
      <c r="B27" s="79">
        <f>IF(B25="Will Input",B26,IF(B25="Country of Incorporation",VLOOKUP('Input sheet'!B7,'Country equity risk premiums'!A5:E195,4),IF(B25="Operating regions",'Cost of capital worksheet'!K32,'Cost of capital worksheet'!K18)))</f>
        <v>4.8621436855898661E-2</v>
      </c>
      <c r="G27" s="13" t="str">
        <f>'Country equity risk premiums'!A207</f>
        <v>Middle East</v>
      </c>
      <c r="H27" s="55"/>
      <c r="I27" s="14">
        <f>'Country equity risk premiums'!B207</f>
        <v>5.8872784754721283E-2</v>
      </c>
      <c r="J27" s="41">
        <f t="shared" si="2"/>
        <v>0</v>
      </c>
      <c r="K27" s="58">
        <f t="shared" si="3"/>
        <v>0</v>
      </c>
    </row>
    <row r="28" spans="1:17" s="7" customFormat="1" ht="15" customHeight="1">
      <c r="G28" s="13" t="str">
        <f>'Country equity risk premiums'!A208</f>
        <v>North America</v>
      </c>
      <c r="H28" s="55">
        <v>8292</v>
      </c>
      <c r="I28" s="14">
        <f>'Country equity risk premiums'!B208</f>
        <v>4.3299999999999998E-2</v>
      </c>
      <c r="J28" s="41">
        <f t="shared" si="2"/>
        <v>7.6775645120968863E-2</v>
      </c>
      <c r="K28" s="58">
        <f t="shared" si="3"/>
        <v>3.3243854337379518E-3</v>
      </c>
    </row>
    <row r="29" spans="1:17" s="7" customFormat="1" ht="15" customHeight="1">
      <c r="A29" s="12" t="s">
        <v>161</v>
      </c>
      <c r="G29" s="13" t="str">
        <f>'Country equity risk premiums'!A193</f>
        <v>Vietnam</v>
      </c>
      <c r="H29" s="55">
        <v>5389</v>
      </c>
      <c r="I29" s="14">
        <f>'Country equity risk premiums'!B209</f>
        <v>5.1574105096747001E-2</v>
      </c>
      <c r="J29" s="41">
        <f t="shared" si="2"/>
        <v>4.9896762126977953E-2</v>
      </c>
      <c r="K29" s="58">
        <f t="shared" si="3"/>
        <v>2.5733808539241463E-3</v>
      </c>
    </row>
    <row r="30" spans="1:17" s="7" customFormat="1" ht="15" customHeight="1">
      <c r="A30" s="7" t="s">
        <v>162</v>
      </c>
      <c r="B30" s="39">
        <f>'Input sheet'!B14</f>
        <v>10225</v>
      </c>
      <c r="G30" s="55"/>
      <c r="H30" s="55"/>
      <c r="I30" s="114"/>
      <c r="J30" s="41">
        <f>H30/$H$32</f>
        <v>0</v>
      </c>
      <c r="K30" s="58">
        <f>I30*J30</f>
        <v>0</v>
      </c>
    </row>
    <row r="31" spans="1:17" s="7" customFormat="1" ht="15" customHeight="1">
      <c r="A31" s="7" t="s">
        <v>163</v>
      </c>
      <c r="B31" s="39">
        <f>'Input sheet'!B12</f>
        <v>249</v>
      </c>
      <c r="G31" s="55" t="s">
        <v>618</v>
      </c>
      <c r="H31" s="55">
        <v>66423</v>
      </c>
      <c r="I31" s="114">
        <v>5.1999999999999998E-2</v>
      </c>
      <c r="J31" s="41">
        <f>H31/$H$32</f>
        <v>0.61501069414738474</v>
      </c>
      <c r="K31" s="58">
        <f>I31*J31</f>
        <v>3.1980556095664005E-2</v>
      </c>
    </row>
    <row r="32" spans="1:17" s="7" customFormat="1" ht="15" customHeight="1">
      <c r="A32" s="7" t="s">
        <v>164</v>
      </c>
      <c r="B32" s="35">
        <v>3</v>
      </c>
      <c r="G32" s="56" t="s">
        <v>352</v>
      </c>
      <c r="H32" s="56">
        <f>SUM(H21:H31)</f>
        <v>108003</v>
      </c>
      <c r="I32" s="43"/>
      <c r="J32" s="41">
        <f>SUM(J21:J31)</f>
        <v>1</v>
      </c>
      <c r="K32" s="59">
        <f>SUM(K21:K31)</f>
        <v>5.1829660581793474E-2</v>
      </c>
    </row>
    <row r="33" spans="1:20" s="7" customFormat="1" ht="15" customHeight="1">
      <c r="A33" s="7" t="s">
        <v>420</v>
      </c>
      <c r="B33" s="50" t="s">
        <v>419</v>
      </c>
    </row>
    <row r="34" spans="1:20" s="7" customFormat="1" ht="15" customHeight="1">
      <c r="A34" s="7" t="s">
        <v>422</v>
      </c>
      <c r="B34" s="80">
        <v>0.04</v>
      </c>
      <c r="G34" s="34" t="s">
        <v>444</v>
      </c>
    </row>
    <row r="35" spans="1:20" s="7" customFormat="1" ht="15" customHeight="1">
      <c r="A35" s="7" t="s">
        <v>421</v>
      </c>
      <c r="B35" s="50" t="s">
        <v>434</v>
      </c>
      <c r="G35" s="13" t="s">
        <v>362</v>
      </c>
      <c r="H35" s="13" t="s">
        <v>5</v>
      </c>
      <c r="I35" s="13" t="s">
        <v>143</v>
      </c>
      <c r="J35" s="13" t="s">
        <v>363</v>
      </c>
      <c r="K35" s="13" t="s">
        <v>185</v>
      </c>
      <c r="L35" s="13" t="s">
        <v>126</v>
      </c>
    </row>
    <row r="36" spans="1:20" s="7" customFormat="1" ht="15" customHeight="1">
      <c r="A36" s="7" t="s">
        <v>438</v>
      </c>
      <c r="B36" s="50">
        <v>2</v>
      </c>
      <c r="G36" s="55" t="s">
        <v>712</v>
      </c>
      <c r="H36" s="61">
        <v>25878</v>
      </c>
      <c r="I36" s="62">
        <f>IF(G36=0,,VLOOKUP(G36,'Industry Averages(US)'!$A$2:$S$95,15))</f>
        <v>14.645136031617927</v>
      </c>
      <c r="J36" s="63">
        <f>H36*I36</f>
        <v>378986.83022620872</v>
      </c>
      <c r="K36" s="161">
        <f>IF(I36=0,0,VLOOKUP(G36,'Industry Averages(US)'!$A$2:$S$95,7))</f>
        <v>1.4601551161065303</v>
      </c>
      <c r="L36" s="163">
        <f>IF(I36=0,0,VLOOKUP(G36,'Industry Averages(US)'!$A$2:$S$95,13))</f>
        <v>0.10763510523051874</v>
      </c>
    </row>
    <row r="37" spans="1:20" s="7" customFormat="1" ht="15" customHeight="1">
      <c r="A37" s="7" t="s">
        <v>105</v>
      </c>
      <c r="B37" s="79">
        <f>IF(B33="Direct Input",B34,IF(B33="Synthetic Rating",'Synthetic rating'!D16,B24+VLOOKUP('Cost of capital worksheet'!B35,'Synthetic rating'!G42:H56,2)))</f>
        <v>6.1200000000000004E-2</v>
      </c>
      <c r="G37" s="55"/>
      <c r="H37" s="61"/>
      <c r="I37" s="62">
        <f>IF(G37=0,,VLOOKUP(G37,'Industry Averages(US)'!$A$2:$S$95,15))</f>
        <v>0</v>
      </c>
      <c r="J37" s="63">
        <f>H37*I37</f>
        <v>0</v>
      </c>
      <c r="K37" s="161">
        <f>IF(I37=0,0,VLOOKUP(G37,'Industry Averages(US)'!$A$2:$S$95,7))</f>
        <v>0</v>
      </c>
      <c r="L37" s="163">
        <f>IF(I37=0,0,VLOOKUP(G37,'Industry Averages(US)'!$A$2:$S$95,13))</f>
        <v>0</v>
      </c>
    </row>
    <row r="38" spans="1:20" s="7" customFormat="1" ht="15" customHeight="1">
      <c r="A38" s="7" t="s">
        <v>165</v>
      </c>
      <c r="B38" s="81">
        <f>'Input sheet'!B23</f>
        <v>0.25</v>
      </c>
      <c r="G38" s="55"/>
      <c r="H38" s="61"/>
      <c r="I38" s="62">
        <f>IF(G38=0,,VLOOKUP(G38,'Industry Averages(US)'!$A$2:$S$95,15))</f>
        <v>0</v>
      </c>
      <c r="J38" s="63">
        <f t="shared" ref="J38:J47" si="4">H38*I38</f>
        <v>0</v>
      </c>
      <c r="K38" s="161">
        <f>IF(I38=0,0,VLOOKUP(G38,'Industry Averages(US)'!$A$2:$S$95,7))</f>
        <v>0</v>
      </c>
      <c r="L38" s="163">
        <f>IF(I38=0,0,VLOOKUP(G38,'Industry Averages(US)'!$A$2:$S$95,13))</f>
        <v>0</v>
      </c>
    </row>
    <row r="39" spans="1:20" s="7" customFormat="1" ht="15" customHeight="1">
      <c r="G39" s="55"/>
      <c r="H39" s="61"/>
      <c r="I39" s="62">
        <f>IF(G39=0,,VLOOKUP(G39,'Industry Averages(US)'!$A$2:$S$95,15))</f>
        <v>0</v>
      </c>
      <c r="J39" s="63">
        <f t="shared" si="4"/>
        <v>0</v>
      </c>
      <c r="K39" s="161">
        <f>IF(I39=0,0,VLOOKUP(G39,'Industry Averages(US)'!$A$2:$S$95,7))</f>
        <v>0</v>
      </c>
      <c r="L39" s="163">
        <f>IF(I39=0,0,VLOOKUP(G39,'Industry Averages(US)'!$A$2:$S$95,13))</f>
        <v>0</v>
      </c>
      <c r="T39" s="36"/>
    </row>
    <row r="40" spans="1:20" s="36" customFormat="1" ht="15" customHeight="1">
      <c r="A40" s="7" t="s">
        <v>166</v>
      </c>
      <c r="B40" s="35">
        <v>0</v>
      </c>
      <c r="C40" s="7"/>
      <c r="D40" s="7"/>
      <c r="E40" s="7"/>
      <c r="F40" s="7"/>
      <c r="G40" s="55"/>
      <c r="H40" s="61"/>
      <c r="I40" s="62">
        <f>IF(G40=0,,VLOOKUP(G40,'Industry Averages(US)'!$A$2:$S$95,15))</f>
        <v>0</v>
      </c>
      <c r="J40" s="63">
        <f t="shared" si="4"/>
        <v>0</v>
      </c>
      <c r="K40" s="161">
        <f>IF(I40=0,0,VLOOKUP(G40,'Industry Averages(US)'!$A$2:$S$95,7))</f>
        <v>0</v>
      </c>
      <c r="L40" s="163">
        <f>IF(I40=0,0,VLOOKUP(G40,'Industry Averages(US)'!$A$2:$S$95,13))</f>
        <v>0</v>
      </c>
      <c r="T40" s="7"/>
    </row>
    <row r="41" spans="1:20" s="7" customFormat="1" ht="15" customHeight="1">
      <c r="A41" s="7" t="s">
        <v>167</v>
      </c>
      <c r="B41" s="35">
        <v>0</v>
      </c>
      <c r="G41" s="55"/>
      <c r="H41" s="61"/>
      <c r="I41" s="62">
        <f>IF(G41=0,,VLOOKUP(G41,'Industry Averages(US)'!$A$2:$S$95,15))</f>
        <v>0</v>
      </c>
      <c r="J41" s="63">
        <f t="shared" si="4"/>
        <v>0</v>
      </c>
      <c r="K41" s="161">
        <f>IF(I41=0,0,VLOOKUP(G41,'Industry Averages(US)'!$A$2:$S$95,7))</f>
        <v>0</v>
      </c>
      <c r="L41" s="163">
        <f>IF(I41=0,0,VLOOKUP(G41,'Industry Averages(US)'!$A$2:$S$95,13))</f>
        <v>0</v>
      </c>
    </row>
    <row r="42" spans="1:20" s="7" customFormat="1" ht="15" customHeight="1">
      <c r="A42" s="7" t="s">
        <v>168</v>
      </c>
      <c r="B42" s="35">
        <v>0</v>
      </c>
      <c r="G42" s="55"/>
      <c r="H42" s="61"/>
      <c r="I42" s="62">
        <f>IF(G42=0,,VLOOKUP(G42,'Industry Averages(US)'!$A$2:$S$95,15))</f>
        <v>0</v>
      </c>
      <c r="J42" s="63">
        <f t="shared" si="4"/>
        <v>0</v>
      </c>
      <c r="K42" s="161">
        <f>IF(I42=0,0,VLOOKUP(G42,'Industry Averages(US)'!$A$2:$S$95,7))</f>
        <v>0</v>
      </c>
      <c r="L42" s="163">
        <f>IF(I42=0,0,VLOOKUP(G42,'Industry Averages(US)'!$A$2:$S$95,13))</f>
        <v>0</v>
      </c>
    </row>
    <row r="43" spans="1:20" s="7" customFormat="1" ht="15" customHeight="1">
      <c r="A43" s="7" t="s">
        <v>169</v>
      </c>
      <c r="B43" s="35">
        <v>0</v>
      </c>
      <c r="G43" s="55"/>
      <c r="H43" s="61"/>
      <c r="I43" s="62">
        <f>IF(G43=0,,VLOOKUP(G43,'Industry Averages(US)'!$A$2:$S$95,15))</f>
        <v>0</v>
      </c>
      <c r="J43" s="63">
        <f t="shared" si="4"/>
        <v>0</v>
      </c>
      <c r="K43" s="161">
        <f>IF(I43=0,0,VLOOKUP(G43,'Industry Averages(US)'!$A$2:$S$95,7))</f>
        <v>0</v>
      </c>
      <c r="L43" s="163">
        <f>IF(I43=0,0,VLOOKUP(G43,'Industry Averages(US)'!$A$2:$S$95,13))</f>
        <v>0</v>
      </c>
      <c r="T43"/>
    </row>
    <row r="44" spans="1:20" ht="14" customHeight="1">
      <c r="A44" s="7"/>
      <c r="B44" s="7"/>
      <c r="C44" s="7"/>
      <c r="D44" s="7"/>
      <c r="E44" s="7"/>
      <c r="F44" s="7"/>
      <c r="G44" s="55"/>
      <c r="H44" s="61"/>
      <c r="I44" s="62">
        <f>IF(G44=0,,VLOOKUP(G44,'Industry Averages(US)'!$A$2:$S$95,15))</f>
        <v>0</v>
      </c>
      <c r="J44" s="63">
        <f t="shared" si="4"/>
        <v>0</v>
      </c>
      <c r="K44" s="161">
        <f>IF(I44=0,0,VLOOKUP(G44,'Industry Averages(US)'!$A$2:$S$95,7))</f>
        <v>0</v>
      </c>
      <c r="L44" s="163">
        <f>IF(I44=0,0,VLOOKUP(G44,'Industry Averages(US)'!$A$2:$S$95,13))</f>
        <v>0</v>
      </c>
      <c r="M44" s="663" t="s">
        <v>892</v>
      </c>
      <c r="N44" s="664"/>
      <c r="O44" s="665"/>
    </row>
    <row r="45" spans="1:20" ht="14">
      <c r="A45" s="7" t="s">
        <v>170</v>
      </c>
      <c r="B45" s="39">
        <f>IF('Input sheet'!B16="Yes",'Operating lease converter'!F33,0)</f>
        <v>0</v>
      </c>
      <c r="C45" s="7"/>
      <c r="D45" s="7"/>
      <c r="E45" s="7"/>
      <c r="F45" s="7"/>
      <c r="G45" s="55"/>
      <c r="H45" s="61"/>
      <c r="I45" s="62">
        <f>IF(G45=0,,VLOOKUP(G45,'Industry Averages(US)'!$A$2:$S$95,15))</f>
        <v>0</v>
      </c>
      <c r="J45" s="63">
        <f t="shared" si="4"/>
        <v>0</v>
      </c>
      <c r="K45" s="161">
        <f>IF(I45=0,0,VLOOKUP(G45,'Industry Averages(US)'!$A$2:$S$95,7))</f>
        <v>0</v>
      </c>
      <c r="L45" s="163">
        <f>IF(I45=0,0,VLOOKUP(G45,'Industry Averages(US)'!$A$2:$S$95,13))</f>
        <v>0</v>
      </c>
      <c r="M45" s="666"/>
      <c r="N45" s="667"/>
      <c r="O45" s="668"/>
    </row>
    <row r="46" spans="1:20" ht="14">
      <c r="A46" s="7"/>
      <c r="B46" s="7"/>
      <c r="C46" s="7"/>
      <c r="D46" s="7"/>
      <c r="E46" s="7"/>
      <c r="F46" s="7"/>
      <c r="G46" s="55"/>
      <c r="H46" s="61"/>
      <c r="I46" s="62">
        <f>IF(G46=0,,VLOOKUP(G46,'Industry Averages(US)'!$A$2:$S$95,15))</f>
        <v>0</v>
      </c>
      <c r="J46" s="63">
        <f t="shared" si="4"/>
        <v>0</v>
      </c>
      <c r="K46" s="161">
        <f>IF(I46=0,0,VLOOKUP(G46,'Industry Averages(US)'!$A$2:$S$95,7))</f>
        <v>0</v>
      </c>
      <c r="L46" s="163">
        <f>IF(I46=0,0,VLOOKUP(G46,'Industry Averages(US)'!$A$2:$S$95,13))</f>
        <v>0</v>
      </c>
      <c r="M46" s="666"/>
      <c r="N46" s="667"/>
      <c r="O46" s="668"/>
    </row>
    <row r="47" spans="1:20" ht="14">
      <c r="A47" s="12" t="s">
        <v>171</v>
      </c>
      <c r="B47" s="7"/>
      <c r="C47" s="7"/>
      <c r="D47" s="7"/>
      <c r="E47" s="7"/>
      <c r="F47" s="7"/>
      <c r="G47" s="55"/>
      <c r="H47" s="61"/>
      <c r="I47" s="62">
        <f>IF(G47=0,,VLOOKUP(G47,'Industry Averages(US)'!$A$2:$S$95,15))</f>
        <v>0</v>
      </c>
      <c r="J47" s="63">
        <f t="shared" si="4"/>
        <v>0</v>
      </c>
      <c r="K47" s="161">
        <f>IF(I47=0,0,VLOOKUP(G47,'Industry Averages(US)'!$A$2:$S$95,7))</f>
        <v>0</v>
      </c>
      <c r="L47" s="163">
        <f>IF(I47=0,0,VLOOKUP(G47,'Industry Averages(US)'!$A$2:$S$95,13))</f>
        <v>0</v>
      </c>
      <c r="M47" s="666"/>
      <c r="N47" s="667"/>
      <c r="O47" s="668"/>
    </row>
    <row r="48" spans="1:20" ht="14">
      <c r="A48" s="7" t="s">
        <v>172</v>
      </c>
      <c r="B48" s="35">
        <v>0</v>
      </c>
      <c r="C48" s="7"/>
      <c r="D48" s="7"/>
      <c r="E48" s="7"/>
      <c r="F48" s="7"/>
      <c r="G48" s="64" t="s">
        <v>213</v>
      </c>
      <c r="H48" s="65">
        <f>SUM(H36:H47)</f>
        <v>25878</v>
      </c>
      <c r="I48" s="66"/>
      <c r="J48" s="63">
        <f>SUM(J36:J47)</f>
        <v>378986.83022620872</v>
      </c>
      <c r="K48" s="162">
        <f>K36*(J36/J48)+K37*J37/J48+K38*J38/J48+K39*J39/J48+K40*J40/J48+K41*J41/J48+K42*J42/J48+K43*J43/J48+K44*J44/J48+K45*J45/J48+K46*J46/J48+K47*J47/J48</f>
        <v>1.4601551161065303</v>
      </c>
      <c r="L48" s="164">
        <f>L36*(J36/J48)+L37*J37/J48+L38*J38/J48+L39*J39/J48+L40*J40/J48+L41*J41/J48+L42*J42/J48+L43*J43/J48+L44*J44/J48+L45*J45/J48+L46*J46/J48+L47*J47/J48</f>
        <v>0.10763510523051874</v>
      </c>
      <c r="M48" s="669"/>
      <c r="N48" s="670"/>
      <c r="O48" s="671"/>
    </row>
    <row r="49" spans="1:15" ht="14">
      <c r="A49" s="7" t="s">
        <v>173</v>
      </c>
      <c r="B49" s="35">
        <v>70</v>
      </c>
      <c r="C49" s="7"/>
      <c r="D49" s="7"/>
      <c r="E49" s="7"/>
      <c r="F49" s="7"/>
    </row>
    <row r="50" spans="1:15" ht="18">
      <c r="A50" s="7" t="s">
        <v>174</v>
      </c>
      <c r="B50" s="35">
        <v>5</v>
      </c>
      <c r="C50" s="7"/>
      <c r="D50" s="7"/>
      <c r="E50" s="7"/>
      <c r="F50" s="7"/>
      <c r="G50" s="84" t="s">
        <v>445</v>
      </c>
    </row>
    <row r="51" spans="1:15" ht="14">
      <c r="A51" s="7"/>
      <c r="B51" s="7"/>
      <c r="C51" s="7"/>
      <c r="D51" s="7"/>
      <c r="E51" s="7"/>
      <c r="F51" s="7"/>
      <c r="G51" s="13" t="s">
        <v>362</v>
      </c>
      <c r="H51" s="13" t="s">
        <v>5</v>
      </c>
      <c r="I51" s="13" t="s">
        <v>143</v>
      </c>
      <c r="J51" s="13" t="s">
        <v>363</v>
      </c>
      <c r="K51" s="13" t="s">
        <v>185</v>
      </c>
      <c r="L51" s="13" t="s">
        <v>126</v>
      </c>
    </row>
    <row r="52" spans="1:15" ht="14">
      <c r="A52" s="9" t="s">
        <v>104</v>
      </c>
      <c r="B52" s="7"/>
      <c r="C52" s="7"/>
      <c r="D52" s="7"/>
      <c r="E52" s="7"/>
      <c r="F52" s="7"/>
      <c r="G52" s="55" t="s">
        <v>712</v>
      </c>
      <c r="H52" s="61">
        <v>25878</v>
      </c>
      <c r="I52" s="62">
        <f>IF(G52=0,,VLOOKUP(G52,'Industry Average Beta (Global)'!$A$2:$O$95,15))</f>
        <v>8.7089915822144945</v>
      </c>
      <c r="J52" s="63">
        <f>H52*I52</f>
        <v>225371.2841645467</v>
      </c>
      <c r="K52" s="62">
        <f>IF(G52=0,,VLOOKUP(G52,'Industry Average Beta (Global)'!$A$2:$O$95,7))</f>
        <v>1.6614076139987826</v>
      </c>
      <c r="L52" s="163">
        <f>IF(I52=0,0,VLOOKUP(G52,'Industry Average Beta (Global)'!$A$2:$M$95,13))</f>
        <v>0.13648766667355014</v>
      </c>
    </row>
    <row r="53" spans="1:15" ht="14">
      <c r="A53" s="13" t="s">
        <v>175</v>
      </c>
      <c r="B53" s="13"/>
      <c r="C53" s="40">
        <f>B31*(1-(1+B37)^(-B32))/B37+B30/(1+B37)^B32</f>
        <v>9220.1211039887658</v>
      </c>
      <c r="D53" s="7"/>
      <c r="E53" s="7"/>
      <c r="F53" s="7"/>
      <c r="G53" s="55"/>
      <c r="H53" s="61"/>
      <c r="I53" s="62">
        <f>IF(G53=0,,VLOOKUP(G53,'Industry Average Beta (Global)'!$A$2:$O$95,15))</f>
        <v>0</v>
      </c>
      <c r="J53" s="63">
        <f>H53*I53</f>
        <v>0</v>
      </c>
      <c r="K53" s="62">
        <f>IF(G53=0,,VLOOKUP(G53,'Industry Average Beta (Global)'!$A$2:$O$95,7))</f>
        <v>0</v>
      </c>
      <c r="L53" s="163">
        <f>IF(I53=0,0,VLOOKUP(G53,'Industry Average Beta (Global)'!$A$2:$M$95,13))</f>
        <v>0</v>
      </c>
    </row>
    <row r="54" spans="1:15" ht="14">
      <c r="A54" s="13" t="s">
        <v>176</v>
      </c>
      <c r="B54" s="13"/>
      <c r="C54" s="40">
        <f>B41*(1-(1+B37)^(-B42))/B37+B40/(1+B37)^B42</f>
        <v>0</v>
      </c>
      <c r="D54" s="7"/>
      <c r="E54" s="7"/>
      <c r="F54" s="7"/>
      <c r="G54" s="55"/>
      <c r="H54" s="61"/>
      <c r="I54" s="62">
        <f>IF(G54=0,,VLOOKUP(G54,'Industry Average Beta (Global)'!$A$2:$O$95,15))</f>
        <v>0</v>
      </c>
      <c r="J54" s="63">
        <f t="shared" ref="J54:J63" si="5">H54*I54</f>
        <v>0</v>
      </c>
      <c r="K54" s="62">
        <f>IF(G54=0,,VLOOKUP(G54,'Industry Average Beta (Global)'!$A$2:$O$95,7))</f>
        <v>0</v>
      </c>
      <c r="L54" s="163">
        <f>IF(I54=0,0,VLOOKUP(G54,'Industry Average Beta (Global)'!$A$2:$M$95,13))</f>
        <v>0</v>
      </c>
    </row>
    <row r="55" spans="1:15" ht="14">
      <c r="A55" s="13" t="s">
        <v>177</v>
      </c>
      <c r="B55" s="13"/>
      <c r="C55" s="40">
        <f>B45</f>
        <v>0</v>
      </c>
      <c r="D55" s="7"/>
      <c r="E55" s="7"/>
      <c r="F55" s="7"/>
      <c r="G55" s="55"/>
      <c r="H55" s="61"/>
      <c r="I55" s="62">
        <f>IF(G55=0,,VLOOKUP(G55,'Industry Average Beta (Global)'!$A$2:$O$95,15))</f>
        <v>0</v>
      </c>
      <c r="J55" s="63">
        <f t="shared" si="5"/>
        <v>0</v>
      </c>
      <c r="K55" s="62">
        <f>IF(G55=0,,VLOOKUP(G55,'Industry Average Beta (Global)'!$A$2:$O$95,7))</f>
        <v>0</v>
      </c>
      <c r="L55" s="163">
        <f>IF(I55=0,0,VLOOKUP(G55,'Industry Average Beta (Global)'!$A$2:$M$95,13))</f>
        <v>0</v>
      </c>
    </row>
    <row r="56" spans="1:15" ht="14">
      <c r="A56" s="13" t="s">
        <v>178</v>
      </c>
      <c r="B56" s="13"/>
      <c r="C56" s="40">
        <f>B43-C54</f>
        <v>0</v>
      </c>
      <c r="D56" s="7"/>
      <c r="E56" s="7"/>
      <c r="F56" s="7"/>
      <c r="G56" s="55"/>
      <c r="H56" s="61"/>
      <c r="I56" s="62">
        <f>IF(G56=0,,VLOOKUP(G56,'Industry Average Beta (Global)'!$A$2:$O$95,15))</f>
        <v>0</v>
      </c>
      <c r="J56" s="63">
        <f t="shared" si="5"/>
        <v>0</v>
      </c>
      <c r="K56" s="62">
        <f>IF(G56=0,,VLOOKUP(G56,'Industry Average Beta (Global)'!$A$2:$O$95,7))</f>
        <v>0</v>
      </c>
      <c r="L56" s="163">
        <f>IF(I56=0,0,VLOOKUP(G56,'Industry Average Beta (Global)'!$A$2:$M$95,13))</f>
        <v>0</v>
      </c>
    </row>
    <row r="57" spans="1:15" ht="14">
      <c r="A57" s="13" t="s">
        <v>186</v>
      </c>
      <c r="B57" s="13"/>
      <c r="C57" s="46">
        <f>IF(B21="Direct Input",B22,B23*(1+(1-B38)*(C60/B60)))</f>
        <v>1.4635071082091085</v>
      </c>
      <c r="D57" s="7"/>
      <c r="E57" s="7"/>
      <c r="F57" s="7"/>
      <c r="G57" s="55"/>
      <c r="H57" s="61"/>
      <c r="I57" s="62">
        <f>IF(G57=0,,VLOOKUP(G57,'Industry Average Beta (Global)'!$A$2:$O$95,15))</f>
        <v>0</v>
      </c>
      <c r="J57" s="63">
        <f t="shared" si="5"/>
        <v>0</v>
      </c>
      <c r="K57" s="62">
        <f>IF(G57=0,,VLOOKUP(G57,'Industry Average Beta (Global)'!$A$2:$O$95,7))</f>
        <v>0</v>
      </c>
      <c r="L57" s="163">
        <f>IF(I57=0,0,VLOOKUP(G57,'Industry Average Beta (Global)'!$A$2:$M$95,13))</f>
        <v>0</v>
      </c>
    </row>
    <row r="58" spans="1:15" ht="14">
      <c r="A58" s="7"/>
      <c r="B58" s="7"/>
      <c r="C58" s="46"/>
      <c r="D58" s="7"/>
      <c r="E58" s="7"/>
      <c r="F58" s="7"/>
      <c r="G58" s="55"/>
      <c r="H58" s="61"/>
      <c r="I58" s="62">
        <f>IF(G58=0,,VLOOKUP(G58,'Industry Average Beta (Global)'!$A$2:$O$95,15))</f>
        <v>0</v>
      </c>
      <c r="J58" s="63">
        <f t="shared" si="5"/>
        <v>0</v>
      </c>
      <c r="K58" s="62">
        <f>IF(G58=0,,VLOOKUP(G58,'Industry Average Beta (Global)'!$A$2:$O$95,7))</f>
        <v>0</v>
      </c>
      <c r="L58" s="163">
        <f>IF(I58=0,0,VLOOKUP(G58,'Industry Average Beta (Global)'!$A$2:$M$95,13))</f>
        <v>0</v>
      </c>
    </row>
    <row r="59" spans="1:15" ht="14">
      <c r="A59" s="36"/>
      <c r="B59" s="37" t="s">
        <v>157</v>
      </c>
      <c r="C59" s="37" t="s">
        <v>179</v>
      </c>
      <c r="D59" s="37" t="s">
        <v>171</v>
      </c>
      <c r="E59" s="37" t="s">
        <v>180</v>
      </c>
      <c r="F59" s="36"/>
      <c r="G59" s="160"/>
      <c r="H59" s="61"/>
      <c r="I59" s="62">
        <f>IF(G59=0,,VLOOKUP(G59,'Industry Average Beta (Global)'!$A$2:$O$95,15))</f>
        <v>0</v>
      </c>
      <c r="J59" s="63">
        <f t="shared" si="5"/>
        <v>0</v>
      </c>
      <c r="K59" s="62">
        <f>IF(G59=0,,VLOOKUP(G59,'Industry Average Beta (Global)'!$A$2:$O$95,7))</f>
        <v>0</v>
      </c>
      <c r="L59" s="163">
        <f>IF(I59=0,0,VLOOKUP(G59,'Industry Average Beta (Global)'!$A$2:$M$95,13))</f>
        <v>0</v>
      </c>
    </row>
    <row r="60" spans="1:15" ht="14" customHeight="1">
      <c r="A60" s="13" t="s">
        <v>181</v>
      </c>
      <c r="B60" s="40">
        <f>B18*B19</f>
        <v>3012270</v>
      </c>
      <c r="C60" s="143">
        <f>C53+C54+C55</f>
        <v>9220.1211039887658</v>
      </c>
      <c r="D60" s="40">
        <f>B48*B49</f>
        <v>0</v>
      </c>
      <c r="E60" s="143">
        <f>SUM(B60:D60)</f>
        <v>3021490.121103989</v>
      </c>
      <c r="F60" s="7"/>
      <c r="G60" s="55"/>
      <c r="H60" s="61"/>
      <c r="I60" s="62">
        <f>IF(G60=0,,VLOOKUP(G60,'Industry Average Beta (Global)'!$A$2:$O$95,15))</f>
        <v>0</v>
      </c>
      <c r="J60" s="63">
        <f t="shared" si="5"/>
        <v>0</v>
      </c>
      <c r="K60" s="62">
        <f>IF(G60=0,,VLOOKUP(G60,'Industry Average Beta (Global)'!$A$2:$O$95,7))</f>
        <v>0</v>
      </c>
      <c r="L60" s="163">
        <f>IF(I60=0,0,VLOOKUP(G60,'Industry Average Beta (Global)'!$A$2:$M$95,13))</f>
        <v>0</v>
      </c>
      <c r="M60" s="663" t="s">
        <v>892</v>
      </c>
      <c r="N60" s="664"/>
      <c r="O60" s="665"/>
    </row>
    <row r="61" spans="1:15" ht="15" thickBot="1">
      <c r="A61" s="13" t="s">
        <v>182</v>
      </c>
      <c r="B61" s="41">
        <f>B60/$E$60</f>
        <v>0.99694848543783421</v>
      </c>
      <c r="C61" s="41">
        <f>C60/$E$60</f>
        <v>3.0515145621657462E-3</v>
      </c>
      <c r="D61" s="41">
        <f>D60/$E$60</f>
        <v>0</v>
      </c>
      <c r="E61" s="42">
        <f>SUM(B61:D61)</f>
        <v>1</v>
      </c>
      <c r="F61" s="7"/>
      <c r="G61" s="55"/>
      <c r="H61" s="61"/>
      <c r="I61" s="62">
        <f>IF(G61=0,,VLOOKUP(G61,'Industry Average Beta (Global)'!$A$2:$O$95,15))</f>
        <v>0</v>
      </c>
      <c r="J61" s="63">
        <f t="shared" si="5"/>
        <v>0</v>
      </c>
      <c r="K61" s="62">
        <f>IF(G61=0,,VLOOKUP(G61,'Industry Average Beta (Global)'!$A$2:$O$95,7))</f>
        <v>0</v>
      </c>
      <c r="L61" s="163">
        <f>IF(I61=0,0,VLOOKUP(G61,'Industry Average Beta (Global)'!$A$2:$M$95,13))</f>
        <v>0</v>
      </c>
      <c r="M61" s="666"/>
      <c r="N61" s="667"/>
      <c r="O61" s="668"/>
    </row>
    <row r="62" spans="1:15" ht="15" thickBot="1">
      <c r="A62" s="13" t="s">
        <v>183</v>
      </c>
      <c r="B62" s="43">
        <f>B24+C57*B27</f>
        <v>0.11815781844994802</v>
      </c>
      <c r="C62" s="41">
        <f>B37*(1-B38)</f>
        <v>4.5900000000000003E-2</v>
      </c>
      <c r="D62" s="44">
        <f>B50/B49</f>
        <v>7.1428571428571425E-2</v>
      </c>
      <c r="E62" s="45">
        <f>B61*B62+C61*C62+D61*D62</f>
        <v>0.11793732266471768</v>
      </c>
      <c r="F62" s="7"/>
      <c r="G62" s="55"/>
      <c r="H62" s="61"/>
      <c r="I62" s="62">
        <f>IF(G62=0,,VLOOKUP(G62,'Industry Average Beta (Global)'!$A$2:$O$95,15))</f>
        <v>0</v>
      </c>
      <c r="J62" s="63">
        <f t="shared" si="5"/>
        <v>0</v>
      </c>
      <c r="K62" s="62">
        <f>IF(G62=0,,VLOOKUP(G62,'Industry Average Beta (Global)'!$A$2:$O$95,7))</f>
        <v>0</v>
      </c>
      <c r="L62" s="163">
        <f>IF(I62=0,0,VLOOKUP(G62,'Industry Average Beta (Global)'!$A$2:$M$95,13))</f>
        <v>0</v>
      </c>
      <c r="M62" s="666"/>
      <c r="N62" s="667"/>
      <c r="O62" s="668"/>
    </row>
    <row r="63" spans="1:15" ht="14">
      <c r="G63" s="55"/>
      <c r="H63" s="61"/>
      <c r="I63" s="62">
        <f>IF(G63=0,,VLOOKUP(G63,'Industry Average Beta (Global)'!$A$2:$O$95,15))</f>
        <v>0</v>
      </c>
      <c r="J63" s="63">
        <f t="shared" si="5"/>
        <v>0</v>
      </c>
      <c r="K63" s="62">
        <f>IF(G63=0,,VLOOKUP(G63,'Industry Average Beta (Global)'!$A$2:$O$95,7))</f>
        <v>0</v>
      </c>
      <c r="L63" s="163">
        <f>IF(I63=0,0,VLOOKUP(G63,'Industry Average Beta (Global)'!$A$2:$M$95,13))</f>
        <v>0</v>
      </c>
      <c r="M63" s="666"/>
      <c r="N63" s="667"/>
      <c r="O63" s="668"/>
    </row>
    <row r="64" spans="1:15" ht="15" thickBot="1">
      <c r="G64" s="64" t="s">
        <v>213</v>
      </c>
      <c r="H64" s="65">
        <f>SUM(H52:H63)</f>
        <v>25878</v>
      </c>
      <c r="I64" s="66"/>
      <c r="J64" s="63">
        <f>SUM(J52:J63)</f>
        <v>225371.2841645467</v>
      </c>
      <c r="K64" s="66">
        <f>K52*(J52/J64)+K53*J53/J64+K54*J54/J64+K55*J55/J64+K56*J56/J64+K57*J57/J64+K58*J58/J64+K59*J59/J64+K60*J60/J64+K61*J61/J64+K62*J62/J64+K63*J63/J64</f>
        <v>1.6614076139987826</v>
      </c>
      <c r="L64" s="164">
        <f>L52*(J52/J64)+L53*J53/J64+L54*J54/J64+L55*J55/J64+L56*J56/J64+L57*J57/J64+L58*J58/J64+L59*J59/J64+L60*J60/J64+L61*J61/J64+L62*J62/J64+L63*J63/J64</f>
        <v>0.13648766667355014</v>
      </c>
      <c r="M64" s="669"/>
      <c r="N64" s="670"/>
      <c r="O64" s="671"/>
    </row>
    <row r="65" spans="1:6" ht="17" thickBot="1">
      <c r="A65" s="683" t="s">
        <v>732</v>
      </c>
      <c r="B65" s="684"/>
      <c r="C65" s="684"/>
      <c r="D65" s="684"/>
      <c r="E65" s="684"/>
      <c r="F65" s="685"/>
    </row>
    <row r="66" spans="1:6" ht="15" thickBot="1">
      <c r="A66" s="7" t="s">
        <v>733</v>
      </c>
      <c r="B66" s="165" t="s">
        <v>449</v>
      </c>
    </row>
    <row r="67" spans="1:6" ht="14" thickBot="1">
      <c r="A67" t="s">
        <v>734</v>
      </c>
      <c r="B67" s="166">
        <f>IF(B66="Single Business(US)",(VLOOKUP('Input sheet'!B8,'Industry Averages(US)'!A2:M95,13)+('Input sheet'!B33-3.88%)),IF(B66="Multibusiness(US)",L48+('Input sheet'!B33-3.88%),IF(B66="Single Business(Global)",(VLOOKUP('Input sheet'!B8,'Industry Average Beta (Global)'!A2:M95,13)+('Input sheet'!B33-3.88%)),L64+('Input sheet'!B33-3.88%))))</f>
        <v>0.11583510523051874</v>
      </c>
    </row>
    <row r="68" spans="1:6" ht="14" thickBot="1"/>
    <row r="69" spans="1:6" ht="16">
      <c r="A69" s="686" t="s">
        <v>735</v>
      </c>
      <c r="B69" s="687"/>
      <c r="C69" s="687"/>
      <c r="D69" s="687"/>
      <c r="E69" s="687"/>
      <c r="F69" s="688"/>
    </row>
    <row r="70" spans="1:6">
      <c r="A70" t="s">
        <v>736</v>
      </c>
      <c r="B70" s="171" t="s">
        <v>461</v>
      </c>
    </row>
    <row r="71" spans="1:6">
      <c r="A71" t="s">
        <v>938</v>
      </c>
      <c r="B71" s="171" t="s">
        <v>747</v>
      </c>
    </row>
    <row r="72" spans="1:6">
      <c r="A72" t="s">
        <v>745</v>
      </c>
      <c r="B72" s="164">
        <f>VLOOKUP(B70,A75:F79,IF(B71="First Decile",2,IF(B71="First Quartile",3,IF(B71="Median",4,IF(B71="Third Quartile",5,6)))))</f>
        <v>0.1031</v>
      </c>
    </row>
    <row r="74" spans="1:6" ht="14">
      <c r="A74" s="502" t="s">
        <v>327</v>
      </c>
      <c r="B74" s="503" t="s">
        <v>930</v>
      </c>
      <c r="C74" s="504" t="s">
        <v>931</v>
      </c>
      <c r="D74" s="504" t="s">
        <v>746</v>
      </c>
      <c r="E74" s="504" t="s">
        <v>747</v>
      </c>
      <c r="F74" s="504" t="s">
        <v>932</v>
      </c>
    </row>
    <row r="75" spans="1:6">
      <c r="A75" s="502" t="s">
        <v>738</v>
      </c>
      <c r="B75" s="505">
        <v>7.4099999999999999E-2</v>
      </c>
      <c r="C75" s="505">
        <v>8.4400000000000003E-2</v>
      </c>
      <c r="D75" s="505">
        <v>9.6100000000000005E-2</v>
      </c>
      <c r="E75" s="505">
        <v>0.1099</v>
      </c>
      <c r="F75" s="505">
        <v>0.12809999999999999</v>
      </c>
    </row>
    <row r="76" spans="1:6">
      <c r="A76" s="502" t="s">
        <v>749</v>
      </c>
      <c r="B76" s="505">
        <v>6.7799999999999999E-2</v>
      </c>
      <c r="C76" s="505">
        <v>7.6499999999999999E-2</v>
      </c>
      <c r="D76" s="505">
        <v>8.9700000000000002E-2</v>
      </c>
      <c r="E76" s="505">
        <v>0.1011</v>
      </c>
      <c r="F76" s="505">
        <v>0.1152</v>
      </c>
    </row>
    <row r="77" spans="1:6">
      <c r="A77" s="502" t="s">
        <v>461</v>
      </c>
      <c r="B77" s="505">
        <v>6.8900000000000003E-2</v>
      </c>
      <c r="C77" s="505">
        <v>8.030000000000001E-2</v>
      </c>
      <c r="D77" s="505">
        <v>9.0600000000000014E-2</v>
      </c>
      <c r="E77" s="505">
        <v>0.1031</v>
      </c>
      <c r="F77" s="505">
        <v>0.11749999999999999</v>
      </c>
    </row>
    <row r="78" spans="1:6">
      <c r="A78" s="502" t="s">
        <v>271</v>
      </c>
      <c r="B78" s="505">
        <v>6.8599999999999994E-2</v>
      </c>
      <c r="C78" s="505">
        <v>7.8300000000000008E-2</v>
      </c>
      <c r="D78" s="505">
        <v>8.9099999999999999E-2</v>
      </c>
      <c r="E78" s="505">
        <v>9.7700000000000009E-2</v>
      </c>
      <c r="F78" s="505">
        <v>0.1091</v>
      </c>
    </row>
    <row r="79" spans="1:6">
      <c r="A79" s="502" t="s">
        <v>737</v>
      </c>
      <c r="B79" s="505">
        <v>5.7800000000000004E-2</v>
      </c>
      <c r="C79" s="505">
        <v>6.8699999999999997E-2</v>
      </c>
      <c r="D79" s="505">
        <v>8.3499999999999991E-2</v>
      </c>
      <c r="E79" s="505">
        <v>9.3100000000000002E-2</v>
      </c>
      <c r="F79" s="505">
        <v>0.10050000000000001</v>
      </c>
    </row>
    <row r="80" spans="1:6" ht="13" customHeight="1">
      <c r="A80" s="652" t="s">
        <v>748</v>
      </c>
      <c r="B80" s="652"/>
      <c r="C80" s="652"/>
      <c r="D80" s="652"/>
      <c r="E80" s="652"/>
      <c r="F80" s="652"/>
    </row>
    <row r="81" spans="1:6">
      <c r="A81" s="653"/>
      <c r="B81" s="653"/>
      <c r="C81" s="653"/>
      <c r="D81" s="653"/>
      <c r="E81" s="653"/>
      <c r="F81" s="65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5DC46F72-AC21-7247-9A11-B31884E41CFC}">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800-000000000000}">
          <x14:formula1>
            <xm:f>'Answer keys'!$F$2:$F$6</xm:f>
          </x14:formula1>
          <xm:sqref>B21</xm:sqref>
        </x14:dataValidation>
        <x14:dataValidation type="list" allowBlank="1" showInputMessage="1" showErrorMessage="1" xr:uid="{00000000-0002-0000-0800-000001000000}">
          <x14:formula1>
            <xm:f>'Answer keys'!$C$2:$C$5</xm:f>
          </x14:formula1>
          <xm:sqref>B25</xm:sqref>
        </x14:dataValidation>
        <x14:dataValidation type="list" allowBlank="1" showInputMessage="1" showErrorMessage="1" xr:uid="{00000000-0002-0000-0800-000002000000}">
          <x14:formula1>
            <xm:f>'Answer keys'!$D$2:$D$4</xm:f>
          </x14:formula1>
          <xm:sqref>B33</xm:sqref>
        </x14:dataValidation>
        <x14:dataValidation type="list" allowBlank="1" showInputMessage="1" showErrorMessage="1" xr:uid="{00000000-0002-0000-0800-000003000000}">
          <x14:formula1>
            <xm:f>'Answer keys'!$E$2:$E$3</xm:f>
          </x14:formula1>
          <xm:sqref>B36</xm:sqref>
        </x14:dataValidation>
        <x14:dataValidation type="list" allowBlank="1" showInputMessage="1" showErrorMessage="1" xr:uid="{00000000-0002-0000-0800-000005000000}">
          <x14:formula1>
            <xm:f>'Industry Averages(US)'!$A$2:$A$95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B35</xm:sqref>
        </x14:dataValidation>
        <x14:dataValidation type="list" allowBlank="1" showInputMessage="1" showErrorMessage="1" xr:uid="{A424897F-C054-F34D-A780-CA478E1BF983}">
          <x14:formula1>
            <xm:f>'Answer keys'!$F$3:$F$6</xm:f>
          </x14:formula1>
          <xm:sqref>B66</xm:sqref>
        </x14:dataValidation>
        <x14:dataValidation type="list" allowBlank="1" showInputMessage="1" showErrorMessage="1" xr:uid="{437200C9-8622-3C41-8C0C-5519F276D9E7}">
          <x14:formula1>
            <xm:f>'Answer keys'!$I$2:$I$5</xm:f>
          </x14:formula1>
          <xm:sqref>B11</xm:sqref>
        </x14:dataValidation>
        <x14:dataValidation type="list" allowBlank="1" showInputMessage="1" showErrorMessage="1" xr:uid="{0440E8FE-0853-2C4F-A7BF-574D1F3D6ED9}">
          <x14:formula1>
            <xm:f>'Answer keys'!$K$2:$K$6</xm:f>
          </x14:formula1>
          <xm:sqref>B71</xm:sqref>
        </x14:dataValidation>
        <x14:dataValidation type="list" allowBlank="1" showInputMessage="1" showErrorMessage="1" xr:uid="{E34DC783-7712-F44A-9F9E-8E33D65F4AE8}">
          <x14:formula1>
            <xm:f>'Country equity risk premiums'!$A$5:$A$196</xm:f>
          </x14:formula1>
          <xm:sqref>G5:G15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CBEC-14D0-B841-BFA4-D2DDA89B9968}">
  <dimension ref="A1:X37"/>
  <sheetViews>
    <sheetView workbookViewId="0">
      <selection activeCell="A34" sqref="A34:A37"/>
    </sheetView>
  </sheetViews>
  <sheetFormatPr baseColWidth="10" defaultRowHeight="13"/>
  <sheetData>
    <row r="1" spans="1:11" s="238" customFormat="1" ht="23">
      <c r="A1" s="238" t="s">
        <v>761</v>
      </c>
    </row>
    <row r="2" spans="1:11" s="236" customFormat="1" ht="18">
      <c r="A2" s="236" t="s">
        <v>762</v>
      </c>
    </row>
    <row r="3" spans="1:11" ht="14" thickBot="1"/>
    <row r="4" spans="1:11" ht="15" thickBot="1">
      <c r="A4" s="689" t="s">
        <v>632</v>
      </c>
      <c r="B4" s="690"/>
      <c r="C4" s="690"/>
      <c r="D4" s="690"/>
      <c r="E4" s="690"/>
      <c r="F4" s="690"/>
      <c r="G4" s="690"/>
      <c r="H4" s="690"/>
      <c r="I4" s="690"/>
      <c r="J4" s="690"/>
      <c r="K4" s="691"/>
    </row>
    <row r="5" spans="1:11" ht="16">
      <c r="A5" s="134" t="s">
        <v>624</v>
      </c>
      <c r="B5" s="135">
        <v>1</v>
      </c>
      <c r="C5" s="135">
        <v>2</v>
      </c>
      <c r="D5" s="135">
        <v>3</v>
      </c>
      <c r="E5" s="135">
        <v>4</v>
      </c>
      <c r="F5" s="135">
        <v>5</v>
      </c>
      <c r="G5" s="135">
        <v>6</v>
      </c>
      <c r="H5" s="135">
        <v>7</v>
      </c>
      <c r="I5" s="135">
        <v>8</v>
      </c>
      <c r="J5" s="135">
        <v>9</v>
      </c>
      <c r="K5" s="135">
        <v>10</v>
      </c>
    </row>
    <row r="6" spans="1:11" ht="16">
      <c r="A6" s="136" t="s">
        <v>625</v>
      </c>
      <c r="B6" s="137">
        <v>0</v>
      </c>
      <c r="C6" s="137">
        <v>2.9999999999999997E-4</v>
      </c>
      <c r="D6" s="137">
        <v>1.2999999999999999E-3</v>
      </c>
      <c r="E6" s="137">
        <v>2.3999999999999998E-3</v>
      </c>
      <c r="F6" s="137">
        <v>3.4999999999999996E-3</v>
      </c>
      <c r="G6" s="137">
        <v>4.5000000000000005E-3</v>
      </c>
      <c r="H6" s="137">
        <v>5.1000000000000004E-3</v>
      </c>
      <c r="I6" s="137">
        <v>5.8999999999999999E-3</v>
      </c>
      <c r="J6" s="137">
        <v>6.4000000000000003E-3</v>
      </c>
      <c r="K6" s="137">
        <v>6.9999999999999993E-3</v>
      </c>
    </row>
    <row r="7" spans="1:11" ht="16">
      <c r="A7" s="136" t="s">
        <v>626</v>
      </c>
      <c r="B7" s="137">
        <v>2.0000000000000001E-4</v>
      </c>
      <c r="C7" s="137">
        <v>5.9999999999999995E-4</v>
      </c>
      <c r="D7" s="137">
        <v>1.1999999999999999E-3</v>
      </c>
      <c r="E7" s="137">
        <v>2.0999999999999999E-3</v>
      </c>
      <c r="F7" s="137">
        <v>3.0999999999999999E-3</v>
      </c>
      <c r="G7" s="137">
        <v>4.1999999999999997E-3</v>
      </c>
      <c r="H7" s="137">
        <v>5.0000000000000001E-3</v>
      </c>
      <c r="I7" s="137">
        <v>5.7999999999999996E-3</v>
      </c>
      <c r="J7" s="137">
        <v>6.5000000000000006E-3</v>
      </c>
      <c r="K7" s="137">
        <v>7.1999999999999998E-3</v>
      </c>
    </row>
    <row r="8" spans="1:11" ht="16">
      <c r="A8" s="136" t="s">
        <v>627</v>
      </c>
      <c r="B8" s="137">
        <v>5.0000000000000001E-4</v>
      </c>
      <c r="C8" s="137">
        <v>1.4000000000000002E-3</v>
      </c>
      <c r="D8" s="137">
        <v>2.3E-3</v>
      </c>
      <c r="E8" s="137">
        <v>3.4999999999999996E-3</v>
      </c>
      <c r="F8" s="137">
        <v>4.6999999999999993E-3</v>
      </c>
      <c r="G8" s="137">
        <v>6.1999999999999998E-3</v>
      </c>
      <c r="H8" s="137">
        <v>7.9000000000000008E-3</v>
      </c>
      <c r="I8" s="137">
        <v>9.300000000000001E-3</v>
      </c>
      <c r="J8" s="137">
        <v>1.0800000000000001E-2</v>
      </c>
      <c r="K8" s="137">
        <v>1.24E-2</v>
      </c>
    </row>
    <row r="9" spans="1:11" ht="16">
      <c r="A9" s="136" t="s">
        <v>628</v>
      </c>
      <c r="B9" s="137">
        <v>1.6000000000000001E-3</v>
      </c>
      <c r="C9" s="137">
        <v>4.5000000000000005E-3</v>
      </c>
      <c r="D9" s="137">
        <v>7.8000000000000005E-3</v>
      </c>
      <c r="E9" s="137">
        <v>1.1699999999999999E-2</v>
      </c>
      <c r="F9" s="137">
        <v>1.5800000000000002E-2</v>
      </c>
      <c r="G9" s="137">
        <v>1.9799999999999998E-2</v>
      </c>
      <c r="H9" s="137">
        <v>2.3300000000000001E-2</v>
      </c>
      <c r="I9" s="137">
        <v>2.6699999999999998E-2</v>
      </c>
      <c r="J9" s="137">
        <v>0.03</v>
      </c>
      <c r="K9" s="137">
        <v>3.32E-2</v>
      </c>
    </row>
    <row r="10" spans="1:11" ht="16">
      <c r="A10" s="136" t="s">
        <v>629</v>
      </c>
      <c r="B10" s="137">
        <v>6.0999999999999995E-3</v>
      </c>
      <c r="C10" s="137">
        <v>1.9199999999999998E-2</v>
      </c>
      <c r="D10" s="137">
        <v>3.4799999999999998E-2</v>
      </c>
      <c r="E10" s="137">
        <v>5.0499999999999996E-2</v>
      </c>
      <c r="F10" s="137">
        <v>6.5199999999999994E-2</v>
      </c>
      <c r="G10" s="137">
        <v>7.85E-2</v>
      </c>
      <c r="H10" s="137">
        <v>9.01E-2</v>
      </c>
      <c r="I10" s="137">
        <v>0.10039999999999999</v>
      </c>
      <c r="J10" s="137">
        <v>0.10970000000000001</v>
      </c>
      <c r="K10" s="137">
        <v>0.11779999999999999</v>
      </c>
    </row>
    <row r="11" spans="1:11" ht="16">
      <c r="A11" s="136" t="s">
        <v>84</v>
      </c>
      <c r="B11" s="137">
        <v>3.3300000000000003E-2</v>
      </c>
      <c r="C11" s="137">
        <v>7.7100000000000002E-2</v>
      </c>
      <c r="D11" s="137">
        <v>0.11550000000000001</v>
      </c>
      <c r="E11" s="137">
        <v>0.14580000000000001</v>
      </c>
      <c r="F11" s="137">
        <v>0.16930000000000001</v>
      </c>
      <c r="G11" s="137">
        <v>0.1883</v>
      </c>
      <c r="H11" s="137">
        <v>0.2036</v>
      </c>
      <c r="I11" s="137">
        <v>0.21600000000000003</v>
      </c>
      <c r="J11" s="137">
        <v>0.22699999999999998</v>
      </c>
      <c r="K11" s="137">
        <v>0.23739999999999997</v>
      </c>
    </row>
    <row r="12" spans="1:11" ht="16">
      <c r="A12" s="136" t="s">
        <v>630</v>
      </c>
      <c r="B12" s="137">
        <v>0.27079999999999999</v>
      </c>
      <c r="C12" s="137">
        <v>0.3664</v>
      </c>
      <c r="D12" s="137">
        <v>0.41409999999999997</v>
      </c>
      <c r="E12" s="137">
        <v>0.441</v>
      </c>
      <c r="F12" s="137">
        <v>0.46189999999999998</v>
      </c>
      <c r="G12" s="137">
        <v>0.47090000000000004</v>
      </c>
      <c r="H12" s="137">
        <v>0.48259999999999997</v>
      </c>
      <c r="I12" s="137">
        <v>0.49049999999999999</v>
      </c>
      <c r="J12" s="137">
        <v>0.49759999999999999</v>
      </c>
      <c r="K12" s="137">
        <v>0.50380000000000003</v>
      </c>
    </row>
    <row r="14" spans="1:11" ht="16">
      <c r="A14" s="237" t="s">
        <v>763</v>
      </c>
    </row>
    <row r="16" spans="1:11" s="236" customFormat="1" ht="18">
      <c r="A16" s="236" t="s">
        <v>774</v>
      </c>
    </row>
    <row r="17" spans="1:24">
      <c r="O17" s="695" t="s">
        <v>780</v>
      </c>
      <c r="P17" s="695"/>
      <c r="Q17" s="695"/>
      <c r="R17" s="695"/>
      <c r="S17" s="695"/>
      <c r="T17" s="695"/>
      <c r="U17" s="695"/>
      <c r="V17" s="695"/>
      <c r="W17" s="695"/>
      <c r="X17" s="695"/>
    </row>
    <row r="18" spans="1:24" ht="16">
      <c r="A18" s="239"/>
      <c r="B18" s="240"/>
      <c r="C18" s="241" t="s">
        <v>764</v>
      </c>
      <c r="D18" s="241" t="s">
        <v>765</v>
      </c>
      <c r="E18" s="241" t="s">
        <v>766</v>
      </c>
      <c r="F18" s="241" t="s">
        <v>767</v>
      </c>
      <c r="G18" s="241" t="s">
        <v>768</v>
      </c>
      <c r="H18" s="241" t="s">
        <v>769</v>
      </c>
      <c r="I18" s="241" t="s">
        <v>724</v>
      </c>
      <c r="J18" s="241" t="s">
        <v>770</v>
      </c>
      <c r="K18" s="241" t="s">
        <v>771</v>
      </c>
      <c r="L18" s="241" t="s">
        <v>772</v>
      </c>
      <c r="O18" s="241" t="s">
        <v>764</v>
      </c>
      <c r="P18" s="241" t="s">
        <v>765</v>
      </c>
      <c r="Q18" s="241" t="s">
        <v>766</v>
      </c>
      <c r="R18" s="241" t="s">
        <v>767</v>
      </c>
      <c r="S18" s="241" t="s">
        <v>768</v>
      </c>
      <c r="T18" s="241" t="s">
        <v>769</v>
      </c>
      <c r="U18" s="241" t="s">
        <v>724</v>
      </c>
      <c r="V18" s="241" t="s">
        <v>770</v>
      </c>
      <c r="W18" s="241" t="s">
        <v>771</v>
      </c>
      <c r="X18" s="241" t="s">
        <v>772</v>
      </c>
    </row>
    <row r="19" spans="1:24" ht="16" customHeight="1">
      <c r="A19" s="692" t="s">
        <v>773</v>
      </c>
      <c r="B19" s="244">
        <v>0</v>
      </c>
      <c r="C19" s="242">
        <f>1-O28</f>
        <v>0.55099999999999993</v>
      </c>
      <c r="D19" s="242">
        <f t="shared" ref="D19:L19" si="0">1-P28</f>
        <v>0.67700000000000005</v>
      </c>
      <c r="E19" s="242">
        <f t="shared" si="0"/>
        <v>0.55099999999999993</v>
      </c>
      <c r="F19" s="242">
        <f t="shared" si="0"/>
        <v>0.753</v>
      </c>
      <c r="G19" s="242">
        <f t="shared" si="0"/>
        <v>0.61899999999999999</v>
      </c>
      <c r="H19" s="242">
        <f t="shared" si="0"/>
        <v>0.61</v>
      </c>
      <c r="I19" s="242">
        <f t="shared" si="0"/>
        <v>0.71599999999999997</v>
      </c>
      <c r="J19" s="242">
        <f t="shared" si="0"/>
        <v>0.745</v>
      </c>
      <c r="K19" s="242">
        <f t="shared" si="0"/>
        <v>0.57499999999999996</v>
      </c>
      <c r="L19" s="242">
        <f t="shared" si="0"/>
        <v>0.67200000000000004</v>
      </c>
      <c r="N19">
        <v>1</v>
      </c>
      <c r="O19" s="243">
        <v>0.82299999999999995</v>
      </c>
      <c r="P19" s="243">
        <v>0.81799999999999995</v>
      </c>
      <c r="Q19" s="243">
        <v>0.84</v>
      </c>
      <c r="R19" s="243">
        <v>0.74299999999999999</v>
      </c>
      <c r="S19" s="243">
        <v>0.82799999999999996</v>
      </c>
      <c r="T19" s="243">
        <v>0.83099999999999996</v>
      </c>
      <c r="U19" s="243">
        <v>0.76900000000000002</v>
      </c>
      <c r="V19" s="243">
        <v>0.752</v>
      </c>
      <c r="W19" s="243">
        <v>0.81400000000000006</v>
      </c>
      <c r="X19" s="243">
        <v>0.78299999999999992</v>
      </c>
    </row>
    <row r="20" spans="1:24" ht="16">
      <c r="A20" s="693"/>
      <c r="B20" s="244">
        <v>1</v>
      </c>
      <c r="C20" s="242">
        <f>O19-O$28</f>
        <v>0.37399999999999994</v>
      </c>
      <c r="D20" s="242">
        <f t="shared" ref="D20:D29" si="1">P19-P$28</f>
        <v>0.495</v>
      </c>
      <c r="E20" s="242">
        <f t="shared" ref="E20:E29" si="2">Q19-Q$28</f>
        <v>0.39099999999999996</v>
      </c>
      <c r="F20" s="242">
        <f t="shared" ref="F20:F29" si="3">R19-R$28</f>
        <v>0.496</v>
      </c>
      <c r="G20" s="242">
        <f t="shared" ref="G20:G29" si="4">S19-S$28</f>
        <v>0.44699999999999995</v>
      </c>
      <c r="H20" s="242">
        <f t="shared" ref="H20:H29" si="5">T19-T$28</f>
        <v>0.44099999999999995</v>
      </c>
      <c r="I20" s="242">
        <f t="shared" ref="I20:I29" si="6">U19-U$28</f>
        <v>0.48500000000000004</v>
      </c>
      <c r="J20" s="242">
        <f t="shared" ref="J20:J29" si="7">V19-V$28</f>
        <v>0.497</v>
      </c>
      <c r="K20" s="242">
        <f t="shared" ref="K20:K29" si="8">W19-W$28</f>
        <v>0.38900000000000007</v>
      </c>
      <c r="L20" s="242">
        <f t="shared" ref="L20:L29" si="9">X19-X$28</f>
        <v>0.45499999999999996</v>
      </c>
      <c r="N20">
        <v>2</v>
      </c>
      <c r="O20" s="243">
        <v>0.748</v>
      </c>
      <c r="P20" s="243">
        <v>0.71200000000000008</v>
      </c>
      <c r="Q20" s="243">
        <v>0.73499999999999999</v>
      </c>
      <c r="R20" s="243">
        <v>0.59799999999999998</v>
      </c>
      <c r="S20" s="243">
        <v>0.72400000000000009</v>
      </c>
      <c r="T20" s="243">
        <v>0.72400000000000009</v>
      </c>
      <c r="U20" s="243">
        <v>0.63600000000000001</v>
      </c>
      <c r="V20" s="243">
        <v>0.627</v>
      </c>
      <c r="W20" s="243">
        <v>0.72199999999999998</v>
      </c>
      <c r="X20" s="243">
        <v>0.66200000000000003</v>
      </c>
    </row>
    <row r="21" spans="1:24" ht="16">
      <c r="A21" s="693"/>
      <c r="B21" s="244">
        <v>2</v>
      </c>
      <c r="C21" s="242">
        <f t="shared" ref="C21:C29" si="10">O20-O$28</f>
        <v>0.29899999999999999</v>
      </c>
      <c r="D21" s="242">
        <f t="shared" si="1"/>
        <v>0.38900000000000012</v>
      </c>
      <c r="E21" s="242">
        <f t="shared" si="2"/>
        <v>0.28599999999999998</v>
      </c>
      <c r="F21" s="242">
        <f t="shared" si="3"/>
        <v>0.35099999999999998</v>
      </c>
      <c r="G21" s="242">
        <f t="shared" si="4"/>
        <v>0.34300000000000008</v>
      </c>
      <c r="H21" s="242">
        <f t="shared" si="5"/>
        <v>0.33400000000000007</v>
      </c>
      <c r="I21" s="242">
        <f t="shared" si="6"/>
        <v>0.35200000000000004</v>
      </c>
      <c r="J21" s="242">
        <f t="shared" si="7"/>
        <v>0.372</v>
      </c>
      <c r="K21" s="242">
        <f t="shared" si="8"/>
        <v>0.29699999999999999</v>
      </c>
      <c r="L21" s="242">
        <f t="shared" si="9"/>
        <v>0.33400000000000007</v>
      </c>
      <c r="N21">
        <v>3</v>
      </c>
      <c r="O21" s="243">
        <v>0.66099999999999992</v>
      </c>
      <c r="P21" s="243">
        <v>0.629</v>
      </c>
      <c r="Q21" s="243">
        <v>0.67</v>
      </c>
      <c r="R21" s="243">
        <v>0.45600000000000002</v>
      </c>
      <c r="S21" s="243">
        <v>0.622</v>
      </c>
      <c r="T21" s="243">
        <v>0.63100000000000001</v>
      </c>
      <c r="U21" s="243">
        <v>0.52300000000000002</v>
      </c>
      <c r="V21" s="243">
        <v>0.53299999999999992</v>
      </c>
      <c r="W21" s="243">
        <v>0.67400000000000004</v>
      </c>
      <c r="X21" s="243">
        <v>0.56600000000000006</v>
      </c>
    </row>
    <row r="22" spans="1:24" ht="16">
      <c r="A22" s="693"/>
      <c r="B22" s="244">
        <v>3</v>
      </c>
      <c r="C22" s="242">
        <f t="shared" si="10"/>
        <v>0.21199999999999991</v>
      </c>
      <c r="D22" s="242">
        <f t="shared" si="1"/>
        <v>0.30600000000000005</v>
      </c>
      <c r="E22" s="242">
        <f t="shared" si="2"/>
        <v>0.22100000000000003</v>
      </c>
      <c r="F22" s="242">
        <f t="shared" si="3"/>
        <v>0.20900000000000002</v>
      </c>
      <c r="G22" s="242">
        <f t="shared" si="4"/>
        <v>0.24099999999999999</v>
      </c>
      <c r="H22" s="242">
        <f t="shared" si="5"/>
        <v>0.24099999999999999</v>
      </c>
      <c r="I22" s="242">
        <f t="shared" si="6"/>
        <v>0.23900000000000005</v>
      </c>
      <c r="J22" s="242">
        <f t="shared" si="7"/>
        <v>0.27799999999999991</v>
      </c>
      <c r="K22" s="242">
        <f t="shared" si="8"/>
        <v>0.24900000000000005</v>
      </c>
      <c r="L22" s="242">
        <f t="shared" si="9"/>
        <v>0.2380000000000001</v>
      </c>
      <c r="N22">
        <v>4</v>
      </c>
      <c r="O22" s="243">
        <v>0.61199999999999999</v>
      </c>
      <c r="P22" s="243">
        <v>0.53799999999999992</v>
      </c>
      <c r="Q22" s="243">
        <v>0.629</v>
      </c>
      <c r="R22" s="243">
        <v>0.371</v>
      </c>
      <c r="S22" s="243">
        <v>0.54100000000000004</v>
      </c>
      <c r="T22" s="243">
        <v>0.56499999999999995</v>
      </c>
      <c r="U22" s="243">
        <v>0.45</v>
      </c>
      <c r="V22" s="243">
        <v>0.46399999999999997</v>
      </c>
      <c r="W22" s="243">
        <v>0.61299999999999999</v>
      </c>
      <c r="X22" s="243">
        <v>0.498</v>
      </c>
    </row>
    <row r="23" spans="1:24" ht="16">
      <c r="A23" s="693"/>
      <c r="B23" s="244">
        <v>4</v>
      </c>
      <c r="C23" s="242">
        <f t="shared" si="10"/>
        <v>0.16299999999999998</v>
      </c>
      <c r="D23" s="242">
        <f t="shared" si="1"/>
        <v>0.21499999999999997</v>
      </c>
      <c r="E23" s="242">
        <f t="shared" si="2"/>
        <v>0.18</v>
      </c>
      <c r="F23" s="242">
        <f t="shared" si="3"/>
        <v>0.124</v>
      </c>
      <c r="G23" s="242">
        <f t="shared" si="4"/>
        <v>0.16000000000000003</v>
      </c>
      <c r="H23" s="242">
        <f t="shared" si="5"/>
        <v>0.17499999999999993</v>
      </c>
      <c r="I23" s="242">
        <f t="shared" si="6"/>
        <v>0.16600000000000004</v>
      </c>
      <c r="J23" s="242">
        <f t="shared" si="7"/>
        <v>0.20899999999999996</v>
      </c>
      <c r="K23" s="242">
        <f t="shared" si="8"/>
        <v>0.188</v>
      </c>
      <c r="L23" s="242">
        <f t="shared" si="9"/>
        <v>0.17000000000000004</v>
      </c>
      <c r="N23">
        <v>5</v>
      </c>
      <c r="O23" s="243">
        <v>0.57399999999999995</v>
      </c>
      <c r="P23" s="243">
        <v>0.51200000000000001</v>
      </c>
      <c r="Q23" s="243">
        <v>0.56499999999999995</v>
      </c>
      <c r="R23" s="243">
        <v>0.33200000000000002</v>
      </c>
      <c r="S23" s="243">
        <v>0.49399999999999999</v>
      </c>
      <c r="T23" s="243">
        <v>0.52100000000000002</v>
      </c>
      <c r="U23" s="243">
        <v>0.41100000000000003</v>
      </c>
      <c r="V23" s="243">
        <v>0.41899999999999998</v>
      </c>
      <c r="W23" s="243">
        <v>0.55899999999999994</v>
      </c>
      <c r="X23" s="243">
        <v>0.45399999999999996</v>
      </c>
    </row>
    <row r="24" spans="1:24" ht="16">
      <c r="A24" s="693"/>
      <c r="B24" s="244">
        <v>5</v>
      </c>
      <c r="C24" s="242">
        <f t="shared" si="10"/>
        <v>0.12499999999999994</v>
      </c>
      <c r="D24" s="242">
        <f t="shared" si="1"/>
        <v>0.18900000000000006</v>
      </c>
      <c r="E24" s="242">
        <f t="shared" si="2"/>
        <v>0.11599999999999994</v>
      </c>
      <c r="F24" s="242">
        <f t="shared" si="3"/>
        <v>8.500000000000002E-2</v>
      </c>
      <c r="G24" s="242">
        <f t="shared" si="4"/>
        <v>0.11299999999999999</v>
      </c>
      <c r="H24" s="242">
        <f t="shared" si="5"/>
        <v>0.13100000000000001</v>
      </c>
      <c r="I24" s="242">
        <f t="shared" si="6"/>
        <v>0.12700000000000006</v>
      </c>
      <c r="J24" s="242">
        <f t="shared" si="7"/>
        <v>0.16399999999999998</v>
      </c>
      <c r="K24" s="242">
        <f t="shared" si="8"/>
        <v>0.13399999999999995</v>
      </c>
      <c r="L24" s="242">
        <f t="shared" si="9"/>
        <v>0.126</v>
      </c>
      <c r="N24">
        <v>6</v>
      </c>
      <c r="O24" s="243">
        <v>0.54100000000000004</v>
      </c>
      <c r="P24" s="243">
        <v>0.47200000000000003</v>
      </c>
      <c r="Q24" s="243">
        <v>0.55600000000000005</v>
      </c>
      <c r="R24" s="243">
        <v>0.30599999999999999</v>
      </c>
      <c r="S24" s="243">
        <v>0.46299999999999997</v>
      </c>
      <c r="T24" s="243">
        <v>0.48499999999999999</v>
      </c>
      <c r="U24" s="243">
        <v>0.377</v>
      </c>
      <c r="V24" s="243">
        <v>0.37200000000000005</v>
      </c>
      <c r="W24" s="243">
        <v>0.54799999999999993</v>
      </c>
      <c r="X24" s="243">
        <v>0.42299999999999999</v>
      </c>
    </row>
    <row r="25" spans="1:24" ht="16">
      <c r="A25" s="693"/>
      <c r="B25" s="244">
        <v>6</v>
      </c>
      <c r="C25" s="242">
        <f t="shared" si="10"/>
        <v>9.2000000000000026E-2</v>
      </c>
      <c r="D25" s="242">
        <f t="shared" si="1"/>
        <v>0.14900000000000008</v>
      </c>
      <c r="E25" s="242">
        <f t="shared" si="2"/>
        <v>0.10700000000000004</v>
      </c>
      <c r="F25" s="242">
        <f t="shared" si="3"/>
        <v>5.8999999999999997E-2</v>
      </c>
      <c r="G25" s="242">
        <f t="shared" si="4"/>
        <v>8.1999999999999962E-2</v>
      </c>
      <c r="H25" s="242">
        <f t="shared" si="5"/>
        <v>9.4999999999999973E-2</v>
      </c>
      <c r="I25" s="242">
        <f t="shared" si="6"/>
        <v>9.3000000000000027E-2</v>
      </c>
      <c r="J25" s="242">
        <f t="shared" si="7"/>
        <v>0.11700000000000005</v>
      </c>
      <c r="K25" s="242">
        <f t="shared" si="8"/>
        <v>0.12299999999999994</v>
      </c>
      <c r="L25" s="242">
        <f t="shared" si="9"/>
        <v>9.5000000000000029E-2</v>
      </c>
      <c r="N25">
        <v>7</v>
      </c>
      <c r="O25" s="243">
        <v>0.51600000000000001</v>
      </c>
      <c r="P25" s="243">
        <v>0.42899999999999999</v>
      </c>
      <c r="Q25" s="243">
        <v>0.51600000000000001</v>
      </c>
      <c r="R25" s="243">
        <v>0.28399999999999997</v>
      </c>
      <c r="S25" s="243">
        <v>0.43799999999999994</v>
      </c>
      <c r="T25" s="243">
        <v>0.45700000000000002</v>
      </c>
      <c r="U25" s="243">
        <v>0.34899999999999998</v>
      </c>
      <c r="V25" s="243">
        <v>0.34</v>
      </c>
      <c r="W25" s="243">
        <v>0.52900000000000003</v>
      </c>
      <c r="X25" s="243">
        <v>0.39600000000000002</v>
      </c>
    </row>
    <row r="26" spans="1:24" ht="16">
      <c r="A26" s="693"/>
      <c r="B26" s="244">
        <v>7</v>
      </c>
      <c r="C26" s="242">
        <f t="shared" si="10"/>
        <v>6.7000000000000004E-2</v>
      </c>
      <c r="D26" s="242">
        <f t="shared" si="1"/>
        <v>0.10600000000000004</v>
      </c>
      <c r="E26" s="242">
        <f t="shared" si="2"/>
        <v>6.7000000000000004E-2</v>
      </c>
      <c r="F26" s="242">
        <f t="shared" si="3"/>
        <v>3.6999999999999977E-2</v>
      </c>
      <c r="G26" s="242">
        <f t="shared" si="4"/>
        <v>5.699999999999994E-2</v>
      </c>
      <c r="H26" s="242">
        <f t="shared" si="5"/>
        <v>6.7000000000000004E-2</v>
      </c>
      <c r="I26" s="242">
        <f t="shared" si="6"/>
        <v>6.5000000000000002E-2</v>
      </c>
      <c r="J26" s="242">
        <f t="shared" si="7"/>
        <v>8.500000000000002E-2</v>
      </c>
      <c r="K26" s="242">
        <f t="shared" si="8"/>
        <v>0.10400000000000004</v>
      </c>
      <c r="L26" s="242">
        <f t="shared" si="9"/>
        <v>6.800000000000006E-2</v>
      </c>
      <c r="N26">
        <v>8</v>
      </c>
      <c r="O26" s="243">
        <v>0.495</v>
      </c>
      <c r="P26" s="243">
        <v>0.40500000000000003</v>
      </c>
      <c r="Q26" s="243">
        <v>0.503</v>
      </c>
      <c r="R26" s="243">
        <v>0.27100000000000002</v>
      </c>
      <c r="S26" s="243">
        <v>0.41499999999999998</v>
      </c>
      <c r="T26" s="243">
        <v>0.433</v>
      </c>
      <c r="U26" s="243">
        <v>0.32400000000000001</v>
      </c>
      <c r="V26" s="243">
        <v>0.314</v>
      </c>
      <c r="W26" s="243">
        <v>0.48399999999999999</v>
      </c>
      <c r="X26" s="243">
        <v>0.371</v>
      </c>
    </row>
    <row r="27" spans="1:24" ht="16">
      <c r="A27" s="693"/>
      <c r="B27" s="244">
        <v>8</v>
      </c>
      <c r="C27" s="242">
        <f t="shared" si="10"/>
        <v>4.5999999999999985E-2</v>
      </c>
      <c r="D27" s="242">
        <f t="shared" si="1"/>
        <v>8.2000000000000073E-2</v>
      </c>
      <c r="E27" s="242">
        <f t="shared" si="2"/>
        <v>5.3999999999999992E-2</v>
      </c>
      <c r="F27" s="242">
        <f t="shared" si="3"/>
        <v>2.4000000000000021E-2</v>
      </c>
      <c r="G27" s="242">
        <f t="shared" si="4"/>
        <v>3.3999999999999975E-2</v>
      </c>
      <c r="H27" s="242">
        <f t="shared" si="5"/>
        <v>4.2999999999999983E-2</v>
      </c>
      <c r="I27" s="242">
        <f t="shared" si="6"/>
        <v>4.0000000000000036E-2</v>
      </c>
      <c r="J27" s="242">
        <f t="shared" si="7"/>
        <v>5.8999999999999997E-2</v>
      </c>
      <c r="K27" s="242">
        <f t="shared" si="8"/>
        <v>5.8999999999999997E-2</v>
      </c>
      <c r="L27" s="242">
        <f t="shared" si="9"/>
        <v>4.3000000000000038E-2</v>
      </c>
      <c r="N27">
        <v>9</v>
      </c>
      <c r="O27" s="243">
        <v>0.46500000000000002</v>
      </c>
      <c r="P27" s="243">
        <v>0.371</v>
      </c>
      <c r="Q27" s="243">
        <v>0.47600000000000003</v>
      </c>
      <c r="R27" s="243">
        <v>0.25800000000000001</v>
      </c>
      <c r="S27" s="243">
        <v>0.4</v>
      </c>
      <c r="T27" s="243">
        <v>0.41</v>
      </c>
      <c r="U27" s="243">
        <v>0.30499999999999999</v>
      </c>
      <c r="V27" s="243">
        <v>0.27399999999999997</v>
      </c>
      <c r="W27" s="243">
        <v>0.45500000000000002</v>
      </c>
      <c r="X27" s="243">
        <v>0.34799999999999998</v>
      </c>
    </row>
    <row r="28" spans="1:24" ht="16">
      <c r="A28" s="694"/>
      <c r="B28" s="244">
        <v>9</v>
      </c>
      <c r="C28" s="242">
        <f t="shared" si="10"/>
        <v>1.6000000000000014E-2</v>
      </c>
      <c r="D28" s="242">
        <f t="shared" si="1"/>
        <v>4.8000000000000043E-2</v>
      </c>
      <c r="E28" s="242">
        <f t="shared" si="2"/>
        <v>2.7000000000000024E-2</v>
      </c>
      <c r="F28" s="242">
        <f t="shared" si="3"/>
        <v>1.100000000000001E-2</v>
      </c>
      <c r="G28" s="242">
        <f t="shared" si="4"/>
        <v>1.9000000000000017E-2</v>
      </c>
      <c r="H28" s="242">
        <f t="shared" si="5"/>
        <v>1.9999999999999962E-2</v>
      </c>
      <c r="I28" s="242">
        <f t="shared" si="6"/>
        <v>2.1000000000000019E-2</v>
      </c>
      <c r="J28" s="242">
        <f t="shared" si="7"/>
        <v>1.8999999999999961E-2</v>
      </c>
      <c r="K28" s="242">
        <f t="shared" si="8"/>
        <v>3.0000000000000027E-2</v>
      </c>
      <c r="L28" s="242">
        <f t="shared" si="9"/>
        <v>2.0000000000000018E-2</v>
      </c>
      <c r="N28">
        <v>10</v>
      </c>
      <c r="O28" s="243">
        <v>0.44900000000000001</v>
      </c>
      <c r="P28" s="243">
        <v>0.32299999999999995</v>
      </c>
      <c r="Q28" s="243">
        <v>0.44900000000000001</v>
      </c>
      <c r="R28" s="243">
        <v>0.247</v>
      </c>
      <c r="S28" s="243">
        <v>0.38100000000000001</v>
      </c>
      <c r="T28" s="243">
        <v>0.39</v>
      </c>
      <c r="U28" s="243">
        <v>0.28399999999999997</v>
      </c>
      <c r="V28" s="243">
        <v>0.255</v>
      </c>
      <c r="W28" s="243">
        <v>0.42499999999999999</v>
      </c>
      <c r="X28" s="243">
        <v>0.32799999999999996</v>
      </c>
    </row>
    <row r="29" spans="1:24" ht="16">
      <c r="B29" s="244">
        <v>10</v>
      </c>
      <c r="C29" s="242">
        <f t="shared" si="10"/>
        <v>0</v>
      </c>
      <c r="D29" s="242">
        <f t="shared" si="1"/>
        <v>0</v>
      </c>
      <c r="E29" s="242">
        <f t="shared" si="2"/>
        <v>0</v>
      </c>
      <c r="F29" s="242">
        <f t="shared" si="3"/>
        <v>0</v>
      </c>
      <c r="G29" s="242">
        <f t="shared" si="4"/>
        <v>0</v>
      </c>
      <c r="H29" s="242">
        <f t="shared" si="5"/>
        <v>0</v>
      </c>
      <c r="I29" s="242">
        <f t="shared" si="6"/>
        <v>0</v>
      </c>
      <c r="J29" s="242">
        <f t="shared" si="7"/>
        <v>0</v>
      </c>
      <c r="K29" s="242">
        <f t="shared" si="8"/>
        <v>0</v>
      </c>
      <c r="L29" s="242">
        <f t="shared" si="9"/>
        <v>0</v>
      </c>
    </row>
    <row r="30" spans="1:24" ht="16">
      <c r="A30" t="s">
        <v>779</v>
      </c>
      <c r="B30" s="246"/>
      <c r="C30" s="247"/>
      <c r="D30" s="247"/>
      <c r="E30" s="247"/>
      <c r="F30" s="247"/>
      <c r="G30" s="247"/>
      <c r="H30" s="247"/>
      <c r="I30" s="247"/>
      <c r="J30" s="247"/>
      <c r="K30" s="247"/>
      <c r="L30" s="247"/>
    </row>
    <row r="31" spans="1:24" s="187" customFormat="1" ht="16">
      <c r="A31" s="187" t="s">
        <v>778</v>
      </c>
      <c r="B31"/>
      <c r="C31"/>
      <c r="D31"/>
      <c r="E31"/>
      <c r="F31"/>
      <c r="G31"/>
      <c r="H31"/>
      <c r="I31"/>
      <c r="J31"/>
      <c r="K31"/>
      <c r="L31"/>
    </row>
    <row r="32" spans="1:24" ht="16">
      <c r="B32" s="187"/>
      <c r="C32" s="187"/>
      <c r="D32" s="187"/>
      <c r="E32" s="187"/>
      <c r="F32" s="187"/>
      <c r="G32" s="187"/>
      <c r="H32" s="187"/>
      <c r="I32" s="187"/>
      <c r="J32" s="187"/>
      <c r="K32" s="187"/>
      <c r="L32" s="187"/>
    </row>
    <row r="33" spans="1:1" ht="16">
      <c r="A33" s="245" t="s">
        <v>775</v>
      </c>
    </row>
    <row r="34" spans="1:1" ht="16">
      <c r="A34" s="187" t="s">
        <v>776</v>
      </c>
    </row>
    <row r="35" spans="1:1" ht="16">
      <c r="A35" s="187" t="s">
        <v>781</v>
      </c>
    </row>
    <row r="36" spans="1:1" ht="16">
      <c r="A36" s="187" t="s">
        <v>782</v>
      </c>
    </row>
    <row r="37" spans="1:1" ht="16">
      <c r="A37" s="187" t="s">
        <v>777</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F50" sqref="F50"/>
    </sheetView>
  </sheetViews>
  <sheetFormatPr baseColWidth="10" defaultRowHeight="16"/>
  <cols>
    <col min="1" max="1" width="28.5" style="176" bestFit="1" customWidth="1"/>
    <col min="2" max="2" width="14" style="176" bestFit="1" customWidth="1"/>
    <col min="3" max="3" width="12.5" style="176" bestFit="1" customWidth="1"/>
    <col min="4" max="4" width="16.33203125" style="176" bestFit="1" customWidth="1"/>
    <col min="5" max="5" width="18.33203125" style="176" bestFit="1" customWidth="1"/>
    <col min="6" max="6" width="16.33203125" style="176" bestFit="1" customWidth="1"/>
    <col min="7" max="8" width="12.5" style="176" bestFit="1" customWidth="1"/>
  </cols>
  <sheetData>
    <row r="1" spans="1:8" s="118" customFormat="1" ht="52" thickBot="1">
      <c r="A1" s="172" t="s">
        <v>100</v>
      </c>
      <c r="B1" s="172" t="s">
        <v>5</v>
      </c>
      <c r="C1" s="172" t="s">
        <v>528</v>
      </c>
      <c r="D1" s="172" t="s">
        <v>544</v>
      </c>
      <c r="E1" s="172" t="s">
        <v>529</v>
      </c>
      <c r="F1" s="172" t="s">
        <v>33</v>
      </c>
      <c r="G1" s="172" t="s">
        <v>530</v>
      </c>
      <c r="H1" s="172" t="s">
        <v>531</v>
      </c>
    </row>
    <row r="2" spans="1:8" s="118" customFormat="1">
      <c r="A2" s="103" t="s">
        <v>543</v>
      </c>
      <c r="B2" s="173">
        <f>'Valuation output'!B3</f>
        <v>48069</v>
      </c>
      <c r="C2" s="103"/>
      <c r="D2" s="174">
        <f>'Valuation output'!B4</f>
        <v>0.72210780336599467</v>
      </c>
      <c r="E2" s="173">
        <f>B2*D2</f>
        <v>34711</v>
      </c>
      <c r="F2" s="173">
        <f>'Valuation output'!B10</f>
        <v>0</v>
      </c>
      <c r="G2" s="173">
        <f>E2-H2</f>
        <v>4685.9850000000006</v>
      </c>
      <c r="H2" s="173">
        <f>'Valuation output'!B7</f>
        <v>30025.014999999999</v>
      </c>
    </row>
    <row r="3" spans="1:8" s="118" customFormat="1">
      <c r="A3" s="103">
        <v>1</v>
      </c>
      <c r="B3" s="173">
        <f>'Valuation output'!C3</f>
        <v>55279.35</v>
      </c>
      <c r="C3" s="174">
        <f>'Valuation output'!C2</f>
        <v>0.15</v>
      </c>
      <c r="D3" s="174">
        <f>'Valuation output'!C4</f>
        <v>0.65</v>
      </c>
      <c r="E3" s="173">
        <f>B3*D3</f>
        <v>35931.577499999999</v>
      </c>
      <c r="F3" s="173">
        <f>'Valuation output'!C10</f>
        <v>0</v>
      </c>
      <c r="G3" s="173">
        <f t="shared" ref="G3:G12" si="0">E3-H3</f>
        <v>4850.7629625000009</v>
      </c>
      <c r="H3" s="173">
        <f>'Valuation output'!C7</f>
        <v>31080.814537499999</v>
      </c>
    </row>
    <row r="4" spans="1:8" s="118" customFormat="1">
      <c r="A4" s="103">
        <v>2</v>
      </c>
      <c r="B4" s="175">
        <f>'Valuation output'!D3</f>
        <v>63571.252499999995</v>
      </c>
      <c r="C4" s="174">
        <f>B4/B3-1</f>
        <v>0.14999999999999991</v>
      </c>
      <c r="D4" s="174">
        <f>'Valuation output'!D4</f>
        <v>0.63</v>
      </c>
      <c r="E4" s="173">
        <f t="shared" ref="E4:E12" si="1">B4*D4</f>
        <v>40049.889074999999</v>
      </c>
      <c r="F4" s="173">
        <f>'Valuation output'!D10</f>
        <v>0</v>
      </c>
      <c r="G4" s="173">
        <f t="shared" si="0"/>
        <v>5406.7350251250027</v>
      </c>
      <c r="H4" s="173">
        <f>'Valuation output'!D7</f>
        <v>34643.154049874996</v>
      </c>
    </row>
    <row r="5" spans="1:8" s="118" customFormat="1">
      <c r="A5" s="103">
        <v>3</v>
      </c>
      <c r="B5" s="173">
        <f>'Valuation output'!E3</f>
        <v>73106.940374999991</v>
      </c>
      <c r="C5" s="174">
        <f t="shared" ref="C5:C12" si="2">B5/B4-1</f>
        <v>0.14999999999999991</v>
      </c>
      <c r="D5" s="174">
        <f>'Valuation output'!E4</f>
        <v>0.62</v>
      </c>
      <c r="E5" s="173">
        <f t="shared" si="1"/>
        <v>45326.303032499993</v>
      </c>
      <c r="F5" s="173">
        <f>'Valuation output'!E10</f>
        <v>0</v>
      </c>
      <c r="G5" s="173">
        <f t="shared" si="0"/>
        <v>6119.0509093875007</v>
      </c>
      <c r="H5" s="173">
        <f>'Valuation output'!E7</f>
        <v>39207.252123112492</v>
      </c>
    </row>
    <row r="6" spans="1:8" s="118" customFormat="1">
      <c r="A6" s="103">
        <v>4</v>
      </c>
      <c r="B6" s="173">
        <f>'Valuation output'!F3</f>
        <v>84072.98143124998</v>
      </c>
      <c r="C6" s="174">
        <f t="shared" si="2"/>
        <v>0.14999999999999991</v>
      </c>
      <c r="D6" s="174">
        <f>'Valuation output'!F4</f>
        <v>0.61</v>
      </c>
      <c r="E6" s="173">
        <f t="shared" si="1"/>
        <v>51284.518673062485</v>
      </c>
      <c r="F6" s="173">
        <f>'Valuation output'!F10</f>
        <v>0</v>
      </c>
      <c r="G6" s="173">
        <f t="shared" si="0"/>
        <v>6923.4100208634336</v>
      </c>
      <c r="H6" s="173">
        <f>'Valuation output'!F7</f>
        <v>44361.108652199051</v>
      </c>
    </row>
    <row r="7" spans="1:8" s="118" customFormat="1">
      <c r="A7" s="103">
        <v>5</v>
      </c>
      <c r="B7" s="173">
        <f>'Valuation output'!G3</f>
        <v>96683.928645937471</v>
      </c>
      <c r="C7" s="174">
        <f t="shared" si="2"/>
        <v>0.14999999999999991</v>
      </c>
      <c r="D7" s="174">
        <f>'Valuation output'!G4</f>
        <v>0.6</v>
      </c>
      <c r="E7" s="173">
        <f t="shared" si="1"/>
        <v>58010.357187562484</v>
      </c>
      <c r="F7" s="173">
        <f>'Valuation output'!G10</f>
        <v>0</v>
      </c>
      <c r="G7" s="173">
        <f t="shared" si="0"/>
        <v>7831.398220320938</v>
      </c>
      <c r="H7" s="173">
        <f>'Valuation output'!G7</f>
        <v>50178.958967241546</v>
      </c>
    </row>
    <row r="8" spans="1:8" s="118" customFormat="1">
      <c r="A8" s="103">
        <v>6</v>
      </c>
      <c r="B8" s="173">
        <f>'Valuation output'!H3</f>
        <v>109194.82901272178</v>
      </c>
      <c r="C8" s="174">
        <f t="shared" si="2"/>
        <v>0.12939999999999996</v>
      </c>
      <c r="D8" s="174">
        <f>'Valuation output'!H4</f>
        <v>0.6</v>
      </c>
      <c r="E8" s="173">
        <f t="shared" si="1"/>
        <v>65516.897407633063</v>
      </c>
      <c r="F8" s="173">
        <f>'Valuation output'!H10</f>
        <v>0</v>
      </c>
      <c r="G8" s="173">
        <f t="shared" si="0"/>
        <v>10351.669790406027</v>
      </c>
      <c r="H8" s="173">
        <f>'Valuation output'!H7</f>
        <v>55165.227617227036</v>
      </c>
    </row>
    <row r="9" spans="1:8" s="118" customFormat="1">
      <c r="A9" s="103">
        <v>7</v>
      </c>
      <c r="B9" s="173">
        <f>'Valuation output'!I3</f>
        <v>121075.22640930591</v>
      </c>
      <c r="C9" s="174">
        <f t="shared" si="2"/>
        <v>0.10880000000000001</v>
      </c>
      <c r="D9" s="174">
        <f>'Valuation output'!I4</f>
        <v>0.6</v>
      </c>
      <c r="E9" s="173">
        <f t="shared" si="1"/>
        <v>72645.135845583543</v>
      </c>
      <c r="F9" s="173">
        <f>'Valuation output'!I10</f>
        <v>0</v>
      </c>
      <c r="G9" s="173">
        <f t="shared" si="0"/>
        <v>13148.769588050622</v>
      </c>
      <c r="H9" s="173">
        <f>'Valuation output'!I7</f>
        <v>59496.366257532922</v>
      </c>
    </row>
    <row r="10" spans="1:8" s="118" customFormat="1">
      <c r="A10" s="103">
        <v>8</v>
      </c>
      <c r="B10" s="173">
        <f>'Valuation output'!J3</f>
        <v>131754.06137860668</v>
      </c>
      <c r="C10" s="174">
        <f t="shared" si="2"/>
        <v>8.8200000000000056E-2</v>
      </c>
      <c r="D10" s="174">
        <f>'Valuation output'!J4</f>
        <v>0.6</v>
      </c>
      <c r="E10" s="173">
        <f t="shared" si="1"/>
        <v>79052.436827164012</v>
      </c>
      <c r="F10" s="173">
        <f>'Valuation output'!J10</f>
        <v>0</v>
      </c>
      <c r="G10" s="173">
        <f t="shared" si="0"/>
        <v>16126.697112741458</v>
      </c>
      <c r="H10" s="173">
        <f>'Valuation output'!J7</f>
        <v>62925.739714422554</v>
      </c>
    </row>
    <row r="11" spans="1:8" s="118" customFormat="1">
      <c r="A11" s="103">
        <v>9</v>
      </c>
      <c r="B11" s="173">
        <f>'Valuation output'!K3</f>
        <v>140660.6359278005</v>
      </c>
      <c r="C11" s="174">
        <f t="shared" si="2"/>
        <v>6.7600000000000104E-2</v>
      </c>
      <c r="D11" s="174">
        <f>'Valuation output'!K4</f>
        <v>0.6</v>
      </c>
      <c r="E11" s="173">
        <f t="shared" si="1"/>
        <v>84396.381556680295</v>
      </c>
      <c r="F11" s="173">
        <f>'Valuation output'!K10</f>
        <v>0</v>
      </c>
      <c r="G11" s="173">
        <f t="shared" si="0"/>
        <v>19157.978613366424</v>
      </c>
      <c r="H11" s="173">
        <f>'Valuation output'!K7</f>
        <v>65238.402943313871</v>
      </c>
    </row>
    <row r="12" spans="1:8" s="118" customFormat="1">
      <c r="A12" s="103">
        <v>10</v>
      </c>
      <c r="B12" s="173">
        <f>'Valuation output'!L3</f>
        <v>147271.68581640712</v>
      </c>
      <c r="C12" s="174">
        <f t="shared" si="2"/>
        <v>4.6999999999999931E-2</v>
      </c>
      <c r="D12" s="174">
        <f>'Valuation output'!L4</f>
        <v>0.6</v>
      </c>
      <c r="E12" s="173">
        <f t="shared" si="1"/>
        <v>88363.01148984427</v>
      </c>
      <c r="F12" s="173">
        <f>'Valuation output'!L10</f>
        <v>0</v>
      </c>
      <c r="G12" s="173">
        <f t="shared" si="0"/>
        <v>22090.75287246106</v>
      </c>
      <c r="H12" s="173">
        <f>'Valuation output'!L7</f>
        <v>66272.25861738321</v>
      </c>
    </row>
    <row r="13" spans="1:8" s="118" customFormat="1">
      <c r="A13" s="103"/>
      <c r="B13" s="103"/>
      <c r="C13" s="103"/>
      <c r="D13" s="103"/>
      <c r="E13" s="103"/>
      <c r="F13" s="103"/>
      <c r="G13" s="103"/>
      <c r="H13" s="103"/>
    </row>
    <row r="14" spans="1:8" s="118" customFormat="1" ht="51">
      <c r="A14" s="178" t="s">
        <v>100</v>
      </c>
      <c r="B14" s="178" t="s">
        <v>531</v>
      </c>
      <c r="C14" s="178" t="s">
        <v>532</v>
      </c>
      <c r="D14" s="178" t="s">
        <v>533</v>
      </c>
      <c r="E14" s="178" t="s">
        <v>534</v>
      </c>
      <c r="F14" s="178" t="s">
        <v>10</v>
      </c>
      <c r="G14" s="178" t="s">
        <v>535</v>
      </c>
      <c r="H14" s="178" t="s">
        <v>536</v>
      </c>
    </row>
    <row r="15" spans="1:8" s="118" customFormat="1">
      <c r="A15" s="94" t="str">
        <f>A2</f>
        <v>Traling 12 month</v>
      </c>
      <c r="B15" s="180">
        <f>H2</f>
        <v>30025.014999999999</v>
      </c>
      <c r="C15" s="94"/>
      <c r="D15" s="94"/>
      <c r="E15" s="94"/>
      <c r="F15" s="94"/>
      <c r="G15" s="181">
        <f>'Valuation output'!B58</f>
        <v>63537.4</v>
      </c>
      <c r="H15" s="99">
        <f>B15/G15</f>
        <v>0.47255655724030254</v>
      </c>
    </row>
    <row r="16" spans="1:8" s="118" customFormat="1">
      <c r="A16" s="94">
        <f t="shared" ref="A16:A24" si="3">A3</f>
        <v>1</v>
      </c>
      <c r="B16" s="180">
        <f t="shared" ref="B16:B25" si="4">H3</f>
        <v>31080.814537499999</v>
      </c>
      <c r="C16" s="180">
        <f>B3-B2</f>
        <v>7210.3499999999985</v>
      </c>
      <c r="D16" s="182">
        <f>'Valuation output'!C57</f>
        <v>2.5</v>
      </c>
      <c r="E16" s="180">
        <f>C16/D16</f>
        <v>2884.1399999999994</v>
      </c>
      <c r="F16" s="180">
        <f>B16-E16</f>
        <v>28196.674537499999</v>
      </c>
      <c r="G16" s="180">
        <f>G15+E16</f>
        <v>66421.540000000008</v>
      </c>
      <c r="H16" s="99">
        <f t="shared" ref="H16:H25" si="5">B16/G16</f>
        <v>0.46793276002784628</v>
      </c>
    </row>
    <row r="17" spans="1:8" s="118" customFormat="1">
      <c r="A17" s="94">
        <f t="shared" si="3"/>
        <v>2</v>
      </c>
      <c r="B17" s="180">
        <f t="shared" si="4"/>
        <v>34643.154049874996</v>
      </c>
      <c r="C17" s="180">
        <f t="shared" ref="C17:C25" si="6">B4-B3</f>
        <v>8291.9024999999965</v>
      </c>
      <c r="D17" s="182">
        <f>'Valuation output'!D57</f>
        <v>2.5</v>
      </c>
      <c r="E17" s="180">
        <f t="shared" ref="E17:E25" si="7">C17/D17</f>
        <v>3316.7609999999986</v>
      </c>
      <c r="F17" s="180">
        <f t="shared" ref="F17:F25" si="8">B17-E17</f>
        <v>31326.393049874998</v>
      </c>
      <c r="G17" s="180">
        <f t="shared" ref="G17:G25" si="9">G16+E17</f>
        <v>69738.301000000007</v>
      </c>
      <c r="H17" s="99">
        <f t="shared" si="5"/>
        <v>0.49675936398099219</v>
      </c>
    </row>
    <row r="18" spans="1:8" s="118" customFormat="1">
      <c r="A18" s="94">
        <f t="shared" si="3"/>
        <v>3</v>
      </c>
      <c r="B18" s="180">
        <f t="shared" si="4"/>
        <v>39207.252123112492</v>
      </c>
      <c r="C18" s="180">
        <f t="shared" si="6"/>
        <v>9535.687874999996</v>
      </c>
      <c r="D18" s="182">
        <f>'Valuation output'!E57</f>
        <v>2.5</v>
      </c>
      <c r="E18" s="180">
        <f t="shared" si="7"/>
        <v>3814.2751499999986</v>
      </c>
      <c r="F18" s="180">
        <f t="shared" si="8"/>
        <v>35392.976973112491</v>
      </c>
      <c r="G18" s="180">
        <f t="shared" si="9"/>
        <v>73552.576150000008</v>
      </c>
      <c r="H18" s="99">
        <f t="shared" si="5"/>
        <v>0.53305069890624746</v>
      </c>
    </row>
    <row r="19" spans="1:8" s="118" customFormat="1">
      <c r="A19" s="94">
        <f t="shared" si="3"/>
        <v>4</v>
      </c>
      <c r="B19" s="180">
        <f t="shared" si="4"/>
        <v>44361.108652199051</v>
      </c>
      <c r="C19" s="180">
        <f t="shared" si="6"/>
        <v>10966.041056249989</v>
      </c>
      <c r="D19" s="182">
        <f>'Valuation output'!F57</f>
        <v>2.5</v>
      </c>
      <c r="E19" s="180">
        <f t="shared" si="7"/>
        <v>4386.4164224999959</v>
      </c>
      <c r="F19" s="180">
        <f t="shared" si="8"/>
        <v>39974.692229699052</v>
      </c>
      <c r="G19" s="180">
        <f t="shared" si="9"/>
        <v>77938.992572500007</v>
      </c>
      <c r="H19" s="99">
        <f t="shared" si="5"/>
        <v>0.5691773422774703</v>
      </c>
    </row>
    <row r="20" spans="1:8" s="118" customFormat="1">
      <c r="A20" s="94">
        <f t="shared" si="3"/>
        <v>5</v>
      </c>
      <c r="B20" s="180">
        <f t="shared" si="4"/>
        <v>50178.958967241546</v>
      </c>
      <c r="C20" s="180">
        <f t="shared" si="6"/>
        <v>12610.94721468749</v>
      </c>
      <c r="D20" s="182">
        <f>'Valuation output'!G57</f>
        <v>2.5</v>
      </c>
      <c r="E20" s="180">
        <f t="shared" si="7"/>
        <v>5044.3788858749958</v>
      </c>
      <c r="F20" s="180">
        <f t="shared" si="8"/>
        <v>45134.580081366548</v>
      </c>
      <c r="G20" s="180">
        <f t="shared" si="9"/>
        <v>82983.371458374997</v>
      </c>
      <c r="H20" s="99">
        <f t="shared" si="5"/>
        <v>0.60468691600957236</v>
      </c>
    </row>
    <row r="21" spans="1:8" s="118" customFormat="1">
      <c r="A21" s="94">
        <f t="shared" si="3"/>
        <v>6</v>
      </c>
      <c r="B21" s="180">
        <f t="shared" si="4"/>
        <v>55165.227617227036</v>
      </c>
      <c r="C21" s="180">
        <f t="shared" si="6"/>
        <v>12510.900366784306</v>
      </c>
      <c r="D21" s="182">
        <f>'Valuation output'!H57</f>
        <v>2.5</v>
      </c>
      <c r="E21" s="180">
        <f t="shared" si="7"/>
        <v>5004.3601467137223</v>
      </c>
      <c r="F21" s="180">
        <f t="shared" si="8"/>
        <v>50160.867470513316</v>
      </c>
      <c r="G21" s="180">
        <f t="shared" si="9"/>
        <v>87987.731605088717</v>
      </c>
      <c r="H21" s="99">
        <f t="shared" si="5"/>
        <v>0.62696499399282835</v>
      </c>
    </row>
    <row r="22" spans="1:8" s="118" customFormat="1">
      <c r="A22" s="94">
        <f t="shared" si="3"/>
        <v>7</v>
      </c>
      <c r="B22" s="180">
        <f t="shared" si="4"/>
        <v>59496.366257532922</v>
      </c>
      <c r="C22" s="180">
        <f t="shared" si="6"/>
        <v>11880.397396584129</v>
      </c>
      <c r="D22" s="182">
        <f>'Valuation output'!I57</f>
        <v>2.5</v>
      </c>
      <c r="E22" s="180">
        <f t="shared" si="7"/>
        <v>4752.1589586336513</v>
      </c>
      <c r="F22" s="180">
        <f t="shared" si="8"/>
        <v>54744.207298899273</v>
      </c>
      <c r="G22" s="180">
        <f t="shared" si="9"/>
        <v>92739.890563722365</v>
      </c>
      <c r="H22" s="99">
        <f t="shared" si="5"/>
        <v>0.64154018185575135</v>
      </c>
    </row>
    <row r="23" spans="1:8" s="118" customFormat="1">
      <c r="A23" s="94">
        <f t="shared" si="3"/>
        <v>8</v>
      </c>
      <c r="B23" s="180">
        <f t="shared" si="4"/>
        <v>62925.739714422554</v>
      </c>
      <c r="C23" s="180">
        <f t="shared" si="6"/>
        <v>10678.834969300777</v>
      </c>
      <c r="D23" s="182">
        <f>'Valuation output'!J57</f>
        <v>2.5</v>
      </c>
      <c r="E23" s="180">
        <f t="shared" si="7"/>
        <v>4271.5339877203105</v>
      </c>
      <c r="F23" s="180">
        <f t="shared" si="8"/>
        <v>58654.205726702246</v>
      </c>
      <c r="G23" s="180">
        <f t="shared" si="9"/>
        <v>97011.424551442673</v>
      </c>
      <c r="H23" s="99">
        <f t="shared" si="5"/>
        <v>0.64864256973213141</v>
      </c>
    </row>
    <row r="24" spans="1:8" s="118" customFormat="1">
      <c r="A24" s="94">
        <f t="shared" si="3"/>
        <v>9</v>
      </c>
      <c r="B24" s="180">
        <f t="shared" si="4"/>
        <v>65238.402943313871</v>
      </c>
      <c r="C24" s="180">
        <f t="shared" si="6"/>
        <v>8906.5745491938142</v>
      </c>
      <c r="D24" s="182">
        <f>'Valuation output'!K57</f>
        <v>2.5</v>
      </c>
      <c r="E24" s="180">
        <f t="shared" si="7"/>
        <v>3562.6298196775256</v>
      </c>
      <c r="F24" s="180">
        <f t="shared" si="8"/>
        <v>61675.773123636347</v>
      </c>
      <c r="G24" s="180">
        <f t="shared" si="9"/>
        <v>100574.0543711202</v>
      </c>
      <c r="H24" s="99">
        <f t="shared" si="5"/>
        <v>0.64866036624697365</v>
      </c>
    </row>
    <row r="25" spans="1:8" s="118" customFormat="1">
      <c r="A25" s="94">
        <f>A12</f>
        <v>10</v>
      </c>
      <c r="B25" s="180">
        <f t="shared" si="4"/>
        <v>66272.25861738321</v>
      </c>
      <c r="C25" s="180">
        <f t="shared" si="6"/>
        <v>6611.0498886066198</v>
      </c>
      <c r="D25" s="182">
        <f>'Valuation output'!L57</f>
        <v>2.5</v>
      </c>
      <c r="E25" s="180">
        <f t="shared" si="7"/>
        <v>2644.4199554426477</v>
      </c>
      <c r="F25" s="180">
        <f t="shared" si="8"/>
        <v>63627.838661940565</v>
      </c>
      <c r="G25" s="180">
        <f t="shared" si="9"/>
        <v>103218.47432656285</v>
      </c>
      <c r="H25" s="99">
        <f t="shared" si="5"/>
        <v>0.64205811071873509</v>
      </c>
    </row>
    <row r="26" spans="1:8" s="118" customFormat="1" ht="17" thickBot="1">
      <c r="A26" s="103"/>
      <c r="B26" s="103"/>
      <c r="C26" s="103"/>
      <c r="D26" s="103"/>
      <c r="E26" s="103"/>
      <c r="F26" s="103"/>
      <c r="G26" s="103"/>
      <c r="H26" s="103"/>
    </row>
    <row r="27" spans="1:8" s="118" customFormat="1" ht="35" thickBot="1">
      <c r="A27" s="172" t="s">
        <v>100</v>
      </c>
      <c r="B27" s="172" t="s">
        <v>442</v>
      </c>
      <c r="C27" s="172" t="s">
        <v>537</v>
      </c>
      <c r="D27" s="172" t="s">
        <v>538</v>
      </c>
      <c r="E27" s="172" t="s">
        <v>539</v>
      </c>
      <c r="F27" s="172" t="s">
        <v>540</v>
      </c>
      <c r="G27" s="172" t="s">
        <v>541</v>
      </c>
      <c r="H27" s="172" t="s">
        <v>542</v>
      </c>
    </row>
    <row r="28" spans="1:8">
      <c r="A28" s="176">
        <f>A16</f>
        <v>1</v>
      </c>
      <c r="H28" s="177" t="e">
        <f>'Valuation output'!#REF!</f>
        <v>#REF!</v>
      </c>
    </row>
    <row r="29" spans="1:8">
      <c r="A29" s="176">
        <f t="shared" ref="A29:A37" si="10">A17</f>
        <v>2</v>
      </c>
      <c r="H29" s="177" t="e">
        <f>'Valuation output'!#REF!</f>
        <v>#REF!</v>
      </c>
    </row>
    <row r="30" spans="1:8">
      <c r="A30" s="176">
        <f t="shared" si="10"/>
        <v>3</v>
      </c>
      <c r="H30" s="177" t="e">
        <f>'Valuation output'!#REF!</f>
        <v>#REF!</v>
      </c>
    </row>
    <row r="31" spans="1:8">
      <c r="A31" s="176">
        <f t="shared" si="10"/>
        <v>4</v>
      </c>
      <c r="H31" s="177" t="e">
        <f>'Valuation output'!#REF!</f>
        <v>#REF!</v>
      </c>
    </row>
    <row r="32" spans="1:8">
      <c r="A32" s="176">
        <f t="shared" si="10"/>
        <v>5</v>
      </c>
      <c r="H32" s="177" t="e">
        <f>'Valuation output'!#REF!</f>
        <v>#REF!</v>
      </c>
    </row>
    <row r="33" spans="1:8">
      <c r="A33" s="176">
        <f t="shared" si="10"/>
        <v>6</v>
      </c>
      <c r="H33" s="177" t="e">
        <f>'Valuation output'!#REF!</f>
        <v>#REF!</v>
      </c>
    </row>
    <row r="34" spans="1:8">
      <c r="A34" s="176">
        <f t="shared" si="10"/>
        <v>7</v>
      </c>
      <c r="H34" s="177" t="e">
        <f>'Valuation output'!#REF!</f>
        <v>#REF!</v>
      </c>
    </row>
    <row r="35" spans="1:8">
      <c r="A35" s="176">
        <f t="shared" si="10"/>
        <v>8</v>
      </c>
      <c r="H35" s="177" t="e">
        <f>'Valuation output'!#REF!</f>
        <v>#REF!</v>
      </c>
    </row>
    <row r="36" spans="1:8">
      <c r="A36" s="176">
        <f t="shared" si="10"/>
        <v>9</v>
      </c>
      <c r="H36" s="177" t="e">
        <f>'Valuation output'!#REF!</f>
        <v>#REF!</v>
      </c>
    </row>
    <row r="37" spans="1:8">
      <c r="A37" s="176">
        <f t="shared" si="10"/>
        <v>10</v>
      </c>
      <c r="H37" s="177" t="e">
        <f>'Valuation output'!#REF!</f>
        <v>#REF!</v>
      </c>
    </row>
    <row r="39" spans="1:8" ht="51">
      <c r="A39" s="179" t="s">
        <v>100</v>
      </c>
      <c r="B39" s="179" t="s">
        <v>542</v>
      </c>
      <c r="C39" s="179" t="s">
        <v>545</v>
      </c>
      <c r="D39" s="179" t="s">
        <v>10</v>
      </c>
      <c r="E39" s="179" t="s">
        <v>546</v>
      </c>
      <c r="F39" s="179" t="s">
        <v>110</v>
      </c>
    </row>
    <row r="40" spans="1:8">
      <c r="A40" s="183">
        <f t="shared" ref="A40:A49" si="11">A28</f>
        <v>1</v>
      </c>
      <c r="B40" s="184" t="e">
        <f t="shared" ref="B40:B49" si="12">H28</f>
        <v>#REF!</v>
      </c>
      <c r="C40" s="185" t="e">
        <f>(1+'Summary Sheet'!B40)</f>
        <v>#REF!</v>
      </c>
      <c r="D40" s="186">
        <f t="shared" ref="D40:D49" si="13">F16</f>
        <v>28196.674537499999</v>
      </c>
      <c r="E40" s="183"/>
      <c r="F40" s="186" t="e">
        <f>D40/C40</f>
        <v>#REF!</v>
      </c>
    </row>
    <row r="41" spans="1:8">
      <c r="A41" s="183">
        <f t="shared" si="11"/>
        <v>2</v>
      </c>
      <c r="B41" s="184" t="e">
        <f t="shared" si="12"/>
        <v>#REF!</v>
      </c>
      <c r="C41" s="185" t="e">
        <f>C40*(1+B41)</f>
        <v>#REF!</v>
      </c>
      <c r="D41" s="186">
        <f t="shared" si="13"/>
        <v>31326.393049874998</v>
      </c>
      <c r="E41" s="183"/>
      <c r="F41" s="186" t="e">
        <f t="shared" ref="F41:F48" si="14">D41/C41</f>
        <v>#REF!</v>
      </c>
    </row>
    <row r="42" spans="1:8">
      <c r="A42" s="183">
        <f t="shared" si="11"/>
        <v>3</v>
      </c>
      <c r="B42" s="184" t="e">
        <f t="shared" si="12"/>
        <v>#REF!</v>
      </c>
      <c r="C42" s="185" t="e">
        <f t="shared" ref="C42:C49" si="15">C41*(1+B42)</f>
        <v>#REF!</v>
      </c>
      <c r="D42" s="186">
        <f t="shared" si="13"/>
        <v>35392.976973112491</v>
      </c>
      <c r="E42" s="183"/>
      <c r="F42" s="186" t="e">
        <f t="shared" si="14"/>
        <v>#REF!</v>
      </c>
    </row>
    <row r="43" spans="1:8">
      <c r="A43" s="183">
        <f t="shared" si="11"/>
        <v>4</v>
      </c>
      <c r="B43" s="184" t="e">
        <f t="shared" si="12"/>
        <v>#REF!</v>
      </c>
      <c r="C43" s="185" t="e">
        <f t="shared" si="15"/>
        <v>#REF!</v>
      </c>
      <c r="D43" s="186">
        <f t="shared" si="13"/>
        <v>39974.692229699052</v>
      </c>
      <c r="E43" s="183"/>
      <c r="F43" s="186" t="e">
        <f t="shared" si="14"/>
        <v>#REF!</v>
      </c>
    </row>
    <row r="44" spans="1:8">
      <c r="A44" s="183">
        <f t="shared" si="11"/>
        <v>5</v>
      </c>
      <c r="B44" s="184" t="e">
        <f t="shared" si="12"/>
        <v>#REF!</v>
      </c>
      <c r="C44" s="185" t="e">
        <f t="shared" si="15"/>
        <v>#REF!</v>
      </c>
      <c r="D44" s="186">
        <f t="shared" si="13"/>
        <v>45134.580081366548</v>
      </c>
      <c r="E44" s="183"/>
      <c r="F44" s="186" t="e">
        <f t="shared" si="14"/>
        <v>#REF!</v>
      </c>
    </row>
    <row r="45" spans="1:8">
      <c r="A45" s="183">
        <f t="shared" si="11"/>
        <v>6</v>
      </c>
      <c r="B45" s="184" t="e">
        <f t="shared" si="12"/>
        <v>#REF!</v>
      </c>
      <c r="C45" s="185" t="e">
        <f t="shared" si="15"/>
        <v>#REF!</v>
      </c>
      <c r="D45" s="186">
        <f t="shared" si="13"/>
        <v>50160.867470513316</v>
      </c>
      <c r="E45" s="183"/>
      <c r="F45" s="186" t="e">
        <f t="shared" si="14"/>
        <v>#REF!</v>
      </c>
    </row>
    <row r="46" spans="1:8">
      <c r="A46" s="183">
        <f t="shared" si="11"/>
        <v>7</v>
      </c>
      <c r="B46" s="184" t="e">
        <f t="shared" si="12"/>
        <v>#REF!</v>
      </c>
      <c r="C46" s="185" t="e">
        <f t="shared" si="15"/>
        <v>#REF!</v>
      </c>
      <c r="D46" s="186">
        <f t="shared" si="13"/>
        <v>54744.207298899273</v>
      </c>
      <c r="E46" s="183"/>
      <c r="F46" s="186" t="e">
        <f t="shared" si="14"/>
        <v>#REF!</v>
      </c>
    </row>
    <row r="47" spans="1:8">
      <c r="A47" s="183">
        <f t="shared" si="11"/>
        <v>8</v>
      </c>
      <c r="B47" s="184" t="e">
        <f t="shared" si="12"/>
        <v>#REF!</v>
      </c>
      <c r="C47" s="185" t="e">
        <f t="shared" si="15"/>
        <v>#REF!</v>
      </c>
      <c r="D47" s="186">
        <f t="shared" si="13"/>
        <v>58654.205726702246</v>
      </c>
      <c r="E47" s="183"/>
      <c r="F47" s="186" t="e">
        <f t="shared" si="14"/>
        <v>#REF!</v>
      </c>
    </row>
    <row r="48" spans="1:8">
      <c r="A48" s="183">
        <f t="shared" si="11"/>
        <v>9</v>
      </c>
      <c r="B48" s="184" t="e">
        <f t="shared" si="12"/>
        <v>#REF!</v>
      </c>
      <c r="C48" s="185" t="e">
        <f t="shared" si="15"/>
        <v>#REF!</v>
      </c>
      <c r="D48" s="186">
        <f t="shared" si="13"/>
        <v>61675.773123636347</v>
      </c>
      <c r="E48" s="183"/>
      <c r="F48" s="186" t="e">
        <f t="shared" si="14"/>
        <v>#REF!</v>
      </c>
    </row>
    <row r="49" spans="1:6">
      <c r="A49" s="183">
        <f t="shared" si="11"/>
        <v>10</v>
      </c>
      <c r="B49" s="184" t="e">
        <f t="shared" si="12"/>
        <v>#REF!</v>
      </c>
      <c r="C49" s="185" t="e">
        <f t="shared" si="15"/>
        <v>#REF!</v>
      </c>
      <c r="D49" s="186">
        <f t="shared" si="13"/>
        <v>63627.838661940565</v>
      </c>
      <c r="E49" s="186">
        <f>'Valuation output'!B39</f>
        <v>134099.58666421665</v>
      </c>
      <c r="F49" s="186" t="e">
        <f>(D49+E49)/C49</f>
        <v>#REF!</v>
      </c>
    </row>
    <row r="50" spans="1:6">
      <c r="A50" s="176" t="s">
        <v>31</v>
      </c>
      <c r="F50" s="186" t="e">
        <f>SUM(F40:F49)</f>
        <v>#REF!</v>
      </c>
    </row>
  </sheetData>
  <pageMargins left="0.75" right="0.75" top="1" bottom="1" header="0.3" footer="0.3"/>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10"/>
  <sheetViews>
    <sheetView topLeftCell="A5" workbookViewId="0">
      <selection activeCell="B202" sqref="B202:B210"/>
    </sheetView>
  </sheetViews>
  <sheetFormatPr baseColWidth="10" defaultRowHeight="16"/>
  <cols>
    <col min="1" max="1" width="27.5" bestFit="1" customWidth="1"/>
    <col min="2" max="2" width="15" bestFit="1" customWidth="1"/>
    <col min="3" max="3" width="18.5" bestFit="1" customWidth="1"/>
    <col min="4" max="4" width="21" style="67" bestFit="1" customWidth="1"/>
    <col min="5" max="5" width="20" bestFit="1" customWidth="1"/>
    <col min="6" max="6" width="17.6640625" bestFit="1" customWidth="1"/>
    <col min="7" max="7" width="13.6640625" style="488" bestFit="1" customWidth="1"/>
  </cols>
  <sheetData>
    <row r="1" spans="1:7">
      <c r="A1" t="s">
        <v>595</v>
      </c>
      <c r="B1" s="120">
        <v>4.3299999999999998E-2</v>
      </c>
      <c r="C1" t="s">
        <v>940</v>
      </c>
    </row>
    <row r="2" spans="1:7" s="11" customFormat="1">
      <c r="A2" s="145" t="s">
        <v>640</v>
      </c>
      <c r="B2" s="145"/>
      <c r="C2" s="145"/>
      <c r="D2" s="489"/>
      <c r="E2" s="145"/>
      <c r="F2" s="145"/>
      <c r="G2" s="490"/>
    </row>
    <row r="4" spans="1:7">
      <c r="A4" s="491" t="s">
        <v>324</v>
      </c>
      <c r="B4" s="492" t="s">
        <v>548</v>
      </c>
      <c r="C4" s="493" t="s">
        <v>325</v>
      </c>
      <c r="D4" s="494" t="s">
        <v>549</v>
      </c>
      <c r="E4" s="494" t="s">
        <v>326</v>
      </c>
      <c r="F4" s="494" t="s">
        <v>490</v>
      </c>
      <c r="G4"/>
    </row>
    <row r="5" spans="1:7">
      <c r="A5" s="495" t="s">
        <v>451</v>
      </c>
      <c r="B5" s="94" t="s">
        <v>550</v>
      </c>
      <c r="C5" s="93">
        <v>4.8889784279692525E-3</v>
      </c>
      <c r="D5" s="93">
        <f>$B$1+E5</f>
        <v>4.9891087812100818E-2</v>
      </c>
      <c r="E5" s="93">
        <v>6.5910878121008187E-3</v>
      </c>
      <c r="F5" s="93">
        <v>0.15</v>
      </c>
      <c r="G5"/>
    </row>
    <row r="6" spans="1:7">
      <c r="A6" s="495" t="s">
        <v>220</v>
      </c>
      <c r="B6" s="94" t="s">
        <v>560</v>
      </c>
      <c r="C6" s="93">
        <v>3.5619699975204554E-2</v>
      </c>
      <c r="D6" s="93">
        <f t="shared" ref="D6:D69" si="0">$B$1+E6</f>
        <v>9.1320782631020253E-2</v>
      </c>
      <c r="E6" s="93">
        <v>4.8020782631020255E-2</v>
      </c>
      <c r="F6" s="93">
        <v>0.15</v>
      </c>
      <c r="G6"/>
    </row>
    <row r="7" spans="1:7">
      <c r="A7" s="496" t="s">
        <v>552</v>
      </c>
      <c r="B7" s="94" t="s">
        <v>643</v>
      </c>
      <c r="C7" s="93">
        <v>2.9799487560955448E-2</v>
      </c>
      <c r="D7" s="93">
        <f t="shared" si="0"/>
        <v>8.3474249521376429E-2</v>
      </c>
      <c r="E7" s="93">
        <v>4.017424952137643E-2</v>
      </c>
      <c r="F7" s="93">
        <v>0.15</v>
      </c>
      <c r="G7"/>
    </row>
    <row r="8" spans="1:7">
      <c r="A8" s="495" t="s">
        <v>469</v>
      </c>
      <c r="B8" s="94" t="s">
        <v>555</v>
      </c>
      <c r="C8" s="93">
        <v>1.5830977766757577E-2</v>
      </c>
      <c r="D8" s="93">
        <f t="shared" si="0"/>
        <v>6.4642570058231222E-2</v>
      </c>
      <c r="E8" s="93">
        <v>2.134257005823122E-2</v>
      </c>
      <c r="F8" s="93">
        <v>0.1898</v>
      </c>
      <c r="G8"/>
    </row>
    <row r="9" spans="1:7">
      <c r="A9" s="495" t="s">
        <v>221</v>
      </c>
      <c r="B9" s="94" t="s">
        <v>563</v>
      </c>
      <c r="C9" s="93">
        <v>6.4371549301595152E-2</v>
      </c>
      <c r="D9" s="93">
        <f t="shared" si="0"/>
        <v>0.13008265619266079</v>
      </c>
      <c r="E9" s="93">
        <v>8.6782656192660804E-2</v>
      </c>
      <c r="F9" s="93">
        <v>0.25</v>
      </c>
      <c r="G9"/>
    </row>
    <row r="10" spans="1:7">
      <c r="A10" s="495" t="s">
        <v>909</v>
      </c>
      <c r="B10" s="94" t="s">
        <v>643</v>
      </c>
      <c r="C10" s="93">
        <v>6.0122636258365322E-2</v>
      </c>
      <c r="D10" s="93">
        <f t="shared" si="0"/>
        <v>0.12435447404039451</v>
      </c>
      <c r="E10" s="142">
        <v>8.1054474040394509E-2</v>
      </c>
      <c r="F10" s="142">
        <v>0.25228018689443577</v>
      </c>
      <c r="G10"/>
    </row>
    <row r="11" spans="1:7">
      <c r="A11" s="495" t="s">
        <v>910</v>
      </c>
      <c r="B11" s="94" t="s">
        <v>643</v>
      </c>
      <c r="C11" s="93">
        <v>6.0100000000000001E-2</v>
      </c>
      <c r="D11" s="93">
        <f t="shared" si="0"/>
        <v>0.1243122477280291</v>
      </c>
      <c r="E11" s="142">
        <v>8.1012247728029091E-2</v>
      </c>
      <c r="F11" s="142">
        <v>0.25230000000000002</v>
      </c>
      <c r="G11"/>
    </row>
    <row r="12" spans="1:7">
      <c r="A12" s="495" t="s">
        <v>222</v>
      </c>
      <c r="B12" s="94" t="s">
        <v>615</v>
      </c>
      <c r="C12" s="93">
        <v>0.11884873749896685</v>
      </c>
      <c r="D12" s="93">
        <f t="shared" si="0"/>
        <v>0.2035262060989271</v>
      </c>
      <c r="E12" s="93">
        <v>0.1602262060989271</v>
      </c>
      <c r="F12" s="93">
        <v>0.35</v>
      </c>
      <c r="G12"/>
    </row>
    <row r="13" spans="1:7">
      <c r="A13" s="495" t="s">
        <v>223</v>
      </c>
      <c r="B13" s="94" t="s">
        <v>560</v>
      </c>
      <c r="C13" s="93">
        <v>3.5619699975204554E-2</v>
      </c>
      <c r="D13" s="93">
        <f t="shared" si="0"/>
        <v>9.1320782631020253E-2</v>
      </c>
      <c r="E13" s="93">
        <v>4.8020782631020255E-2</v>
      </c>
      <c r="F13" s="93">
        <v>0.18</v>
      </c>
      <c r="G13"/>
    </row>
    <row r="14" spans="1:7">
      <c r="A14" s="495" t="s">
        <v>224</v>
      </c>
      <c r="B14" s="94" t="s">
        <v>559</v>
      </c>
      <c r="C14" s="93">
        <v>2.1767594429291676E-2</v>
      </c>
      <c r="D14" s="93">
        <f t="shared" si="0"/>
        <v>7.2646033830067944E-2</v>
      </c>
      <c r="E14" s="93">
        <v>2.9346033830067942E-2</v>
      </c>
      <c r="F14" s="93">
        <v>0.25</v>
      </c>
      <c r="G14"/>
    </row>
    <row r="15" spans="1:7">
      <c r="A15" s="495" t="s">
        <v>225</v>
      </c>
      <c r="B15" s="94" t="s">
        <v>556</v>
      </c>
      <c r="C15" s="93">
        <v>0</v>
      </c>
      <c r="D15" s="93">
        <f t="shared" si="0"/>
        <v>4.3299999999999998E-2</v>
      </c>
      <c r="E15" s="93">
        <v>0</v>
      </c>
      <c r="F15" s="93">
        <v>0.3</v>
      </c>
      <c r="G15"/>
    </row>
    <row r="16" spans="1:7">
      <c r="A16" s="495" t="s">
        <v>226</v>
      </c>
      <c r="B16" s="94" t="s">
        <v>557</v>
      </c>
      <c r="C16" s="93">
        <v>3.9577444416893943E-3</v>
      </c>
      <c r="D16" s="93">
        <f t="shared" si="0"/>
        <v>4.8635642514557806E-2</v>
      </c>
      <c r="E16" s="93">
        <v>5.335642514557805E-3</v>
      </c>
      <c r="F16" s="93">
        <v>0.24</v>
      </c>
      <c r="G16"/>
    </row>
    <row r="17" spans="1:7">
      <c r="A17" s="495" t="s">
        <v>332</v>
      </c>
      <c r="B17" s="94" t="s">
        <v>571</v>
      </c>
      <c r="C17" s="93">
        <v>2.4794104884701216E-2</v>
      </c>
      <c r="D17" s="93">
        <f t="shared" si="0"/>
        <v>7.6726231047082732E-2</v>
      </c>
      <c r="E17" s="93">
        <v>3.3426231047082741E-2</v>
      </c>
      <c r="F17" s="93">
        <v>0.2</v>
      </c>
      <c r="G17"/>
    </row>
    <row r="18" spans="1:7">
      <c r="A18" s="495" t="s">
        <v>227</v>
      </c>
      <c r="B18" s="94" t="s">
        <v>551</v>
      </c>
      <c r="C18" s="93">
        <v>4.4582827093148182E-2</v>
      </c>
      <c r="D18" s="93">
        <f t="shared" si="0"/>
        <v>0.10340444361987178</v>
      </c>
      <c r="E18" s="93">
        <v>6.0104443619871772E-2</v>
      </c>
      <c r="F18" s="93">
        <v>0</v>
      </c>
      <c r="G18"/>
    </row>
    <row r="19" spans="1:7">
      <c r="A19" s="495" t="s">
        <v>228</v>
      </c>
      <c r="B19" s="94" t="s">
        <v>554</v>
      </c>
      <c r="C19" s="93">
        <v>5.4477188197371677E-2</v>
      </c>
      <c r="D19" s="93">
        <f t="shared" si="0"/>
        <v>0.11674354990626629</v>
      </c>
      <c r="E19" s="93">
        <v>7.3443549906266281E-2</v>
      </c>
      <c r="F19" s="93">
        <v>0</v>
      </c>
      <c r="G19"/>
    </row>
    <row r="20" spans="1:7">
      <c r="A20" s="495" t="s">
        <v>229</v>
      </c>
      <c r="B20" s="94" t="s">
        <v>554</v>
      </c>
      <c r="C20" s="93">
        <v>5.4477188197371677E-2</v>
      </c>
      <c r="D20" s="93">
        <f t="shared" si="0"/>
        <v>0.11674354990626629</v>
      </c>
      <c r="E20" s="93">
        <v>7.3443549906266281E-2</v>
      </c>
      <c r="F20" s="93">
        <v>0.3</v>
      </c>
      <c r="G20"/>
    </row>
    <row r="21" spans="1:7">
      <c r="A21" s="495" t="s">
        <v>230</v>
      </c>
      <c r="B21" s="94" t="s">
        <v>563</v>
      </c>
      <c r="C21" s="93">
        <v>6.4371549301595152E-2</v>
      </c>
      <c r="D21" s="93">
        <f t="shared" si="0"/>
        <v>0.13008265619266079</v>
      </c>
      <c r="E21" s="93">
        <v>8.6782656192660804E-2</v>
      </c>
      <c r="F21" s="93">
        <v>5.5E-2</v>
      </c>
      <c r="G21"/>
    </row>
    <row r="22" spans="1:7">
      <c r="A22" s="495" t="s">
        <v>231</v>
      </c>
      <c r="B22" s="94" t="s">
        <v>597</v>
      </c>
      <c r="C22" s="93">
        <v>0.17499999999999999</v>
      </c>
      <c r="D22" s="93">
        <f t="shared" si="0"/>
        <v>0.27922666323069684</v>
      </c>
      <c r="E22" s="93">
        <v>0.23592666323069683</v>
      </c>
      <c r="F22" s="93">
        <v>0.18</v>
      </c>
      <c r="G22"/>
    </row>
    <row r="23" spans="1:7">
      <c r="A23" s="495" t="s">
        <v>232</v>
      </c>
      <c r="B23" s="94" t="s">
        <v>562</v>
      </c>
      <c r="C23" s="93">
        <v>5.9366166625340932E-3</v>
      </c>
      <c r="D23" s="93">
        <f t="shared" si="0"/>
        <v>5.1303463771836713E-2</v>
      </c>
      <c r="E23" s="93">
        <v>8.0034637718367115E-3</v>
      </c>
      <c r="F23" s="93">
        <v>0.25</v>
      </c>
      <c r="G23"/>
    </row>
    <row r="24" spans="1:7">
      <c r="A24" s="495" t="s">
        <v>335</v>
      </c>
      <c r="B24" s="94" t="s">
        <v>561</v>
      </c>
      <c r="C24" s="93">
        <v>7.4265910405818647E-2</v>
      </c>
      <c r="D24" s="93">
        <f t="shared" si="0"/>
        <v>0.1434217624790553</v>
      </c>
      <c r="E24" s="93">
        <v>0.10012176247905531</v>
      </c>
      <c r="F24" s="93">
        <v>0.2853</v>
      </c>
      <c r="G24"/>
    </row>
    <row r="25" spans="1:7">
      <c r="A25" s="495" t="s">
        <v>564</v>
      </c>
      <c r="B25" s="94" t="s">
        <v>551</v>
      </c>
      <c r="C25" s="93">
        <v>4.4582827093148182E-2</v>
      </c>
      <c r="D25" s="93">
        <f t="shared" si="0"/>
        <v>0.10340444361987178</v>
      </c>
      <c r="E25" s="93">
        <v>6.0104443619871772E-2</v>
      </c>
      <c r="F25" s="93">
        <v>0.3</v>
      </c>
      <c r="G25"/>
    </row>
    <row r="26" spans="1:7">
      <c r="A26" s="495" t="s">
        <v>233</v>
      </c>
      <c r="B26" s="94" t="s">
        <v>565</v>
      </c>
      <c r="C26" s="93">
        <v>8.3811058765187203E-3</v>
      </c>
      <c r="D26" s="93">
        <f t="shared" si="0"/>
        <v>5.4599007677887119E-2</v>
      </c>
      <c r="E26" s="93">
        <v>1.1299007677887121E-2</v>
      </c>
      <c r="F26" s="93">
        <v>0</v>
      </c>
      <c r="G26"/>
    </row>
    <row r="27" spans="1:7">
      <c r="A27" s="495" t="s">
        <v>234</v>
      </c>
      <c r="B27" s="94" t="s">
        <v>616</v>
      </c>
      <c r="C27" s="93">
        <v>9.9060015290519873E-2</v>
      </c>
      <c r="D27" s="93">
        <f t="shared" si="0"/>
        <v>0.17684799352613806</v>
      </c>
      <c r="E27" s="93">
        <v>0.13354799352613805</v>
      </c>
      <c r="F27" s="93">
        <v>0.25</v>
      </c>
      <c r="G27"/>
    </row>
    <row r="28" spans="1:7">
      <c r="A28" s="495" t="s">
        <v>235</v>
      </c>
      <c r="B28" s="94" t="s">
        <v>563</v>
      </c>
      <c r="C28" s="93">
        <v>6.4371549301595152E-2</v>
      </c>
      <c r="D28" s="93">
        <f t="shared" si="0"/>
        <v>0.13008265619266079</v>
      </c>
      <c r="E28" s="93">
        <v>8.6782656192660804E-2</v>
      </c>
      <c r="F28" s="93">
        <v>0.1</v>
      </c>
      <c r="G28"/>
    </row>
    <row r="29" spans="1:7">
      <c r="A29" s="495" t="s">
        <v>236</v>
      </c>
      <c r="B29" s="94" t="s">
        <v>569</v>
      </c>
      <c r="C29" s="93">
        <v>1.1873233325068186E-2</v>
      </c>
      <c r="D29" s="93">
        <f t="shared" si="0"/>
        <v>5.9306927543673421E-2</v>
      </c>
      <c r="E29" s="93">
        <v>1.6006927543673423E-2</v>
      </c>
      <c r="F29" s="93">
        <v>0.22</v>
      </c>
      <c r="G29"/>
    </row>
    <row r="30" spans="1:7">
      <c r="A30" s="495" t="s">
        <v>237</v>
      </c>
      <c r="B30" s="94" t="s">
        <v>571</v>
      </c>
      <c r="C30" s="93">
        <v>2.4794104884701216E-2</v>
      </c>
      <c r="D30" s="93">
        <f t="shared" si="0"/>
        <v>7.6726231047082732E-2</v>
      </c>
      <c r="E30" s="93">
        <v>3.3426231047082741E-2</v>
      </c>
      <c r="F30" s="93">
        <v>0.34</v>
      </c>
      <c r="G30"/>
    </row>
    <row r="31" spans="1:7">
      <c r="A31" s="495" t="s">
        <v>911</v>
      </c>
      <c r="B31" s="94" t="s">
        <v>643</v>
      </c>
      <c r="C31" s="93">
        <v>6.0122636258365322E-2</v>
      </c>
      <c r="D31" s="93">
        <f t="shared" si="0"/>
        <v>0.12435447404039451</v>
      </c>
      <c r="E31" s="142">
        <v>8.1054474040394509E-2</v>
      </c>
      <c r="F31" s="142">
        <v>0.25228018689443577</v>
      </c>
      <c r="G31"/>
    </row>
    <row r="32" spans="1:7">
      <c r="A32" s="496" t="s">
        <v>566</v>
      </c>
      <c r="B32" s="94" t="s">
        <v>643</v>
      </c>
      <c r="C32" s="93">
        <v>5.9366166625340923E-3</v>
      </c>
      <c r="D32" s="93">
        <f t="shared" si="0"/>
        <v>5.1303463771836706E-2</v>
      </c>
      <c r="E32" s="93">
        <v>8.0034637718367097E-3</v>
      </c>
      <c r="F32" s="93">
        <v>0.34</v>
      </c>
      <c r="G32"/>
    </row>
    <row r="33" spans="1:7">
      <c r="A33" s="495" t="s">
        <v>238</v>
      </c>
      <c r="B33" s="94" t="s">
        <v>555</v>
      </c>
      <c r="C33" s="93">
        <v>1.5830977766757577E-2</v>
      </c>
      <c r="D33" s="93">
        <f t="shared" si="0"/>
        <v>6.4642570058231222E-2</v>
      </c>
      <c r="E33" s="93">
        <v>2.134257005823122E-2</v>
      </c>
      <c r="F33" s="93">
        <v>0.1</v>
      </c>
      <c r="G33"/>
    </row>
    <row r="34" spans="1:7">
      <c r="A34" s="495" t="s">
        <v>452</v>
      </c>
      <c r="B34" s="94" t="s">
        <v>561</v>
      </c>
      <c r="C34" s="93">
        <v>7.4265910405818647E-2</v>
      </c>
      <c r="D34" s="93">
        <f t="shared" si="0"/>
        <v>0.1434217624790553</v>
      </c>
      <c r="E34" s="93">
        <v>0.10012176247905531</v>
      </c>
      <c r="F34" s="93">
        <v>0.28000000000000003</v>
      </c>
      <c r="G34"/>
    </row>
    <row r="35" spans="1:7">
      <c r="A35" s="495" t="s">
        <v>239</v>
      </c>
      <c r="B35" s="94" t="s">
        <v>554</v>
      </c>
      <c r="C35" s="93">
        <v>5.4477188197371677E-2</v>
      </c>
      <c r="D35" s="93">
        <f t="shared" si="0"/>
        <v>0.11674354990626629</v>
      </c>
      <c r="E35" s="93">
        <v>7.3443549906266281E-2</v>
      </c>
      <c r="F35" s="93">
        <v>0.2</v>
      </c>
      <c r="G35"/>
    </row>
    <row r="36" spans="1:7">
      <c r="A36" s="495" t="s">
        <v>453</v>
      </c>
      <c r="B36" s="94" t="s">
        <v>561</v>
      </c>
      <c r="C36" s="93">
        <v>7.4265910405818647E-2</v>
      </c>
      <c r="D36" s="93">
        <f t="shared" si="0"/>
        <v>0.1434217624790553</v>
      </c>
      <c r="E36" s="93">
        <v>0.10012176247905531</v>
      </c>
      <c r="F36" s="93">
        <v>0.33</v>
      </c>
      <c r="G36"/>
    </row>
    <row r="37" spans="1:7">
      <c r="A37" s="495" t="s">
        <v>240</v>
      </c>
      <c r="B37" s="94" t="s">
        <v>556</v>
      </c>
      <c r="C37" s="93">
        <v>0</v>
      </c>
      <c r="D37" s="93">
        <f t="shared" si="0"/>
        <v>4.3299999999999998E-2</v>
      </c>
      <c r="E37" s="93">
        <v>0</v>
      </c>
      <c r="F37" s="93">
        <v>0.26500000000000001</v>
      </c>
      <c r="G37"/>
    </row>
    <row r="38" spans="1:7">
      <c r="A38" s="495" t="s">
        <v>454</v>
      </c>
      <c r="B38" s="94" t="s">
        <v>554</v>
      </c>
      <c r="C38" s="93">
        <v>5.4477188197371677E-2</v>
      </c>
      <c r="D38" s="93">
        <f t="shared" si="0"/>
        <v>0.11674354990626629</v>
      </c>
      <c r="E38" s="93">
        <v>7.3443549906266281E-2</v>
      </c>
      <c r="F38" s="93">
        <v>0</v>
      </c>
      <c r="G38"/>
    </row>
    <row r="39" spans="1:7">
      <c r="A39" s="495" t="s">
        <v>241</v>
      </c>
      <c r="B39" s="94" t="s">
        <v>562</v>
      </c>
      <c r="C39" s="93">
        <v>5.9366166625340932E-3</v>
      </c>
      <c r="D39" s="93">
        <f t="shared" si="0"/>
        <v>5.1303463771836713E-2</v>
      </c>
      <c r="E39" s="93">
        <v>8.0034637718367115E-3</v>
      </c>
      <c r="F39" s="93">
        <v>0</v>
      </c>
      <c r="G39"/>
    </row>
    <row r="40" spans="1:7">
      <c r="A40" s="495" t="s">
        <v>912</v>
      </c>
      <c r="B40" s="94" t="s">
        <v>643</v>
      </c>
      <c r="C40" s="93">
        <v>8.2741050967470049E-3</v>
      </c>
      <c r="D40" s="93">
        <f t="shared" si="0"/>
        <v>5.4454754323974987E-2</v>
      </c>
      <c r="E40" s="142">
        <v>1.1154754323974989E-2</v>
      </c>
      <c r="F40" s="142">
        <v>0.24775219614916172</v>
      </c>
      <c r="G40"/>
    </row>
    <row r="41" spans="1:7">
      <c r="A41" s="495" t="s">
        <v>242</v>
      </c>
      <c r="B41" s="94" t="s">
        <v>565</v>
      </c>
      <c r="C41" s="93">
        <v>8.3811058765187203E-3</v>
      </c>
      <c r="D41" s="93">
        <f t="shared" si="0"/>
        <v>5.4599007677887119E-2</v>
      </c>
      <c r="E41" s="93">
        <v>1.1299007677887121E-2</v>
      </c>
      <c r="F41" s="93">
        <v>0.27</v>
      </c>
      <c r="G41"/>
    </row>
    <row r="42" spans="1:7">
      <c r="A42" s="495" t="s">
        <v>243</v>
      </c>
      <c r="B42" s="94" t="s">
        <v>567</v>
      </c>
      <c r="C42" s="93">
        <v>6.9842548970989338E-3</v>
      </c>
      <c r="D42" s="93">
        <f t="shared" si="0"/>
        <v>5.2715839731572595E-2</v>
      </c>
      <c r="E42" s="93">
        <v>9.4158397315725999E-3</v>
      </c>
      <c r="F42" s="93">
        <v>0.25</v>
      </c>
      <c r="G42"/>
    </row>
    <row r="43" spans="1:7">
      <c r="A43" s="495" t="s">
        <v>244</v>
      </c>
      <c r="B43" s="94" t="s">
        <v>553</v>
      </c>
      <c r="C43" s="93">
        <v>1.885748822216712E-2</v>
      </c>
      <c r="D43" s="93">
        <f t="shared" si="0"/>
        <v>6.8722767275246024E-2</v>
      </c>
      <c r="E43" s="93">
        <v>2.5422767275246023E-2</v>
      </c>
      <c r="F43" s="93">
        <v>0.35</v>
      </c>
      <c r="G43"/>
    </row>
    <row r="44" spans="1:7">
      <c r="A44" s="495" t="s">
        <v>470</v>
      </c>
      <c r="B44" s="94" t="s">
        <v>563</v>
      </c>
      <c r="C44" s="93">
        <v>6.4371549301595152E-2</v>
      </c>
      <c r="D44" s="93">
        <f t="shared" si="0"/>
        <v>0.13008265619266079</v>
      </c>
      <c r="E44" s="93">
        <v>8.6782656192660804E-2</v>
      </c>
      <c r="F44" s="93">
        <v>0.3</v>
      </c>
      <c r="G44"/>
    </row>
    <row r="45" spans="1:7">
      <c r="A45" s="495" t="s">
        <v>471</v>
      </c>
      <c r="B45" s="94" t="s">
        <v>568</v>
      </c>
      <c r="C45" s="93">
        <v>8.9165654186296364E-2</v>
      </c>
      <c r="D45" s="93">
        <f t="shared" si="0"/>
        <v>0.16350888723974355</v>
      </c>
      <c r="E45" s="93">
        <v>0.12020888723974354</v>
      </c>
      <c r="F45" s="93">
        <v>0.28000000000000003</v>
      </c>
      <c r="G45"/>
    </row>
    <row r="46" spans="1:7">
      <c r="A46" s="495" t="s">
        <v>455</v>
      </c>
      <c r="B46" s="94" t="s">
        <v>551</v>
      </c>
      <c r="C46" s="93">
        <v>4.4582827093148182E-2</v>
      </c>
      <c r="D46" s="93">
        <f t="shared" si="0"/>
        <v>0.10340444361987178</v>
      </c>
      <c r="E46" s="93">
        <v>6.0104443619871772E-2</v>
      </c>
      <c r="F46" s="93">
        <v>0.2974</v>
      </c>
      <c r="G46"/>
    </row>
    <row r="47" spans="1:7">
      <c r="A47" s="495" t="s">
        <v>245</v>
      </c>
      <c r="B47" s="94" t="s">
        <v>560</v>
      </c>
      <c r="C47" s="93">
        <v>3.5619699975204554E-2</v>
      </c>
      <c r="D47" s="93">
        <f t="shared" si="0"/>
        <v>9.1320782631020253E-2</v>
      </c>
      <c r="E47" s="93">
        <v>4.8020782631020255E-2</v>
      </c>
      <c r="F47" s="93">
        <v>0.3</v>
      </c>
      <c r="G47"/>
    </row>
    <row r="48" spans="1:7">
      <c r="A48" s="495" t="s">
        <v>246</v>
      </c>
      <c r="B48" s="94" t="s">
        <v>569</v>
      </c>
      <c r="C48" s="93">
        <v>1.1873233325068186E-2</v>
      </c>
      <c r="D48" s="93">
        <f t="shared" si="0"/>
        <v>5.9306927543673421E-2</v>
      </c>
      <c r="E48" s="93">
        <v>1.6006927543673423E-2</v>
      </c>
      <c r="F48" s="93">
        <v>0.18</v>
      </c>
      <c r="G48"/>
    </row>
    <row r="49" spans="1:7">
      <c r="A49" s="495" t="s">
        <v>337</v>
      </c>
      <c r="B49" s="94" t="s">
        <v>615</v>
      </c>
      <c r="C49" s="93">
        <v>0.11884873749896685</v>
      </c>
      <c r="D49" s="93">
        <f t="shared" si="0"/>
        <v>0.2035262060989271</v>
      </c>
      <c r="E49" s="93">
        <v>0.1602262060989271</v>
      </c>
      <c r="F49" s="93">
        <v>0.2853</v>
      </c>
      <c r="G49"/>
    </row>
    <row r="50" spans="1:7">
      <c r="A50" s="497" t="s">
        <v>913</v>
      </c>
      <c r="B50" s="94" t="s">
        <v>559</v>
      </c>
      <c r="C50" s="93">
        <v>2.1767594429291676E-2</v>
      </c>
      <c r="D50" s="93">
        <f t="shared" si="0"/>
        <v>7.2646033830067944E-2</v>
      </c>
      <c r="E50" s="142">
        <v>2.9346033830067942E-2</v>
      </c>
      <c r="F50" s="142">
        <v>0.22</v>
      </c>
      <c r="G50"/>
    </row>
    <row r="51" spans="1:7">
      <c r="A51" s="495" t="s">
        <v>247</v>
      </c>
      <c r="B51" s="94" t="s">
        <v>569</v>
      </c>
      <c r="C51" s="93">
        <v>1.1873233325068186E-2</v>
      </c>
      <c r="D51" s="93">
        <f t="shared" si="0"/>
        <v>5.9306927543673421E-2</v>
      </c>
      <c r="E51" s="93">
        <v>1.6006927543673423E-2</v>
      </c>
      <c r="F51" s="93">
        <v>0.125</v>
      </c>
      <c r="G51"/>
    </row>
    <row r="52" spans="1:7">
      <c r="A52" s="495" t="s">
        <v>248</v>
      </c>
      <c r="B52" s="94" t="s">
        <v>562</v>
      </c>
      <c r="C52" s="93">
        <v>5.9366166625340932E-3</v>
      </c>
      <c r="D52" s="93">
        <f t="shared" si="0"/>
        <v>5.1303463771836713E-2</v>
      </c>
      <c r="E52" s="93">
        <v>8.0034637718367115E-3</v>
      </c>
      <c r="F52" s="93">
        <v>0.19</v>
      </c>
      <c r="G52"/>
    </row>
    <row r="53" spans="1:7">
      <c r="A53" s="495" t="s">
        <v>249</v>
      </c>
      <c r="B53" s="94" t="s">
        <v>556</v>
      </c>
      <c r="C53" s="93">
        <v>0</v>
      </c>
      <c r="D53" s="93">
        <f t="shared" si="0"/>
        <v>4.3299999999999998E-2</v>
      </c>
      <c r="E53" s="93">
        <v>0</v>
      </c>
      <c r="F53" s="93">
        <v>0.22</v>
      </c>
      <c r="G53"/>
    </row>
    <row r="54" spans="1:7">
      <c r="A54" s="495" t="s">
        <v>250</v>
      </c>
      <c r="B54" s="94" t="s">
        <v>560</v>
      </c>
      <c r="C54" s="93">
        <v>3.5619699975204554E-2</v>
      </c>
      <c r="D54" s="93">
        <f t="shared" si="0"/>
        <v>9.1320782631020253E-2</v>
      </c>
      <c r="E54" s="93">
        <v>4.8020782631020255E-2</v>
      </c>
      <c r="F54" s="93">
        <v>0.27</v>
      </c>
      <c r="G54"/>
    </row>
    <row r="55" spans="1:7">
      <c r="A55" s="495" t="s">
        <v>251</v>
      </c>
      <c r="B55" s="94" t="s">
        <v>616</v>
      </c>
      <c r="C55" s="93">
        <v>9.9060015290519873E-2</v>
      </c>
      <c r="D55" s="93">
        <f t="shared" si="0"/>
        <v>0.17684799352613806</v>
      </c>
      <c r="E55" s="93">
        <v>0.13354799352613805</v>
      </c>
      <c r="F55" s="93">
        <v>0.25</v>
      </c>
      <c r="G55"/>
    </row>
    <row r="56" spans="1:7">
      <c r="A56" s="495" t="s">
        <v>252</v>
      </c>
      <c r="B56" s="94" t="s">
        <v>561</v>
      </c>
      <c r="C56" s="93">
        <v>7.4265910405818647E-2</v>
      </c>
      <c r="D56" s="93">
        <f t="shared" si="0"/>
        <v>0.1434217624790553</v>
      </c>
      <c r="E56" s="93">
        <v>0.10012176247905531</v>
      </c>
      <c r="F56" s="93">
        <v>0.22500000000000001</v>
      </c>
      <c r="G56"/>
    </row>
    <row r="57" spans="1:7">
      <c r="A57" s="495" t="s">
        <v>338</v>
      </c>
      <c r="B57" s="94" t="s">
        <v>563</v>
      </c>
      <c r="C57" s="93">
        <v>6.4371549301595152E-2</v>
      </c>
      <c r="D57" s="93">
        <f t="shared" si="0"/>
        <v>0.13008265619266079</v>
      </c>
      <c r="E57" s="93">
        <v>8.6782656192660804E-2</v>
      </c>
      <c r="F57" s="93">
        <v>0.3</v>
      </c>
      <c r="G57"/>
    </row>
    <row r="58" spans="1:7">
      <c r="A58" s="495" t="s">
        <v>253</v>
      </c>
      <c r="B58" s="94" t="s">
        <v>567</v>
      </c>
      <c r="C58" s="93">
        <v>6.9842548970989338E-3</v>
      </c>
      <c r="D58" s="93">
        <f t="shared" si="0"/>
        <v>5.2715839731572595E-2</v>
      </c>
      <c r="E58" s="93">
        <v>9.4158397315725999E-3</v>
      </c>
      <c r="F58" s="93">
        <v>0.2</v>
      </c>
      <c r="G58"/>
    </row>
    <row r="59" spans="1:7">
      <c r="A59" s="495" t="s">
        <v>472</v>
      </c>
      <c r="B59" s="94" t="s">
        <v>568</v>
      </c>
      <c r="C59" s="93">
        <v>8.9165654186296364E-2</v>
      </c>
      <c r="D59" s="93">
        <f t="shared" si="0"/>
        <v>0.16350888723974355</v>
      </c>
      <c r="E59" s="93">
        <v>0.12020888723974354</v>
      </c>
      <c r="F59" s="93">
        <v>0.3</v>
      </c>
      <c r="G59"/>
    </row>
    <row r="60" spans="1:7">
      <c r="A60" s="495" t="s">
        <v>914</v>
      </c>
      <c r="B60" s="498" t="s">
        <v>643</v>
      </c>
      <c r="C60" s="499">
        <v>3.5769376863949848E-2</v>
      </c>
      <c r="D60" s="93">
        <f t="shared" si="0"/>
        <v>9.1522569882017013E-2</v>
      </c>
      <c r="E60" s="500">
        <v>4.8222569882017015E-2</v>
      </c>
      <c r="F60" s="500">
        <v>0.31553952561697912</v>
      </c>
      <c r="G60"/>
    </row>
    <row r="61" spans="1:7">
      <c r="A61" s="495" t="s">
        <v>254</v>
      </c>
      <c r="B61" s="94" t="s">
        <v>551</v>
      </c>
      <c r="C61" s="93">
        <v>4.4582827093148182E-2</v>
      </c>
      <c r="D61" s="93">
        <f t="shared" si="0"/>
        <v>0.10340444361987178</v>
      </c>
      <c r="E61" s="93">
        <v>6.0104443619871772E-2</v>
      </c>
      <c r="F61" s="93">
        <v>0.2</v>
      </c>
      <c r="G61"/>
    </row>
    <row r="62" spans="1:7">
      <c r="A62" s="495" t="s">
        <v>255</v>
      </c>
      <c r="B62" s="94" t="s">
        <v>557</v>
      </c>
      <c r="C62" s="93">
        <v>3.9577444416893943E-3</v>
      </c>
      <c r="D62" s="93">
        <f t="shared" si="0"/>
        <v>4.8635642514557806E-2</v>
      </c>
      <c r="E62" s="93">
        <v>5.335642514557805E-3</v>
      </c>
      <c r="F62" s="93">
        <v>0.2</v>
      </c>
      <c r="G62"/>
    </row>
    <row r="63" spans="1:7">
      <c r="A63" s="495" t="s">
        <v>256</v>
      </c>
      <c r="B63" s="94" t="s">
        <v>562</v>
      </c>
      <c r="C63" s="93">
        <v>5.9366166625340932E-3</v>
      </c>
      <c r="D63" s="93">
        <f t="shared" si="0"/>
        <v>5.1303463771836713E-2</v>
      </c>
      <c r="E63" s="93">
        <v>8.0034637718367115E-3</v>
      </c>
      <c r="F63" s="93">
        <v>0.25</v>
      </c>
      <c r="G63"/>
    </row>
    <row r="64" spans="1:7">
      <c r="A64" s="495" t="s">
        <v>915</v>
      </c>
      <c r="B64" s="498" t="s">
        <v>643</v>
      </c>
      <c r="C64" s="499">
        <v>3.5769376863949848E-2</v>
      </c>
      <c r="D64" s="93">
        <f t="shared" si="0"/>
        <v>9.1522569882017013E-2</v>
      </c>
      <c r="E64" s="500">
        <v>4.8222569882017015E-2</v>
      </c>
      <c r="F64" s="500">
        <v>0.31553952561697912</v>
      </c>
      <c r="G64"/>
    </row>
    <row r="65" spans="1:7">
      <c r="A65" s="495" t="s">
        <v>456</v>
      </c>
      <c r="B65" s="94" t="s">
        <v>568</v>
      </c>
      <c r="C65" s="93">
        <v>8.9165654186296364E-2</v>
      </c>
      <c r="D65" s="93">
        <f t="shared" si="0"/>
        <v>0.16350888723974355</v>
      </c>
      <c r="E65" s="93">
        <v>0.12020888723974354</v>
      </c>
      <c r="F65" s="93">
        <v>0.3</v>
      </c>
      <c r="G65"/>
    </row>
    <row r="66" spans="1:7">
      <c r="A66" s="496" t="s">
        <v>570</v>
      </c>
      <c r="B66" s="94" t="s">
        <v>643</v>
      </c>
      <c r="C66" s="93">
        <v>4.4582827093148182E-2</v>
      </c>
      <c r="D66" s="93">
        <f t="shared" si="0"/>
        <v>0.10340444361987178</v>
      </c>
      <c r="E66" s="93">
        <v>6.0104443619871772E-2</v>
      </c>
      <c r="F66" s="93">
        <v>0.3</v>
      </c>
      <c r="G66"/>
    </row>
    <row r="67" spans="1:7">
      <c r="A67" s="495" t="s">
        <v>339</v>
      </c>
      <c r="B67" s="94" t="s">
        <v>558</v>
      </c>
      <c r="C67" s="93">
        <v>2.9799487560955448E-2</v>
      </c>
      <c r="D67" s="93">
        <f t="shared" si="0"/>
        <v>8.3474249521376429E-2</v>
      </c>
      <c r="E67" s="93">
        <v>4.017424952137643E-2</v>
      </c>
      <c r="F67" s="93">
        <v>0.15</v>
      </c>
      <c r="G67"/>
    </row>
    <row r="68" spans="1:7">
      <c r="A68" s="495" t="s">
        <v>257</v>
      </c>
      <c r="B68" s="94" t="s">
        <v>556</v>
      </c>
      <c r="C68" s="93">
        <v>0</v>
      </c>
      <c r="D68" s="93">
        <f t="shared" si="0"/>
        <v>4.3299999999999998E-2</v>
      </c>
      <c r="E68" s="93">
        <v>0</v>
      </c>
      <c r="F68" s="93">
        <v>0.3</v>
      </c>
      <c r="G68"/>
    </row>
    <row r="69" spans="1:7">
      <c r="A69" s="495" t="s">
        <v>457</v>
      </c>
      <c r="B69" s="94" t="s">
        <v>568</v>
      </c>
      <c r="C69" s="93">
        <v>8.9165654186296364E-2</v>
      </c>
      <c r="D69" s="93">
        <f t="shared" si="0"/>
        <v>0.16350888723974355</v>
      </c>
      <c r="E69" s="93">
        <v>0.12020888723974354</v>
      </c>
      <c r="F69" s="93">
        <v>0.25</v>
      </c>
      <c r="G69"/>
    </row>
    <row r="70" spans="1:7">
      <c r="A70" s="495" t="s">
        <v>916</v>
      </c>
      <c r="B70" s="94" t="s">
        <v>643</v>
      </c>
      <c r="C70" s="93">
        <v>8.2741050967470049E-3</v>
      </c>
      <c r="D70" s="93">
        <f t="shared" ref="D70:D133" si="1">$B$1+E70</f>
        <v>5.4454754323974987E-2</v>
      </c>
      <c r="E70" s="142">
        <v>1.1154754323974989E-2</v>
      </c>
      <c r="F70" s="142">
        <v>0.24775219614916172</v>
      </c>
      <c r="G70"/>
    </row>
    <row r="71" spans="1:7">
      <c r="A71" s="495" t="s">
        <v>258</v>
      </c>
      <c r="B71" s="94" t="s">
        <v>571</v>
      </c>
      <c r="C71" s="93">
        <v>2.4794104884701216E-2</v>
      </c>
      <c r="D71" s="93">
        <f t="shared" si="1"/>
        <v>7.6726231047082732E-2</v>
      </c>
      <c r="E71" s="93">
        <v>3.3426231047082741E-2</v>
      </c>
      <c r="F71" s="93">
        <v>0.22</v>
      </c>
      <c r="G71"/>
    </row>
    <row r="72" spans="1:7">
      <c r="A72" s="495" t="s">
        <v>917</v>
      </c>
      <c r="B72" s="94" t="s">
        <v>643</v>
      </c>
      <c r="C72" s="93">
        <v>8.2741050967470049E-3</v>
      </c>
      <c r="D72" s="93">
        <f t="shared" si="1"/>
        <v>5.4454754323974987E-2</v>
      </c>
      <c r="E72" s="142">
        <v>1.1154754323974989E-2</v>
      </c>
      <c r="F72" s="142">
        <v>0.24775219614916172</v>
      </c>
      <c r="G72"/>
    </row>
    <row r="73" spans="1:7">
      <c r="A73" s="495" t="s">
        <v>259</v>
      </c>
      <c r="B73" s="94" t="s">
        <v>571</v>
      </c>
      <c r="C73" s="93">
        <v>2.4794104884701216E-2</v>
      </c>
      <c r="D73" s="93">
        <f t="shared" si="1"/>
        <v>7.6726231047082732E-2</v>
      </c>
      <c r="E73" s="93">
        <v>3.3426231047082741E-2</v>
      </c>
      <c r="F73" s="93">
        <v>0.25</v>
      </c>
      <c r="G73"/>
    </row>
    <row r="74" spans="1:7">
      <c r="A74" s="495" t="s">
        <v>636</v>
      </c>
      <c r="B74" s="94" t="s">
        <v>567</v>
      </c>
      <c r="C74" s="93">
        <v>6.9842548970989338E-3</v>
      </c>
      <c r="D74" s="93">
        <f t="shared" si="1"/>
        <v>5.2715839731572595E-2</v>
      </c>
      <c r="E74" s="93">
        <v>9.4158397315725999E-3</v>
      </c>
      <c r="F74" s="93">
        <v>0</v>
      </c>
      <c r="G74"/>
    </row>
    <row r="75" spans="1:7">
      <c r="A75" s="496" t="s">
        <v>572</v>
      </c>
      <c r="B75" s="94" t="s">
        <v>643</v>
      </c>
      <c r="C75" s="93">
        <v>8.916565418629635E-2</v>
      </c>
      <c r="D75" s="93">
        <f t="shared" si="1"/>
        <v>0.16350888723974349</v>
      </c>
      <c r="E75" s="93">
        <v>0.1202088872397435</v>
      </c>
      <c r="F75" s="93">
        <v>0</v>
      </c>
      <c r="G75"/>
    </row>
    <row r="76" spans="1:7">
      <c r="A76" s="496" t="s">
        <v>573</v>
      </c>
      <c r="B76" s="94" t="s">
        <v>643</v>
      </c>
      <c r="C76" s="93">
        <v>6.4371549301595138E-2</v>
      </c>
      <c r="D76" s="93">
        <f t="shared" si="1"/>
        <v>0.13008265619266079</v>
      </c>
      <c r="E76" s="93">
        <v>8.678265619266079E-2</v>
      </c>
      <c r="F76" s="93">
        <v>0</v>
      </c>
      <c r="G76"/>
    </row>
    <row r="77" spans="1:7">
      <c r="A77" s="496" t="s">
        <v>574</v>
      </c>
      <c r="B77" s="94" t="s">
        <v>643</v>
      </c>
      <c r="C77" s="93">
        <v>1.5830977766757577E-2</v>
      </c>
      <c r="D77" s="93">
        <f t="shared" si="1"/>
        <v>6.4642570058231222E-2</v>
      </c>
      <c r="E77" s="93">
        <v>2.134257005823122E-2</v>
      </c>
      <c r="F77" s="93">
        <v>0</v>
      </c>
      <c r="G77"/>
    </row>
    <row r="78" spans="1:7">
      <c r="A78" s="496" t="s">
        <v>575</v>
      </c>
      <c r="B78" s="94" t="s">
        <v>643</v>
      </c>
      <c r="C78" s="93">
        <v>0.11884873749896685</v>
      </c>
      <c r="D78" s="93">
        <f t="shared" si="1"/>
        <v>0.2035262060989271</v>
      </c>
      <c r="E78" s="93">
        <v>0.1602262060989271</v>
      </c>
      <c r="F78" s="93">
        <v>0</v>
      </c>
      <c r="G78"/>
    </row>
    <row r="79" spans="1:7">
      <c r="A79" s="495" t="s">
        <v>260</v>
      </c>
      <c r="B79" s="94" t="s">
        <v>551</v>
      </c>
      <c r="C79" s="93">
        <v>4.4582827093148182E-2</v>
      </c>
      <c r="D79" s="93">
        <f t="shared" si="1"/>
        <v>0.10340444361987178</v>
      </c>
      <c r="E79" s="93">
        <v>6.0104443619871772E-2</v>
      </c>
      <c r="F79" s="93">
        <v>0.25</v>
      </c>
      <c r="G79"/>
    </row>
    <row r="80" spans="1:7">
      <c r="A80" s="495" t="s">
        <v>261</v>
      </c>
      <c r="B80" s="94" t="s">
        <v>562</v>
      </c>
      <c r="C80" s="93">
        <v>5.9366166625340932E-3</v>
      </c>
      <c r="D80" s="93">
        <f t="shared" si="1"/>
        <v>5.1303463771836713E-2</v>
      </c>
      <c r="E80" s="93">
        <v>8.0034637718367115E-3</v>
      </c>
      <c r="F80" s="93">
        <v>0.16500000000000001</v>
      </c>
      <c r="G80"/>
    </row>
    <row r="81" spans="1:7">
      <c r="A81" s="495" t="s">
        <v>262</v>
      </c>
      <c r="B81" s="94" t="s">
        <v>553</v>
      </c>
      <c r="C81" s="93">
        <v>1.885748822216712E-2</v>
      </c>
      <c r="D81" s="93">
        <f t="shared" si="1"/>
        <v>6.8722767275246024E-2</v>
      </c>
      <c r="E81" s="93">
        <v>2.5422767275246023E-2</v>
      </c>
      <c r="F81" s="93">
        <v>0.09</v>
      </c>
      <c r="G81"/>
    </row>
    <row r="82" spans="1:7">
      <c r="A82" s="495" t="s">
        <v>263</v>
      </c>
      <c r="B82" s="94" t="s">
        <v>567</v>
      </c>
      <c r="C82" s="93">
        <v>6.9842548970989338E-3</v>
      </c>
      <c r="D82" s="93">
        <f t="shared" si="1"/>
        <v>5.2715839731572595E-2</v>
      </c>
      <c r="E82" s="93">
        <v>9.4158397315725999E-3</v>
      </c>
      <c r="F82" s="93">
        <v>0.2</v>
      </c>
      <c r="G82"/>
    </row>
    <row r="83" spans="1:7">
      <c r="A83" s="495" t="s">
        <v>264</v>
      </c>
      <c r="B83" s="94" t="s">
        <v>559</v>
      </c>
      <c r="C83" s="93">
        <v>2.1767594429291676E-2</v>
      </c>
      <c r="D83" s="93">
        <f t="shared" si="1"/>
        <v>7.2646033830067944E-2</v>
      </c>
      <c r="E83" s="93">
        <v>2.9346033830067942E-2</v>
      </c>
      <c r="F83" s="93">
        <v>0.3</v>
      </c>
      <c r="G83"/>
    </row>
    <row r="84" spans="1:7">
      <c r="A84" s="495" t="s">
        <v>265</v>
      </c>
      <c r="B84" s="94" t="s">
        <v>553</v>
      </c>
      <c r="C84" s="93">
        <v>1.885748822216712E-2</v>
      </c>
      <c r="D84" s="93">
        <f t="shared" si="1"/>
        <v>6.8722767275246024E-2</v>
      </c>
      <c r="E84" s="93">
        <v>2.5422767275246023E-2</v>
      </c>
      <c r="F84" s="93">
        <v>0.22</v>
      </c>
      <c r="G84"/>
    </row>
    <row r="85" spans="1:7">
      <c r="A85" s="496" t="s">
        <v>576</v>
      </c>
      <c r="B85" s="94" t="s">
        <v>643</v>
      </c>
      <c r="C85" s="93">
        <v>6.4371549301595138E-2</v>
      </c>
      <c r="D85" s="93">
        <f t="shared" si="1"/>
        <v>0.13008265619266079</v>
      </c>
      <c r="E85" s="93">
        <v>8.678265619266079E-2</v>
      </c>
      <c r="F85" s="93">
        <v>0.22</v>
      </c>
      <c r="G85"/>
    </row>
    <row r="86" spans="1:7">
      <c r="A86" s="495" t="s">
        <v>524</v>
      </c>
      <c r="B86" s="94" t="s">
        <v>561</v>
      </c>
      <c r="C86" s="93">
        <v>7.4265910405818647E-2</v>
      </c>
      <c r="D86" s="93">
        <f t="shared" si="1"/>
        <v>0.1434217624790553</v>
      </c>
      <c r="E86" s="93">
        <v>0.10012176247905531</v>
      </c>
      <c r="F86" s="93">
        <v>0.15</v>
      </c>
      <c r="G86"/>
    </row>
    <row r="87" spans="1:7">
      <c r="A87" s="495" t="s">
        <v>266</v>
      </c>
      <c r="B87" s="94" t="s">
        <v>562</v>
      </c>
      <c r="C87" s="93">
        <v>5.9366166625340932E-3</v>
      </c>
      <c r="D87" s="93">
        <f t="shared" si="1"/>
        <v>5.1303463771836713E-2</v>
      </c>
      <c r="E87" s="93">
        <v>8.0034637718367115E-3</v>
      </c>
      <c r="F87" s="93">
        <v>0.125</v>
      </c>
      <c r="G87"/>
    </row>
    <row r="88" spans="1:7">
      <c r="A88" s="495" t="s">
        <v>267</v>
      </c>
      <c r="B88" s="94" t="s">
        <v>562</v>
      </c>
      <c r="C88" s="93">
        <v>5.9366166625340932E-3</v>
      </c>
      <c r="D88" s="93">
        <f t="shared" si="1"/>
        <v>5.1303463771836713E-2</v>
      </c>
      <c r="E88" s="93">
        <v>8.0034637718367115E-3</v>
      </c>
      <c r="F88" s="93">
        <v>0</v>
      </c>
      <c r="G88"/>
    </row>
    <row r="89" spans="1:7">
      <c r="A89" s="495" t="s">
        <v>268</v>
      </c>
      <c r="B89" s="94" t="s">
        <v>555</v>
      </c>
      <c r="C89" s="93">
        <v>1.5830977766757577E-2</v>
      </c>
      <c r="D89" s="93">
        <f t="shared" si="1"/>
        <v>6.4642570058231222E-2</v>
      </c>
      <c r="E89" s="93">
        <v>2.134257005823122E-2</v>
      </c>
      <c r="F89" s="93">
        <v>0.23</v>
      </c>
      <c r="G89"/>
    </row>
    <row r="90" spans="1:7">
      <c r="A90" s="495" t="s">
        <v>269</v>
      </c>
      <c r="B90" s="94" t="s">
        <v>559</v>
      </c>
      <c r="C90" s="93">
        <v>2.1767594429291676E-2</v>
      </c>
      <c r="D90" s="93">
        <f t="shared" si="1"/>
        <v>7.2646033830067944E-2</v>
      </c>
      <c r="E90" s="93">
        <v>2.9346033830067942E-2</v>
      </c>
      <c r="F90" s="93">
        <v>0.24</v>
      </c>
      <c r="G90"/>
    </row>
    <row r="91" spans="1:7">
      <c r="A91" s="495" t="s">
        <v>918</v>
      </c>
      <c r="B91" s="94" t="s">
        <v>558</v>
      </c>
      <c r="C91" s="99">
        <v>2.9799487560955448E-2</v>
      </c>
      <c r="D91" s="93">
        <f t="shared" si="1"/>
        <v>8.3474249521376429E-2</v>
      </c>
      <c r="E91" s="128">
        <v>4.017424952137643E-2</v>
      </c>
      <c r="F91" s="128">
        <v>0.25</v>
      </c>
      <c r="G91"/>
    </row>
    <row r="92" spans="1:7">
      <c r="A92" s="495" t="s">
        <v>270</v>
      </c>
      <c r="B92" s="94" t="s">
        <v>551</v>
      </c>
      <c r="C92" s="93">
        <v>4.4582827093148182E-2</v>
      </c>
      <c r="D92" s="93">
        <f t="shared" si="1"/>
        <v>0.10340444361987178</v>
      </c>
      <c r="E92" s="93">
        <v>6.0104443619871772E-2</v>
      </c>
      <c r="F92" s="93">
        <v>0.25</v>
      </c>
      <c r="G92"/>
    </row>
    <row r="93" spans="1:7">
      <c r="A93" s="495" t="s">
        <v>271</v>
      </c>
      <c r="B93" s="94" t="s">
        <v>567</v>
      </c>
      <c r="C93" s="93">
        <v>6.9842548970989338E-3</v>
      </c>
      <c r="D93" s="93">
        <f t="shared" si="1"/>
        <v>5.2715839731572595E-2</v>
      </c>
      <c r="E93" s="93">
        <v>9.4158397315725999E-3</v>
      </c>
      <c r="F93" s="93">
        <v>0.30620000000000003</v>
      </c>
      <c r="G93"/>
    </row>
    <row r="94" spans="1:7">
      <c r="A94" s="495" t="s">
        <v>637</v>
      </c>
      <c r="B94" s="94" t="s">
        <v>550</v>
      </c>
      <c r="C94" s="93">
        <v>4.8889784279692525E-3</v>
      </c>
      <c r="D94" s="93">
        <f t="shared" si="1"/>
        <v>4.9891087812100818E-2</v>
      </c>
      <c r="E94" s="93">
        <v>6.5910878121008187E-3</v>
      </c>
      <c r="F94" s="93">
        <v>0</v>
      </c>
      <c r="G94"/>
    </row>
    <row r="95" spans="1:7">
      <c r="A95" s="495" t="s">
        <v>272</v>
      </c>
      <c r="B95" s="94" t="s">
        <v>560</v>
      </c>
      <c r="C95" s="93">
        <v>3.5619699975204554E-2</v>
      </c>
      <c r="D95" s="93">
        <f t="shared" si="1"/>
        <v>9.1320782631020253E-2</v>
      </c>
      <c r="E95" s="93">
        <v>4.8020782631020255E-2</v>
      </c>
      <c r="F95" s="93">
        <v>0.2</v>
      </c>
      <c r="G95"/>
    </row>
    <row r="96" spans="1:7">
      <c r="A96" s="495" t="s">
        <v>273</v>
      </c>
      <c r="B96" s="94" t="s">
        <v>555</v>
      </c>
      <c r="C96" s="93">
        <v>1.5830977766757577E-2</v>
      </c>
      <c r="D96" s="93">
        <f t="shared" si="1"/>
        <v>6.4642570058231222E-2</v>
      </c>
      <c r="E96" s="93">
        <v>2.134257005823122E-2</v>
      </c>
      <c r="F96" s="93">
        <v>0.2</v>
      </c>
      <c r="G96"/>
    </row>
    <row r="97" spans="1:7">
      <c r="A97" s="495" t="s">
        <v>400</v>
      </c>
      <c r="B97" s="94" t="s">
        <v>561</v>
      </c>
      <c r="C97" s="93">
        <v>7.4265910405818647E-2</v>
      </c>
      <c r="D97" s="93">
        <f t="shared" si="1"/>
        <v>0.1434217624790553</v>
      </c>
      <c r="E97" s="93">
        <v>0.10012176247905531</v>
      </c>
      <c r="F97" s="93">
        <v>0.3</v>
      </c>
      <c r="G97"/>
    </row>
    <row r="98" spans="1:7">
      <c r="A98" s="496" t="s">
        <v>577</v>
      </c>
      <c r="B98" s="94" t="s">
        <v>643</v>
      </c>
      <c r="C98" s="93">
        <v>0.11884873749896685</v>
      </c>
      <c r="D98" s="93">
        <f t="shared" si="1"/>
        <v>0.2035262060989271</v>
      </c>
      <c r="E98" s="93">
        <v>0.1602262060989271</v>
      </c>
      <c r="F98" s="93">
        <v>0.25</v>
      </c>
      <c r="G98"/>
    </row>
    <row r="99" spans="1:7">
      <c r="A99" s="495" t="s">
        <v>274</v>
      </c>
      <c r="B99" s="94" t="s">
        <v>567</v>
      </c>
      <c r="C99" s="93">
        <v>6.9842548970989338E-3</v>
      </c>
      <c r="D99" s="93">
        <f t="shared" si="1"/>
        <v>5.2715839731572595E-2</v>
      </c>
      <c r="E99" s="93">
        <v>9.4158397315725999E-3</v>
      </c>
      <c r="F99" s="93">
        <v>0.15</v>
      </c>
      <c r="G99"/>
    </row>
    <row r="100" spans="1:7">
      <c r="A100" s="495" t="s">
        <v>458</v>
      </c>
      <c r="B100" s="94" t="s">
        <v>563</v>
      </c>
      <c r="C100" s="93">
        <v>6.4371549301595152E-2</v>
      </c>
      <c r="D100" s="93">
        <f t="shared" si="1"/>
        <v>0.13008265619266079</v>
      </c>
      <c r="E100" s="93">
        <v>8.6782656192660804E-2</v>
      </c>
      <c r="F100" s="93">
        <v>0.1</v>
      </c>
      <c r="G100"/>
    </row>
    <row r="101" spans="1:7">
      <c r="A101" s="495" t="s">
        <v>605</v>
      </c>
      <c r="B101" s="94" t="s">
        <v>616</v>
      </c>
      <c r="C101" s="93">
        <v>9.9060015290519873E-2</v>
      </c>
      <c r="D101" s="93">
        <f t="shared" si="1"/>
        <v>0.17684799352613806</v>
      </c>
      <c r="E101" s="93">
        <v>0.13354799352613805</v>
      </c>
      <c r="F101" s="93">
        <v>0.26860000000000001</v>
      </c>
      <c r="G101"/>
    </row>
    <row r="102" spans="1:7">
      <c r="A102" s="495" t="s">
        <v>275</v>
      </c>
      <c r="B102" s="94" t="s">
        <v>569</v>
      </c>
      <c r="C102" s="93">
        <v>1.1873233325068186E-2</v>
      </c>
      <c r="D102" s="93">
        <f t="shared" si="1"/>
        <v>5.9306927543673421E-2</v>
      </c>
      <c r="E102" s="93">
        <v>1.6006927543673423E-2</v>
      </c>
      <c r="F102" s="93">
        <v>0.2</v>
      </c>
      <c r="G102"/>
    </row>
    <row r="103" spans="1:7">
      <c r="A103" s="495" t="s">
        <v>340</v>
      </c>
      <c r="B103" s="94" t="s">
        <v>597</v>
      </c>
      <c r="C103" s="93">
        <v>0.17499999999999999</v>
      </c>
      <c r="D103" s="93">
        <f t="shared" si="1"/>
        <v>0.27922666323069684</v>
      </c>
      <c r="E103" s="93">
        <v>0.23592666323069683</v>
      </c>
      <c r="F103" s="93">
        <v>0.17</v>
      </c>
      <c r="G103"/>
    </row>
    <row r="104" spans="1:7">
      <c r="A104" s="496" t="s">
        <v>578</v>
      </c>
      <c r="B104" s="94" t="s">
        <v>643</v>
      </c>
      <c r="C104" s="93">
        <v>8.916565418629635E-2</v>
      </c>
      <c r="D104" s="93">
        <f t="shared" si="1"/>
        <v>0.16350888723974349</v>
      </c>
      <c r="E104" s="93">
        <v>0.1202088872397435</v>
      </c>
      <c r="F104" s="93">
        <v>0.17</v>
      </c>
      <c r="G104"/>
    </row>
    <row r="105" spans="1:7">
      <c r="A105" s="496" t="s">
        <v>579</v>
      </c>
      <c r="B105" s="94" t="s">
        <v>643</v>
      </c>
      <c r="C105" s="93">
        <v>1.5830977766757577E-2</v>
      </c>
      <c r="D105" s="93">
        <f t="shared" si="1"/>
        <v>6.4642570058231222E-2</v>
      </c>
      <c r="E105" s="93">
        <v>2.134257005823122E-2</v>
      </c>
      <c r="F105" s="93">
        <v>0.17</v>
      </c>
      <c r="G105"/>
    </row>
    <row r="106" spans="1:7">
      <c r="A106" s="495" t="s">
        <v>276</v>
      </c>
      <c r="B106" s="94" t="s">
        <v>556</v>
      </c>
      <c r="C106" s="93">
        <v>0</v>
      </c>
      <c r="D106" s="93">
        <f t="shared" si="1"/>
        <v>4.3299999999999998E-2</v>
      </c>
      <c r="E106" s="93">
        <v>0</v>
      </c>
      <c r="F106" s="93">
        <v>0.125</v>
      </c>
      <c r="G106"/>
    </row>
    <row r="107" spans="1:7">
      <c r="A107" s="495" t="s">
        <v>277</v>
      </c>
      <c r="B107" s="94" t="s">
        <v>565</v>
      </c>
      <c r="C107" s="93">
        <v>8.3811058765187203E-3</v>
      </c>
      <c r="D107" s="93">
        <f t="shared" si="1"/>
        <v>5.4599007677887119E-2</v>
      </c>
      <c r="E107" s="93">
        <v>1.1299007677887121E-2</v>
      </c>
      <c r="F107" s="93">
        <v>0.15</v>
      </c>
      <c r="G107"/>
    </row>
    <row r="108" spans="1:7">
      <c r="A108" s="495" t="s">
        <v>278</v>
      </c>
      <c r="B108" s="94" t="s">
        <v>556</v>
      </c>
      <c r="C108" s="93">
        <v>0</v>
      </c>
      <c r="D108" s="93">
        <f t="shared" si="1"/>
        <v>4.3299999999999998E-2</v>
      </c>
      <c r="E108" s="93">
        <v>0</v>
      </c>
      <c r="F108" s="93">
        <v>0.24940000000000001</v>
      </c>
      <c r="G108"/>
    </row>
    <row r="109" spans="1:7">
      <c r="A109" s="495" t="s">
        <v>919</v>
      </c>
      <c r="B109" s="94" t="s">
        <v>562</v>
      </c>
      <c r="C109" s="99">
        <v>5.9366166625340932E-3</v>
      </c>
      <c r="D109" s="93">
        <f t="shared" si="1"/>
        <v>5.1303463771836713E-2</v>
      </c>
      <c r="E109" s="128">
        <v>8.0034637718367115E-3</v>
      </c>
      <c r="F109" s="128">
        <v>0.26860000000000001</v>
      </c>
      <c r="G109"/>
    </row>
    <row r="110" spans="1:7">
      <c r="A110" s="495" t="s">
        <v>279</v>
      </c>
      <c r="B110" s="94" t="s">
        <v>560</v>
      </c>
      <c r="C110" s="93">
        <v>3.5619699975204554E-2</v>
      </c>
      <c r="D110" s="93">
        <f t="shared" si="1"/>
        <v>9.1320782631020253E-2</v>
      </c>
      <c r="E110" s="93">
        <v>4.8020782631020255E-2</v>
      </c>
      <c r="F110" s="93">
        <v>0.1</v>
      </c>
      <c r="G110"/>
    </row>
    <row r="111" spans="1:7">
      <c r="A111" s="496" t="s">
        <v>580</v>
      </c>
      <c r="B111" s="94" t="s">
        <v>643</v>
      </c>
      <c r="C111" s="93">
        <v>5.4477188197371657E-2</v>
      </c>
      <c r="D111" s="93">
        <f t="shared" si="1"/>
        <v>0.11674354990626626</v>
      </c>
      <c r="E111" s="93">
        <v>7.3443549906266253E-2</v>
      </c>
      <c r="F111" s="93">
        <v>0.1</v>
      </c>
      <c r="G111"/>
    </row>
    <row r="112" spans="1:7">
      <c r="A112" s="496" t="s">
        <v>581</v>
      </c>
      <c r="B112" s="94" t="s">
        <v>643</v>
      </c>
      <c r="C112" s="93">
        <v>8.916565418629635E-2</v>
      </c>
      <c r="D112" s="93">
        <f t="shared" si="1"/>
        <v>0.16350888723974349</v>
      </c>
      <c r="E112" s="93">
        <v>0.1202088872397435</v>
      </c>
      <c r="F112" s="93">
        <v>0.1</v>
      </c>
      <c r="G112"/>
    </row>
    <row r="113" spans="1:7">
      <c r="A113" s="495" t="s">
        <v>280</v>
      </c>
      <c r="B113" s="94" t="s">
        <v>569</v>
      </c>
      <c r="C113" s="93">
        <v>1.1873233325068186E-2</v>
      </c>
      <c r="D113" s="93">
        <f t="shared" si="1"/>
        <v>5.9306927543673421E-2</v>
      </c>
      <c r="E113" s="93">
        <v>1.6006927543673423E-2</v>
      </c>
      <c r="F113" s="93">
        <v>0.24</v>
      </c>
      <c r="G113"/>
    </row>
    <row r="114" spans="1:7">
      <c r="A114" s="495" t="s">
        <v>638</v>
      </c>
      <c r="B114" s="94" t="s">
        <v>568</v>
      </c>
      <c r="C114" s="93">
        <v>8.9165654186296364E-2</v>
      </c>
      <c r="D114" s="93">
        <f t="shared" si="1"/>
        <v>0.16350888723974355</v>
      </c>
      <c r="E114" s="93">
        <v>0.12020888723974354</v>
      </c>
      <c r="F114" s="93">
        <v>0.26860000000000001</v>
      </c>
      <c r="G114"/>
    </row>
    <row r="115" spans="1:7">
      <c r="A115" s="495" t="s">
        <v>582</v>
      </c>
      <c r="B115" s="94" t="s">
        <v>568</v>
      </c>
      <c r="C115" s="93">
        <v>8.9165654186296364E-2</v>
      </c>
      <c r="D115" s="93">
        <f t="shared" si="1"/>
        <v>0.16350888723974355</v>
      </c>
      <c r="E115" s="93">
        <v>0.12020888723974354</v>
      </c>
      <c r="F115" s="93">
        <v>0.26860000000000001</v>
      </c>
      <c r="G115"/>
    </row>
    <row r="116" spans="1:7">
      <c r="A116" s="495" t="s">
        <v>281</v>
      </c>
      <c r="B116" s="94" t="s">
        <v>565</v>
      </c>
      <c r="C116" s="93">
        <v>8.3811058765187203E-3</v>
      </c>
      <c r="D116" s="93">
        <f t="shared" si="1"/>
        <v>5.4599007677887119E-2</v>
      </c>
      <c r="E116" s="93">
        <v>1.1299007677887121E-2</v>
      </c>
      <c r="F116" s="93">
        <v>0.35</v>
      </c>
      <c r="G116"/>
    </row>
    <row r="117" spans="1:7">
      <c r="A117" s="495" t="s">
        <v>920</v>
      </c>
      <c r="B117" s="94" t="s">
        <v>643</v>
      </c>
      <c r="C117" s="93">
        <v>6.0122636258365322E-2</v>
      </c>
      <c r="D117" s="93">
        <f t="shared" si="1"/>
        <v>0.12435447404039451</v>
      </c>
      <c r="E117" s="142">
        <v>8.1054474040394509E-2</v>
      </c>
      <c r="F117" s="142">
        <v>0.25228018689443577</v>
      </c>
      <c r="G117"/>
    </row>
    <row r="118" spans="1:7">
      <c r="A118" s="495" t="s">
        <v>282</v>
      </c>
      <c r="B118" s="94" t="s">
        <v>559</v>
      </c>
      <c r="C118" s="93">
        <v>2.1767594429291676E-2</v>
      </c>
      <c r="D118" s="93">
        <f t="shared" si="1"/>
        <v>7.2646033830067944E-2</v>
      </c>
      <c r="E118" s="93">
        <v>2.9346033830067942E-2</v>
      </c>
      <c r="F118" s="93">
        <v>0.15</v>
      </c>
      <c r="G118"/>
    </row>
    <row r="119" spans="1:7">
      <c r="A119" s="495" t="s">
        <v>283</v>
      </c>
      <c r="B119" s="94" t="s">
        <v>553</v>
      </c>
      <c r="C119" s="93">
        <v>1.885748822216712E-2</v>
      </c>
      <c r="D119" s="93">
        <f t="shared" si="1"/>
        <v>6.8722767275246024E-2</v>
      </c>
      <c r="E119" s="93">
        <v>2.5422767275246023E-2</v>
      </c>
      <c r="F119" s="93">
        <v>0.3</v>
      </c>
      <c r="G119"/>
    </row>
    <row r="120" spans="1:7">
      <c r="A120" s="495" t="s">
        <v>341</v>
      </c>
      <c r="B120" s="94" t="s">
        <v>563</v>
      </c>
      <c r="C120" s="93">
        <v>6.4371549301595152E-2</v>
      </c>
      <c r="D120" s="93">
        <f t="shared" si="1"/>
        <v>0.13008265619266079</v>
      </c>
      <c r="E120" s="142">
        <v>8.6782656192660804E-2</v>
      </c>
      <c r="F120" s="142">
        <v>0.12</v>
      </c>
      <c r="G120"/>
    </row>
    <row r="121" spans="1:7">
      <c r="A121" s="495" t="s">
        <v>921</v>
      </c>
      <c r="B121" s="94" t="s">
        <v>556</v>
      </c>
      <c r="C121" s="93">
        <v>0</v>
      </c>
      <c r="D121" s="93">
        <f t="shared" si="1"/>
        <v>4.3299999999999998E-2</v>
      </c>
      <c r="E121" s="93">
        <v>0</v>
      </c>
      <c r="F121" s="93">
        <v>0.24775219614916172</v>
      </c>
      <c r="G121"/>
    </row>
    <row r="122" spans="1:7">
      <c r="A122" s="495" t="s">
        <v>342</v>
      </c>
      <c r="B122" s="94" t="s">
        <v>554</v>
      </c>
      <c r="C122" s="93">
        <v>5.4477188197371677E-2</v>
      </c>
      <c r="D122" s="93">
        <f t="shared" si="1"/>
        <v>0.11674354990626629</v>
      </c>
      <c r="E122" s="93">
        <v>7.3443549906266281E-2</v>
      </c>
      <c r="F122" s="93">
        <v>0.25</v>
      </c>
      <c r="G122"/>
    </row>
    <row r="123" spans="1:7">
      <c r="A123" s="495" t="s">
        <v>284</v>
      </c>
      <c r="B123" s="94" t="s">
        <v>551</v>
      </c>
      <c r="C123" s="93">
        <v>4.4582827093148182E-2</v>
      </c>
      <c r="D123" s="93">
        <f t="shared" si="1"/>
        <v>0.10340444361987178</v>
      </c>
      <c r="E123" s="93">
        <v>6.0104443619871772E-2</v>
      </c>
      <c r="F123" s="93">
        <v>0.15</v>
      </c>
      <c r="G123"/>
    </row>
    <row r="124" spans="1:7">
      <c r="A124" s="495" t="s">
        <v>459</v>
      </c>
      <c r="B124" s="94" t="s">
        <v>559</v>
      </c>
      <c r="C124" s="93">
        <v>2.1767594429291676E-2</v>
      </c>
      <c r="D124" s="93">
        <f t="shared" si="1"/>
        <v>7.2646033830067944E-2</v>
      </c>
      <c r="E124" s="93">
        <v>2.9346033830067942E-2</v>
      </c>
      <c r="F124" s="93">
        <v>0.2853</v>
      </c>
      <c r="G124"/>
    </row>
    <row r="125" spans="1:7">
      <c r="A125" s="495" t="s">
        <v>343</v>
      </c>
      <c r="B125" s="94" t="s">
        <v>571</v>
      </c>
      <c r="C125" s="93">
        <v>2.4794104884701216E-2</v>
      </c>
      <c r="D125" s="93">
        <f t="shared" si="1"/>
        <v>7.6726231047082732E-2</v>
      </c>
      <c r="E125" s="93">
        <v>3.3426231047082741E-2</v>
      </c>
      <c r="F125" s="93">
        <v>0.32</v>
      </c>
      <c r="G125"/>
    </row>
    <row r="126" spans="1:7">
      <c r="A126" s="495" t="s">
        <v>285</v>
      </c>
      <c r="B126" s="94" t="s">
        <v>568</v>
      </c>
      <c r="C126" s="93">
        <v>8.9165654186296364E-2</v>
      </c>
      <c r="D126" s="93">
        <f t="shared" si="1"/>
        <v>0.16350888723974355</v>
      </c>
      <c r="E126" s="93">
        <v>0.12020888723974354</v>
      </c>
      <c r="F126" s="93">
        <v>0.32</v>
      </c>
      <c r="G126"/>
    </row>
    <row r="127" spans="1:7">
      <c r="A127" s="496" t="s">
        <v>583</v>
      </c>
      <c r="B127" s="94" t="s">
        <v>643</v>
      </c>
      <c r="C127" s="93">
        <v>9.9060015290519859E-2</v>
      </c>
      <c r="D127" s="93">
        <f t="shared" si="1"/>
        <v>0.17684799352613806</v>
      </c>
      <c r="E127" s="93">
        <v>0.13354799352613805</v>
      </c>
      <c r="F127" s="93">
        <v>0.32</v>
      </c>
      <c r="G127"/>
    </row>
    <row r="128" spans="1:7">
      <c r="A128" s="495" t="s">
        <v>286</v>
      </c>
      <c r="B128" s="94" t="s">
        <v>551</v>
      </c>
      <c r="C128" s="93">
        <v>4.4582827093148182E-2</v>
      </c>
      <c r="D128" s="93">
        <f t="shared" si="1"/>
        <v>0.10340444361987178</v>
      </c>
      <c r="E128" s="93">
        <v>6.0104443619871772E-2</v>
      </c>
      <c r="F128" s="93">
        <v>0.32</v>
      </c>
      <c r="G128"/>
    </row>
    <row r="129" spans="1:7">
      <c r="A129" s="495" t="s">
        <v>941</v>
      </c>
      <c r="B129" s="94" t="s">
        <v>560</v>
      </c>
      <c r="C129" s="93">
        <v>3.5619699975204554E-2</v>
      </c>
      <c r="D129" s="93">
        <f t="shared" si="1"/>
        <v>9.1320782631020253E-2</v>
      </c>
      <c r="E129" s="93">
        <v>4.8020782631020255E-2</v>
      </c>
      <c r="F129" s="93">
        <v>0.25</v>
      </c>
      <c r="G129"/>
    </row>
    <row r="130" spans="1:7">
      <c r="A130" s="495" t="s">
        <v>287</v>
      </c>
      <c r="B130" s="94" t="s">
        <v>556</v>
      </c>
      <c r="C130" s="93">
        <v>0</v>
      </c>
      <c r="D130" s="93">
        <f t="shared" si="1"/>
        <v>4.3299999999999998E-2</v>
      </c>
      <c r="E130" s="93">
        <v>0</v>
      </c>
      <c r="F130" s="93">
        <v>0.25800000000000001</v>
      </c>
      <c r="G130"/>
    </row>
    <row r="131" spans="1:7">
      <c r="A131" s="495" t="s">
        <v>922</v>
      </c>
      <c r="B131" s="94" t="s">
        <v>643</v>
      </c>
      <c r="C131" s="93">
        <v>6.0122636258365322E-2</v>
      </c>
      <c r="D131" s="93">
        <f t="shared" si="1"/>
        <v>0.12435447404039451</v>
      </c>
      <c r="E131" s="93">
        <v>8.1054474040394509E-2</v>
      </c>
      <c r="F131" s="93">
        <v>0.25228018689443577</v>
      </c>
      <c r="G131"/>
    </row>
    <row r="132" spans="1:7">
      <c r="A132" s="495" t="s">
        <v>288</v>
      </c>
      <c r="B132" s="94" t="s">
        <v>556</v>
      </c>
      <c r="C132" s="93">
        <v>0</v>
      </c>
      <c r="D132" s="93">
        <f t="shared" si="1"/>
        <v>4.3299999999999998E-2</v>
      </c>
      <c r="E132" s="93">
        <v>0</v>
      </c>
      <c r="F132" s="93">
        <v>0.28000000000000003</v>
      </c>
      <c r="G132"/>
    </row>
    <row r="133" spans="1:7">
      <c r="A133" s="495" t="s">
        <v>344</v>
      </c>
      <c r="B133" s="94" t="s">
        <v>554</v>
      </c>
      <c r="C133" s="93">
        <v>5.4477188197371677E-2</v>
      </c>
      <c r="D133" s="93">
        <f t="shared" si="1"/>
        <v>0.11674354990626629</v>
      </c>
      <c r="E133" s="93">
        <v>7.3443549906266281E-2</v>
      </c>
      <c r="F133" s="93">
        <v>0.3</v>
      </c>
      <c r="G133"/>
    </row>
    <row r="134" spans="1:7">
      <c r="A134" s="495" t="s">
        <v>584</v>
      </c>
      <c r="B134" s="94" t="s">
        <v>616</v>
      </c>
      <c r="C134" s="93">
        <v>9.9060015290519873E-2</v>
      </c>
      <c r="D134" s="93">
        <f t="shared" ref="D134:D196" si="2">$B$1+E134</f>
        <v>0.17684799352613806</v>
      </c>
      <c r="E134" s="93">
        <v>0.13354799352613805</v>
      </c>
      <c r="F134" s="93">
        <v>0.26860000000000001</v>
      </c>
      <c r="G134"/>
    </row>
    <row r="135" spans="1:7">
      <c r="A135" s="495" t="s">
        <v>289</v>
      </c>
      <c r="B135" s="94" t="s">
        <v>561</v>
      </c>
      <c r="C135" s="93">
        <v>7.4265910405818647E-2</v>
      </c>
      <c r="D135" s="93">
        <f t="shared" si="2"/>
        <v>0.1434217624790553</v>
      </c>
      <c r="E135" s="93">
        <v>0.10012176247905531</v>
      </c>
      <c r="F135" s="93">
        <v>0.3</v>
      </c>
      <c r="G135"/>
    </row>
    <row r="136" spans="1:7">
      <c r="A136" s="495" t="s">
        <v>290</v>
      </c>
      <c r="B136" s="94" t="s">
        <v>556</v>
      </c>
      <c r="C136" s="93">
        <v>0</v>
      </c>
      <c r="D136" s="93">
        <f t="shared" si="2"/>
        <v>4.3299999999999998E-2</v>
      </c>
      <c r="E136" s="93">
        <v>0</v>
      </c>
      <c r="F136" s="93">
        <v>0.22</v>
      </c>
      <c r="G136"/>
    </row>
    <row r="137" spans="1:7">
      <c r="A137" s="495" t="s">
        <v>291</v>
      </c>
      <c r="B137" s="94" t="s">
        <v>571</v>
      </c>
      <c r="C137" s="93">
        <v>2.4794104884701216E-2</v>
      </c>
      <c r="D137" s="93">
        <f t="shared" si="2"/>
        <v>7.6726231047082732E-2</v>
      </c>
      <c r="E137" s="93">
        <v>3.3426231047082741E-2</v>
      </c>
      <c r="F137" s="93">
        <v>0.15</v>
      </c>
      <c r="G137"/>
    </row>
    <row r="138" spans="1:7">
      <c r="A138" s="495" t="s">
        <v>292</v>
      </c>
      <c r="B138" s="94" t="s">
        <v>568</v>
      </c>
      <c r="C138" s="93">
        <v>8.9165654186296364E-2</v>
      </c>
      <c r="D138" s="93">
        <f t="shared" si="2"/>
        <v>0.16350888723974355</v>
      </c>
      <c r="E138" s="142">
        <v>0.12020888723974354</v>
      </c>
      <c r="F138" s="142">
        <v>0.28999999999999998</v>
      </c>
      <c r="G138"/>
    </row>
    <row r="139" spans="1:7">
      <c r="A139" s="495" t="s">
        <v>923</v>
      </c>
      <c r="B139" s="94" t="s">
        <v>643</v>
      </c>
      <c r="C139" s="93">
        <v>0.17499999999999999</v>
      </c>
      <c r="D139" s="93">
        <f t="shared" si="2"/>
        <v>0.27922666323069684</v>
      </c>
      <c r="E139" s="93">
        <v>0.23592666323069683</v>
      </c>
      <c r="F139" s="93">
        <v>0.17</v>
      </c>
      <c r="G139"/>
    </row>
    <row r="140" spans="1:7">
      <c r="A140" s="495" t="s">
        <v>293</v>
      </c>
      <c r="B140" s="94" t="s">
        <v>559</v>
      </c>
      <c r="C140" s="93">
        <v>2.1767594429291676E-2</v>
      </c>
      <c r="D140" s="93">
        <f t="shared" si="2"/>
        <v>7.2646033830067944E-2</v>
      </c>
      <c r="E140" s="93">
        <v>2.9346033830067942E-2</v>
      </c>
      <c r="F140" s="93">
        <v>0.25</v>
      </c>
      <c r="G140"/>
    </row>
    <row r="141" spans="1:7">
      <c r="A141" s="495" t="s">
        <v>294</v>
      </c>
      <c r="B141" s="94" t="s">
        <v>554</v>
      </c>
      <c r="C141" s="93">
        <v>5.4477188197371677E-2</v>
      </c>
      <c r="D141" s="93">
        <f t="shared" si="2"/>
        <v>0.11674354990626629</v>
      </c>
      <c r="E141" s="93">
        <v>7.3443549906266281E-2</v>
      </c>
      <c r="F141" s="93">
        <v>0.3</v>
      </c>
      <c r="G141"/>
    </row>
    <row r="142" spans="1:7">
      <c r="A142" s="495" t="s">
        <v>295</v>
      </c>
      <c r="B142" s="94" t="s">
        <v>559</v>
      </c>
      <c r="C142" s="93">
        <v>2.1767594429291676E-2</v>
      </c>
      <c r="D142" s="93">
        <f t="shared" si="2"/>
        <v>7.2646033830067944E-2</v>
      </c>
      <c r="E142" s="93">
        <v>2.9346033830067942E-2</v>
      </c>
      <c r="F142" s="93">
        <v>0.1</v>
      </c>
      <c r="G142"/>
    </row>
    <row r="143" spans="1:7">
      <c r="A143" s="495" t="s">
        <v>296</v>
      </c>
      <c r="B143" s="94" t="s">
        <v>555</v>
      </c>
      <c r="C143" s="93">
        <v>1.5830977766757577E-2</v>
      </c>
      <c r="D143" s="93">
        <f t="shared" si="2"/>
        <v>6.4642570058231222E-2</v>
      </c>
      <c r="E143" s="93">
        <v>2.134257005823122E-2</v>
      </c>
      <c r="F143" s="93">
        <v>0.29499999999999998</v>
      </c>
      <c r="G143"/>
    </row>
    <row r="144" spans="1:7">
      <c r="A144" s="495" t="s">
        <v>297</v>
      </c>
      <c r="B144" s="94" t="s">
        <v>553</v>
      </c>
      <c r="C144" s="93">
        <v>1.885748822216712E-2</v>
      </c>
      <c r="D144" s="93">
        <f t="shared" si="2"/>
        <v>6.8722767275246024E-2</v>
      </c>
      <c r="E144" s="93">
        <v>2.5422767275246023E-2</v>
      </c>
      <c r="F144" s="93">
        <v>0.25</v>
      </c>
      <c r="G144"/>
    </row>
    <row r="145" spans="1:7">
      <c r="A145" s="495" t="s">
        <v>298</v>
      </c>
      <c r="B145" s="94" t="s">
        <v>565</v>
      </c>
      <c r="C145" s="93">
        <v>8.3811058765187203E-3</v>
      </c>
      <c r="D145" s="93">
        <f t="shared" si="2"/>
        <v>5.4599007677887119E-2</v>
      </c>
      <c r="E145" s="93">
        <v>1.1299007677887121E-2</v>
      </c>
      <c r="F145" s="93">
        <v>0.19</v>
      </c>
      <c r="G145"/>
    </row>
    <row r="146" spans="1:7">
      <c r="A146" s="495" t="s">
        <v>299</v>
      </c>
      <c r="B146" s="94" t="s">
        <v>569</v>
      </c>
      <c r="C146" s="93">
        <v>1.1873233325068186E-2</v>
      </c>
      <c r="D146" s="93">
        <f t="shared" si="2"/>
        <v>5.9306927543673421E-2</v>
      </c>
      <c r="E146" s="93">
        <v>1.6006927543673423E-2</v>
      </c>
      <c r="F146" s="93">
        <v>0.21</v>
      </c>
      <c r="G146"/>
    </row>
    <row r="147" spans="1:7">
      <c r="A147" s="495" t="s">
        <v>300</v>
      </c>
      <c r="B147" s="94" t="s">
        <v>550</v>
      </c>
      <c r="C147" s="93">
        <v>4.8889784279692525E-3</v>
      </c>
      <c r="D147" s="93">
        <f t="shared" si="2"/>
        <v>4.9891087812100818E-2</v>
      </c>
      <c r="E147" s="93">
        <v>6.5910878121008187E-3</v>
      </c>
      <c r="F147" s="93">
        <v>0.1</v>
      </c>
      <c r="G147"/>
    </row>
    <row r="148" spans="1:7">
      <c r="A148" s="495" t="s">
        <v>473</v>
      </c>
      <c r="B148" s="94" t="s">
        <v>569</v>
      </c>
      <c r="C148" s="93">
        <v>1.1873233325068186E-2</v>
      </c>
      <c r="D148" s="93">
        <f t="shared" si="2"/>
        <v>5.9306927543673421E-2</v>
      </c>
      <c r="E148" s="142">
        <v>1.6006927543673423E-2</v>
      </c>
      <c r="F148" s="142">
        <v>0</v>
      </c>
      <c r="G148"/>
    </row>
    <row r="149" spans="1:7">
      <c r="A149" s="495" t="s">
        <v>924</v>
      </c>
      <c r="B149" s="94" t="s">
        <v>643</v>
      </c>
      <c r="C149" s="93">
        <v>1.0708616059682126E-2</v>
      </c>
      <c r="D149" s="93">
        <f t="shared" si="2"/>
        <v>5.7736846027311189E-2</v>
      </c>
      <c r="E149" s="93">
        <v>1.4436846027311188E-2</v>
      </c>
      <c r="F149" s="93">
        <v>0.2534417911673511</v>
      </c>
      <c r="G149"/>
    </row>
    <row r="150" spans="1:7">
      <c r="A150" s="495" t="s">
        <v>301</v>
      </c>
      <c r="B150" s="94" t="s">
        <v>559</v>
      </c>
      <c r="C150" s="93">
        <v>2.1767594429291676E-2</v>
      </c>
      <c r="D150" s="93">
        <f t="shared" si="2"/>
        <v>7.2646033830067944E-2</v>
      </c>
      <c r="E150" s="93">
        <v>2.9346033830067942E-2</v>
      </c>
      <c r="F150" s="93">
        <v>0.16</v>
      </c>
      <c r="G150"/>
    </row>
    <row r="151" spans="1:7">
      <c r="A151" s="495" t="s">
        <v>302</v>
      </c>
      <c r="B151" s="94" t="s">
        <v>643</v>
      </c>
      <c r="C151" s="93">
        <v>2.9799487560955448E-2</v>
      </c>
      <c r="D151" s="93">
        <f t="shared" si="2"/>
        <v>8.3474249521376429E-2</v>
      </c>
      <c r="E151" s="93">
        <v>4.017424952137643E-2</v>
      </c>
      <c r="F151" s="93">
        <v>0.2</v>
      </c>
      <c r="G151"/>
    </row>
    <row r="152" spans="1:7">
      <c r="A152" s="495" t="s">
        <v>460</v>
      </c>
      <c r="B152" s="94" t="s">
        <v>554</v>
      </c>
      <c r="C152" s="93">
        <v>5.4477188197371677E-2</v>
      </c>
      <c r="D152" s="93">
        <f t="shared" si="2"/>
        <v>0.11674354990626629</v>
      </c>
      <c r="E152" s="142">
        <v>7.3443549906266281E-2</v>
      </c>
      <c r="F152" s="142">
        <v>0.3</v>
      </c>
      <c r="G152"/>
    </row>
    <row r="153" spans="1:7">
      <c r="A153" s="495" t="s">
        <v>925</v>
      </c>
      <c r="B153" s="94" t="s">
        <v>643</v>
      </c>
      <c r="C153" s="93">
        <v>6.0122636258365322E-2</v>
      </c>
      <c r="D153" s="93">
        <f t="shared" si="2"/>
        <v>0.12435447404039451</v>
      </c>
      <c r="E153" s="93">
        <v>8.1054474040394509E-2</v>
      </c>
      <c r="F153" s="93">
        <v>0.25228018689443577</v>
      </c>
      <c r="G153"/>
    </row>
    <row r="154" spans="1:7">
      <c r="A154" s="495" t="s">
        <v>303</v>
      </c>
      <c r="B154" s="94" t="s">
        <v>562</v>
      </c>
      <c r="C154" s="93">
        <v>5.9366166625340932E-3</v>
      </c>
      <c r="D154" s="93">
        <f t="shared" si="2"/>
        <v>5.1303463771836713E-2</v>
      </c>
      <c r="E154" s="93">
        <v>8.0034637718367115E-3</v>
      </c>
      <c r="F154" s="93">
        <v>0.2</v>
      </c>
      <c r="G154"/>
    </row>
    <row r="155" spans="1:7">
      <c r="A155" s="495" t="s">
        <v>345</v>
      </c>
      <c r="B155" s="94" t="s">
        <v>551</v>
      </c>
      <c r="C155" s="93">
        <v>4.4582827093148182E-2</v>
      </c>
      <c r="D155" s="93">
        <f t="shared" si="2"/>
        <v>0.10340444361987178</v>
      </c>
      <c r="E155" s="93">
        <v>6.0104443619871772E-2</v>
      </c>
      <c r="F155" s="93">
        <v>0.3</v>
      </c>
      <c r="G155"/>
    </row>
    <row r="156" spans="1:7">
      <c r="A156" s="495" t="s">
        <v>304</v>
      </c>
      <c r="B156" s="94" t="s">
        <v>558</v>
      </c>
      <c r="C156" s="93">
        <v>2.9799487560955448E-2</v>
      </c>
      <c r="D156" s="93">
        <f t="shared" si="2"/>
        <v>8.3474249521376429E-2</v>
      </c>
      <c r="E156" s="93">
        <v>4.017424952137643E-2</v>
      </c>
      <c r="F156" s="93">
        <v>0.15</v>
      </c>
      <c r="G156"/>
    </row>
    <row r="157" spans="1:7">
      <c r="A157" s="496" t="s">
        <v>474</v>
      </c>
      <c r="B157" s="94" t="s">
        <v>571</v>
      </c>
      <c r="C157" s="93">
        <v>2.4794104884701216E-2</v>
      </c>
      <c r="D157" s="93">
        <f t="shared" si="2"/>
        <v>7.6726231047082732E-2</v>
      </c>
      <c r="E157" s="93">
        <v>3.3426231047082741E-2</v>
      </c>
      <c r="F157" s="93">
        <v>0</v>
      </c>
      <c r="G157"/>
    </row>
    <row r="158" spans="1:7">
      <c r="A158" s="495" t="s">
        <v>585</v>
      </c>
      <c r="B158" s="94" t="s">
        <v>643</v>
      </c>
      <c r="C158" s="93">
        <v>8.916565418629635E-2</v>
      </c>
      <c r="D158" s="93">
        <f t="shared" si="2"/>
        <v>0.16350888723974349</v>
      </c>
      <c r="E158" s="93">
        <v>0.1202088872397435</v>
      </c>
      <c r="F158" s="93">
        <v>0</v>
      </c>
      <c r="G158"/>
    </row>
    <row r="159" spans="1:7">
      <c r="A159" s="495" t="s">
        <v>305</v>
      </c>
      <c r="B159" s="94" t="s">
        <v>556</v>
      </c>
      <c r="C159" s="93">
        <v>0</v>
      </c>
      <c r="D159" s="93">
        <f t="shared" si="2"/>
        <v>4.3299999999999998E-2</v>
      </c>
      <c r="E159" s="93">
        <v>0</v>
      </c>
      <c r="F159" s="93">
        <v>0.17</v>
      </c>
      <c r="G159"/>
    </row>
    <row r="160" spans="1:7">
      <c r="A160" s="495" t="s">
        <v>346</v>
      </c>
      <c r="B160" s="94" t="s">
        <v>569</v>
      </c>
      <c r="C160" s="93">
        <v>1.1873233325068186E-2</v>
      </c>
      <c r="D160" s="93">
        <f t="shared" si="2"/>
        <v>5.9306927543673421E-2</v>
      </c>
      <c r="E160" s="93">
        <v>1.6006927543673423E-2</v>
      </c>
      <c r="F160" s="93">
        <v>0.21</v>
      </c>
      <c r="G160"/>
    </row>
    <row r="161" spans="1:7">
      <c r="A161" s="495" t="s">
        <v>306</v>
      </c>
      <c r="B161" s="94" t="s">
        <v>569</v>
      </c>
      <c r="C161" s="93">
        <v>1.1873233325068186E-2</v>
      </c>
      <c r="D161" s="93">
        <f t="shared" si="2"/>
        <v>5.9306927543673421E-2</v>
      </c>
      <c r="E161" s="93">
        <v>1.6006927543673423E-2</v>
      </c>
      <c r="F161" s="93">
        <v>0.19</v>
      </c>
      <c r="G161"/>
    </row>
    <row r="162" spans="1:7">
      <c r="A162" s="496" t="s">
        <v>586</v>
      </c>
      <c r="B162" s="94" t="s">
        <v>561</v>
      </c>
      <c r="C162" s="93">
        <v>7.4265910405818647E-2</v>
      </c>
      <c r="D162" s="93">
        <f t="shared" si="2"/>
        <v>0.1434217624790553</v>
      </c>
      <c r="E162" s="93">
        <v>0.10012176247905531</v>
      </c>
      <c r="F162" s="93">
        <v>0.3</v>
      </c>
      <c r="G162"/>
    </row>
    <row r="163" spans="1:7">
      <c r="A163" s="495" t="s">
        <v>587</v>
      </c>
      <c r="B163" s="94" t="s">
        <v>643</v>
      </c>
      <c r="C163" s="93">
        <v>9.9060015290519859E-2</v>
      </c>
      <c r="D163" s="93">
        <f t="shared" si="2"/>
        <v>0.17684799352613806</v>
      </c>
      <c r="E163" s="93">
        <v>0.13354799352613805</v>
      </c>
      <c r="F163" s="93">
        <v>0.3</v>
      </c>
      <c r="G163"/>
    </row>
    <row r="164" spans="1:7">
      <c r="A164" s="495" t="s">
        <v>307</v>
      </c>
      <c r="B164" s="94" t="s">
        <v>558</v>
      </c>
      <c r="C164" s="99">
        <v>2.9799487560955448E-2</v>
      </c>
      <c r="D164" s="93">
        <f t="shared" si="2"/>
        <v>8.3474249521376429E-2</v>
      </c>
      <c r="E164" s="128">
        <v>4.017424952137643E-2</v>
      </c>
      <c r="F164" s="128">
        <v>0.27</v>
      </c>
      <c r="G164"/>
    </row>
    <row r="165" spans="1:7">
      <c r="A165" s="495" t="s">
        <v>618</v>
      </c>
      <c r="B165" s="94" t="s">
        <v>550</v>
      </c>
      <c r="C165" s="93">
        <v>4.8889784279692525E-3</v>
      </c>
      <c r="D165" s="93">
        <f t="shared" si="2"/>
        <v>4.9891087812100818E-2</v>
      </c>
      <c r="E165" s="93">
        <v>6.5910878121008187E-3</v>
      </c>
      <c r="F165" s="93">
        <v>0.25</v>
      </c>
      <c r="G165"/>
    </row>
    <row r="166" spans="1:7">
      <c r="A166" s="495" t="s">
        <v>308</v>
      </c>
      <c r="B166" s="94" t="s">
        <v>555</v>
      </c>
      <c r="C166" s="93">
        <v>1.5830977766757577E-2</v>
      </c>
      <c r="D166" s="93">
        <f t="shared" si="2"/>
        <v>6.4642570058231222E-2</v>
      </c>
      <c r="E166" s="93">
        <v>2.134257005823122E-2</v>
      </c>
      <c r="F166" s="93">
        <v>0.25</v>
      </c>
      <c r="G166"/>
    </row>
    <row r="167" spans="1:7">
      <c r="A167" s="495" t="s">
        <v>309</v>
      </c>
      <c r="B167" s="94" t="s">
        <v>615</v>
      </c>
      <c r="C167" s="93">
        <v>0.11884873749896685</v>
      </c>
      <c r="D167" s="93">
        <f t="shared" si="2"/>
        <v>0.2035262060989271</v>
      </c>
      <c r="E167" s="93">
        <v>0.1602262060989271</v>
      </c>
      <c r="F167" s="93">
        <v>0.24</v>
      </c>
      <c r="G167"/>
    </row>
    <row r="168" spans="1:7">
      <c r="A168" s="495" t="s">
        <v>401</v>
      </c>
      <c r="B168" s="94" t="s">
        <v>558</v>
      </c>
      <c r="C168" s="93">
        <v>2.9799487560955448E-2</v>
      </c>
      <c r="D168" s="93">
        <f t="shared" si="2"/>
        <v>8.3474249521376429E-2</v>
      </c>
      <c r="E168" s="93">
        <v>4.017424952137643E-2</v>
      </c>
      <c r="F168" s="93">
        <v>0.2853</v>
      </c>
      <c r="G168"/>
    </row>
    <row r="169" spans="1:7">
      <c r="A169" s="496" t="s">
        <v>347</v>
      </c>
      <c r="B169" s="94" t="s">
        <v>563</v>
      </c>
      <c r="C169" s="93">
        <v>6.4371549301595152E-2</v>
      </c>
      <c r="D169" s="93">
        <f t="shared" si="2"/>
        <v>0.13008265619266079</v>
      </c>
      <c r="E169" s="93">
        <v>8.6782656192660804E-2</v>
      </c>
      <c r="F169" s="93">
        <v>0.2853</v>
      </c>
      <c r="G169"/>
    </row>
    <row r="170" spans="1:7">
      <c r="A170" s="495" t="s">
        <v>588</v>
      </c>
      <c r="B170" s="94" t="s">
        <v>643</v>
      </c>
      <c r="C170" s="93">
        <v>0.17499999999999999</v>
      </c>
      <c r="D170" s="93">
        <f t="shared" si="2"/>
        <v>0.27922666323069684</v>
      </c>
      <c r="E170" s="93">
        <v>0.23592666323069683</v>
      </c>
      <c r="F170" s="93">
        <v>0.2853</v>
      </c>
      <c r="G170"/>
    </row>
    <row r="171" spans="1:7">
      <c r="A171" s="495" t="s">
        <v>348</v>
      </c>
      <c r="B171" s="94" t="s">
        <v>561</v>
      </c>
      <c r="C171" s="93">
        <v>7.4265910405818647E-2</v>
      </c>
      <c r="D171" s="93">
        <f t="shared" si="2"/>
        <v>0.1434217624790553</v>
      </c>
      <c r="E171" s="93">
        <v>0.10012176247905531</v>
      </c>
      <c r="F171" s="93">
        <v>0.36</v>
      </c>
      <c r="G171"/>
    </row>
    <row r="172" spans="1:7">
      <c r="A172" s="495" t="s">
        <v>589</v>
      </c>
      <c r="B172" s="94" t="s">
        <v>554</v>
      </c>
      <c r="C172" s="93">
        <v>5.4477188197371677E-2</v>
      </c>
      <c r="D172" s="93">
        <f t="shared" si="2"/>
        <v>0.11674354990626629</v>
      </c>
      <c r="E172" s="93">
        <v>7.3443549906266281E-2</v>
      </c>
      <c r="F172" s="93">
        <v>0.27500000000000002</v>
      </c>
      <c r="G172"/>
    </row>
    <row r="173" spans="1:7">
      <c r="A173" s="495" t="s">
        <v>310</v>
      </c>
      <c r="B173" s="94" t="s">
        <v>556</v>
      </c>
      <c r="C173" s="93">
        <v>0</v>
      </c>
      <c r="D173" s="93">
        <f t="shared" si="2"/>
        <v>4.3299999999999998E-2</v>
      </c>
      <c r="E173" s="93">
        <v>0</v>
      </c>
      <c r="F173" s="93">
        <v>0.20600000000000002</v>
      </c>
      <c r="G173"/>
    </row>
    <row r="174" spans="1:7">
      <c r="A174" s="496" t="s">
        <v>311</v>
      </c>
      <c r="B174" s="94" t="s">
        <v>556</v>
      </c>
      <c r="C174" s="93">
        <v>0</v>
      </c>
      <c r="D174" s="93">
        <f t="shared" si="2"/>
        <v>4.3299999999999998E-2</v>
      </c>
      <c r="E174" s="93">
        <v>0</v>
      </c>
      <c r="F174" s="93">
        <v>0.14599999999999999</v>
      </c>
      <c r="G174"/>
    </row>
    <row r="175" spans="1:7">
      <c r="A175" s="495" t="s">
        <v>590</v>
      </c>
      <c r="B175" s="94" t="s">
        <v>643</v>
      </c>
      <c r="C175" s="93">
        <v>0.17499999999999999</v>
      </c>
      <c r="D175" s="93">
        <f t="shared" si="2"/>
        <v>0.27922666323069684</v>
      </c>
      <c r="E175" s="93">
        <v>0.23592666323069683</v>
      </c>
      <c r="F175" s="93">
        <v>0.14599999999999999</v>
      </c>
      <c r="G175"/>
    </row>
    <row r="176" spans="1:7">
      <c r="A176" s="495" t="s">
        <v>312</v>
      </c>
      <c r="B176" s="94" t="s">
        <v>562</v>
      </c>
      <c r="C176" s="93">
        <v>5.9366166625340932E-3</v>
      </c>
      <c r="D176" s="93">
        <f t="shared" si="2"/>
        <v>5.1303463771836713E-2</v>
      </c>
      <c r="E176" s="93">
        <v>8.0034637718367115E-3</v>
      </c>
      <c r="F176" s="93">
        <v>0.2</v>
      </c>
      <c r="G176"/>
    </row>
    <row r="177" spans="1:7">
      <c r="A177" s="495" t="s">
        <v>591</v>
      </c>
      <c r="B177" s="94" t="s">
        <v>563</v>
      </c>
      <c r="C177" s="93">
        <v>6.4371549301595152E-2</v>
      </c>
      <c r="D177" s="93">
        <f t="shared" si="2"/>
        <v>0.13008265619266079</v>
      </c>
      <c r="E177" s="93">
        <v>8.6782656192660804E-2</v>
      </c>
      <c r="F177" s="93">
        <v>0.18</v>
      </c>
      <c r="G177"/>
    </row>
    <row r="178" spans="1:7">
      <c r="A178" s="495" t="s">
        <v>592</v>
      </c>
      <c r="B178" s="94" t="s">
        <v>551</v>
      </c>
      <c r="C178" s="93">
        <v>4.4582827093148182E-2</v>
      </c>
      <c r="D178" s="93">
        <f t="shared" si="2"/>
        <v>0.10340444361987178</v>
      </c>
      <c r="E178" s="93">
        <v>6.0104443619871772E-2</v>
      </c>
      <c r="F178" s="93">
        <v>0.3</v>
      </c>
      <c r="G178"/>
    </row>
    <row r="179" spans="1:7">
      <c r="A179" s="495" t="s">
        <v>313</v>
      </c>
      <c r="B179" s="94" t="s">
        <v>555</v>
      </c>
      <c r="C179" s="93">
        <v>1.5830977766757577E-2</v>
      </c>
      <c r="D179" s="93">
        <f t="shared" si="2"/>
        <v>6.4642570058231222E-2</v>
      </c>
      <c r="E179" s="93">
        <v>2.134257005823122E-2</v>
      </c>
      <c r="F179" s="93">
        <v>0.2</v>
      </c>
      <c r="G179"/>
    </row>
    <row r="180" spans="1:7">
      <c r="A180" s="495" t="s">
        <v>593</v>
      </c>
      <c r="B180" s="94" t="s">
        <v>563</v>
      </c>
      <c r="C180" s="93">
        <v>6.4371549301595152E-2</v>
      </c>
      <c r="D180" s="93">
        <f t="shared" si="2"/>
        <v>0.13008265619266079</v>
      </c>
      <c r="E180" s="142">
        <v>8.6782656192660804E-2</v>
      </c>
      <c r="F180" s="142">
        <v>0.26860000000000001</v>
      </c>
      <c r="G180"/>
    </row>
    <row r="181" spans="1:7">
      <c r="A181" s="495" t="s">
        <v>942</v>
      </c>
      <c r="B181" s="94" t="s">
        <v>558</v>
      </c>
      <c r="C181" s="93">
        <v>2.9799487560955448E-2</v>
      </c>
      <c r="D181" s="93">
        <f t="shared" si="2"/>
        <v>8.3474249521376429E-2</v>
      </c>
      <c r="E181" s="93">
        <v>4.017424952137643E-2</v>
      </c>
      <c r="F181" s="93">
        <v>0.3</v>
      </c>
      <c r="G181"/>
    </row>
    <row r="182" spans="1:7">
      <c r="A182" s="495" t="s">
        <v>314</v>
      </c>
      <c r="B182" s="94" t="s">
        <v>568</v>
      </c>
      <c r="C182" s="93">
        <v>8.9165654186296364E-2</v>
      </c>
      <c r="D182" s="93">
        <f t="shared" si="2"/>
        <v>0.16350888723974355</v>
      </c>
      <c r="E182" s="93">
        <v>0.12020888723974354</v>
      </c>
      <c r="F182" s="93">
        <v>0.15</v>
      </c>
      <c r="G182"/>
    </row>
    <row r="183" spans="1:7">
      <c r="A183" s="497" t="s">
        <v>315</v>
      </c>
      <c r="B183" s="94" t="s">
        <v>551</v>
      </c>
      <c r="C183" s="93">
        <v>4.4582827093148182E-2</v>
      </c>
      <c r="D183" s="93">
        <f t="shared" si="2"/>
        <v>0.10340444361987178</v>
      </c>
      <c r="E183" s="142">
        <v>6.0104443619871772E-2</v>
      </c>
      <c r="F183" s="142">
        <v>0.25</v>
      </c>
      <c r="G183"/>
    </row>
    <row r="184" spans="1:7">
      <c r="A184" s="495" t="s">
        <v>926</v>
      </c>
      <c r="B184" s="94" t="s">
        <v>555</v>
      </c>
      <c r="C184" s="93">
        <v>1.5830977766757577E-2</v>
      </c>
      <c r="D184" s="93">
        <f t="shared" si="2"/>
        <v>6.4642570058231222E-2</v>
      </c>
      <c r="E184" s="93">
        <v>2.134257005823122E-2</v>
      </c>
      <c r="F184" s="93">
        <v>0</v>
      </c>
      <c r="G184"/>
    </row>
    <row r="185" spans="1:7">
      <c r="A185" s="495" t="s">
        <v>402</v>
      </c>
      <c r="B185" s="94" t="s">
        <v>563</v>
      </c>
      <c r="C185" s="93">
        <v>6.4371549301595152E-2</v>
      </c>
      <c r="D185" s="93">
        <f t="shared" si="2"/>
        <v>0.13008265619266079</v>
      </c>
      <c r="E185" s="93">
        <v>8.6782656192660804E-2</v>
      </c>
      <c r="F185" s="93">
        <v>0.3</v>
      </c>
      <c r="G185"/>
    </row>
    <row r="186" spans="1:7">
      <c r="A186" s="495" t="s">
        <v>316</v>
      </c>
      <c r="B186" s="94" t="s">
        <v>615</v>
      </c>
      <c r="C186" s="93">
        <v>0.11884873749896685</v>
      </c>
      <c r="D186" s="93">
        <f t="shared" si="2"/>
        <v>0.2035262060989271</v>
      </c>
      <c r="E186" s="93">
        <v>0.1602262060989271</v>
      </c>
      <c r="F186" s="93">
        <v>0.18</v>
      </c>
      <c r="G186"/>
    </row>
    <row r="187" spans="1:7">
      <c r="A187" s="495" t="s">
        <v>317</v>
      </c>
      <c r="B187" s="94" t="s">
        <v>550</v>
      </c>
      <c r="C187" s="93">
        <v>4.8889784279692525E-3</v>
      </c>
      <c r="D187" s="93">
        <f t="shared" si="2"/>
        <v>4.9891087812100818E-2</v>
      </c>
      <c r="E187" s="93">
        <v>6.5910878121008187E-3</v>
      </c>
      <c r="F187" s="93">
        <v>0.25</v>
      </c>
      <c r="G187"/>
    </row>
    <row r="188" spans="1:7">
      <c r="A188" s="495" t="s">
        <v>318</v>
      </c>
      <c r="B188" s="94" t="s">
        <v>562</v>
      </c>
      <c r="C188" s="93">
        <v>5.9366166625340932E-3</v>
      </c>
      <c r="D188" s="93">
        <f t="shared" si="2"/>
        <v>5.1303463771836713E-2</v>
      </c>
      <c r="E188" s="93">
        <v>8.0034637718367115E-3</v>
      </c>
      <c r="F188" s="93">
        <v>0.25</v>
      </c>
      <c r="G188"/>
    </row>
    <row r="189" spans="1:7">
      <c r="A189" s="495" t="s">
        <v>319</v>
      </c>
      <c r="B189" s="94" t="s">
        <v>556</v>
      </c>
      <c r="C189" s="93">
        <v>0</v>
      </c>
      <c r="D189" s="93">
        <f t="shared" si="2"/>
        <v>4.3299999999999998E-2</v>
      </c>
      <c r="E189" s="93">
        <v>0</v>
      </c>
      <c r="F189" s="93">
        <v>0.25</v>
      </c>
      <c r="G189"/>
    </row>
    <row r="190" spans="1:7">
      <c r="A190" s="495" t="s">
        <v>320</v>
      </c>
      <c r="B190" s="94" t="s">
        <v>555</v>
      </c>
      <c r="C190" s="93">
        <v>1.5830977766757577E-2</v>
      </c>
      <c r="D190" s="93">
        <f t="shared" si="2"/>
        <v>6.4642570058231222E-2</v>
      </c>
      <c r="E190" s="93">
        <v>2.134257005823122E-2</v>
      </c>
      <c r="F190" s="93">
        <v>0.25</v>
      </c>
      <c r="G190"/>
    </row>
    <row r="191" spans="1:7">
      <c r="A191" s="495" t="s">
        <v>639</v>
      </c>
      <c r="B191" s="94" t="s">
        <v>560</v>
      </c>
      <c r="C191" s="93">
        <v>3.5619699975204554E-2</v>
      </c>
      <c r="D191" s="93">
        <f t="shared" si="2"/>
        <v>9.1320782631020253E-2</v>
      </c>
      <c r="E191" s="93">
        <v>4.8020782631020255E-2</v>
      </c>
      <c r="F191" s="93">
        <v>0.15</v>
      </c>
      <c r="G191"/>
    </row>
    <row r="192" spans="1:7">
      <c r="A192" s="495" t="s">
        <v>321</v>
      </c>
      <c r="B192" s="94" t="s">
        <v>597</v>
      </c>
      <c r="C192" s="93">
        <v>0.17499999999999999</v>
      </c>
      <c r="D192" s="93">
        <f t="shared" si="2"/>
        <v>0.27922666323069684</v>
      </c>
      <c r="E192" s="93">
        <v>0.23592666323069683</v>
      </c>
      <c r="F192" s="108">
        <v>0.34</v>
      </c>
      <c r="G192"/>
    </row>
    <row r="193" spans="1:7">
      <c r="A193" s="496" t="s">
        <v>322</v>
      </c>
      <c r="B193" s="94" t="s">
        <v>558</v>
      </c>
      <c r="C193" s="93">
        <v>2.9799487560955448E-2</v>
      </c>
      <c r="D193" s="93">
        <f t="shared" si="2"/>
        <v>8.3474249521376429E-2</v>
      </c>
      <c r="E193" s="529">
        <v>4.017424952137643E-2</v>
      </c>
      <c r="F193" s="531">
        <v>0.2</v>
      </c>
      <c r="G193"/>
    </row>
    <row r="194" spans="1:7">
      <c r="A194" s="522" t="s">
        <v>927</v>
      </c>
      <c r="B194" s="521" t="s">
        <v>643</v>
      </c>
      <c r="C194" s="108">
        <v>0.11884873749896685</v>
      </c>
      <c r="D194" s="108">
        <f t="shared" si="2"/>
        <v>0.2035262060989271</v>
      </c>
      <c r="E194" s="108">
        <v>0.1602262060989271</v>
      </c>
      <c r="F194" s="530">
        <v>0.2</v>
      </c>
      <c r="G194"/>
    </row>
    <row r="195" spans="1:7">
      <c r="A195" s="523" t="s">
        <v>323</v>
      </c>
      <c r="B195" s="524" t="s">
        <v>568</v>
      </c>
      <c r="C195" s="525">
        <v>8.9165654186296364E-2</v>
      </c>
      <c r="D195" s="525">
        <f t="shared" si="2"/>
        <v>0.16350888723974355</v>
      </c>
      <c r="E195" s="525">
        <v>0.12020888723974354</v>
      </c>
      <c r="F195" s="525">
        <v>0.35</v>
      </c>
      <c r="G195"/>
    </row>
    <row r="196" spans="1:7">
      <c r="A196" s="526" t="s">
        <v>594</v>
      </c>
      <c r="B196" s="527" t="s">
        <v>643</v>
      </c>
      <c r="C196" s="528">
        <v>8.916565418629635E-2</v>
      </c>
      <c r="D196" s="525">
        <f t="shared" si="2"/>
        <v>0.16350888723974349</v>
      </c>
      <c r="E196" s="528">
        <v>0.1202088872397435</v>
      </c>
      <c r="F196" s="528">
        <v>0.35</v>
      </c>
    </row>
    <row r="200" spans="1:7" ht="13">
      <c r="A200" s="146" t="s">
        <v>327</v>
      </c>
      <c r="B200" s="147" t="s">
        <v>349</v>
      </c>
      <c r="C200" s="147" t="s">
        <v>928</v>
      </c>
      <c r="D200" s="147" t="s">
        <v>944</v>
      </c>
      <c r="E200" s="147" t="s">
        <v>644</v>
      </c>
      <c r="F200" s="147" t="s">
        <v>945</v>
      </c>
      <c r="G200" s="54" t="s">
        <v>929</v>
      </c>
    </row>
    <row r="201" spans="1:7" ht="13">
      <c r="A201" s="1" t="s">
        <v>329</v>
      </c>
      <c r="B201" s="3">
        <f>$B$1+D201</f>
        <v>0.10493973704915902</v>
      </c>
      <c r="C201" s="3">
        <v>5.834716553752646E-2</v>
      </c>
      <c r="D201" s="3">
        <v>6.163973704915901E-2</v>
      </c>
      <c r="E201" s="3">
        <v>0.27421914500863898</v>
      </c>
      <c r="F201" s="3">
        <v>8.3065162885116936E-2</v>
      </c>
      <c r="G201" s="501">
        <v>2508220.6789325164</v>
      </c>
    </row>
    <row r="202" spans="1:7" ht="13">
      <c r="A202" s="1" t="s">
        <v>399</v>
      </c>
      <c r="B202" s="3">
        <f t="shared" ref="B202:B210" si="3">$B$1+D202</f>
        <v>5.4008616059682123E-2</v>
      </c>
      <c r="C202" s="3">
        <v>1.0802216663582305E-2</v>
      </c>
      <c r="D202" s="3">
        <v>1.0708616059682126E-2</v>
      </c>
      <c r="E202" s="3">
        <v>0.2534417911673511</v>
      </c>
      <c r="F202" s="3">
        <v>1.54E-2</v>
      </c>
      <c r="G202" s="501">
        <v>32948678.067337982</v>
      </c>
    </row>
    <row r="203" spans="1:7" ht="13">
      <c r="A203" s="1" t="s">
        <v>331</v>
      </c>
      <c r="B203" s="3">
        <f t="shared" si="3"/>
        <v>4.3331859249552414E-2</v>
      </c>
      <c r="C203" s="3">
        <v>3.0266287074794293E-5</v>
      </c>
      <c r="D203" s="3">
        <v>3.1859249552415043E-5</v>
      </c>
      <c r="E203" s="3">
        <v>0.29743620926523207</v>
      </c>
      <c r="F203" s="3">
        <v>4.2933242096058726E-5</v>
      </c>
      <c r="G203" s="501">
        <v>1942472.3523971008</v>
      </c>
    </row>
    <row r="204" spans="1:7" ht="13">
      <c r="A204" s="1" t="s">
        <v>333</v>
      </c>
      <c r="B204" s="3">
        <f t="shared" si="3"/>
        <v>0.10342263625836531</v>
      </c>
      <c r="C204" s="3">
        <v>5.711650444544706E-2</v>
      </c>
      <c r="D204" s="3">
        <v>6.0122636258365322E-2</v>
      </c>
      <c r="E204" s="3">
        <v>0.25228018689443577</v>
      </c>
      <c r="F204" s="3">
        <v>8.1020731316567021E-2</v>
      </c>
      <c r="G204" s="501">
        <v>869389.47891538299</v>
      </c>
    </row>
    <row r="205" spans="1:7" ht="13">
      <c r="A205" s="1" t="s">
        <v>330</v>
      </c>
      <c r="B205" s="3">
        <f t="shared" si="3"/>
        <v>7.9069376863949853E-2</v>
      </c>
      <c r="C205" s="3">
        <v>3.5961224606194851E-2</v>
      </c>
      <c r="D205" s="3">
        <v>3.5769376863949848E-2</v>
      </c>
      <c r="E205" s="3">
        <v>0.31553952561697912</v>
      </c>
      <c r="F205" s="3">
        <v>4.8202494977120702E-2</v>
      </c>
      <c r="G205" s="501">
        <v>5601817.8332648547</v>
      </c>
    </row>
    <row r="206" spans="1:7" ht="13">
      <c r="A206" s="1" t="s">
        <v>943</v>
      </c>
      <c r="B206" s="3">
        <f t="shared" si="3"/>
        <v>6.8513162818787027E-2</v>
      </c>
      <c r="C206" s="3">
        <v>2.5972276238780637E-2</v>
      </c>
      <c r="D206" s="3">
        <v>2.5213162818787022E-2</v>
      </c>
      <c r="E206" s="3">
        <v>0.17230578031123689</v>
      </c>
      <c r="F206" s="3">
        <v>3.3977034566536855E-2</v>
      </c>
      <c r="G206" s="501">
        <v>5010073.2660032045</v>
      </c>
    </row>
    <row r="207" spans="1:7" ht="13">
      <c r="A207" s="1" t="s">
        <v>334</v>
      </c>
      <c r="B207" s="3">
        <f t="shared" si="3"/>
        <v>5.8872784754721283E-2</v>
      </c>
      <c r="C207" s="3">
        <v>1.4034485918845662E-2</v>
      </c>
      <c r="D207" s="3">
        <v>1.5572784754721281E-2</v>
      </c>
      <c r="E207" s="3">
        <v>0.18937682936327277</v>
      </c>
      <c r="F207" s="3">
        <v>2.0985746600348899E-2</v>
      </c>
      <c r="G207" s="501">
        <v>3382577.6565681733</v>
      </c>
    </row>
    <row r="208" spans="1:7" ht="13">
      <c r="A208" s="1" t="s">
        <v>336</v>
      </c>
      <c r="B208" s="3">
        <f t="shared" si="3"/>
        <v>4.3299999999999998E-2</v>
      </c>
      <c r="C208" s="3">
        <v>0</v>
      </c>
      <c r="D208" s="3">
        <v>0</v>
      </c>
      <c r="E208" s="3">
        <v>0.25108814145744907</v>
      </c>
      <c r="F208" s="3">
        <v>0</v>
      </c>
      <c r="G208" s="501">
        <v>27577639.220074911</v>
      </c>
    </row>
    <row r="209" spans="1:7" ht="13">
      <c r="A209" s="1" t="s">
        <v>328</v>
      </c>
      <c r="B209" s="3">
        <f t="shared" si="3"/>
        <v>5.1574105096747001E-2</v>
      </c>
      <c r="C209" s="3">
        <v>8.6832261445802719E-3</v>
      </c>
      <c r="D209" s="3">
        <v>8.2741050967470049E-3</v>
      </c>
      <c r="E209" s="3">
        <v>0.24775219614916172</v>
      </c>
      <c r="F209" s="3">
        <v>1.1150110634666366E-2</v>
      </c>
      <c r="G209" s="501">
        <v>20250228.834865417</v>
      </c>
    </row>
    <row r="210" spans="1:7" ht="13">
      <c r="A210" s="1" t="s">
        <v>461</v>
      </c>
      <c r="B210" s="3">
        <f t="shared" si="3"/>
        <v>5.3677275529176463E-2</v>
      </c>
      <c r="C210" s="3">
        <v>1.0700411728220074E-2</v>
      </c>
      <c r="D210" s="3">
        <v>1.0377275529176463E-2</v>
      </c>
      <c r="E210" s="3">
        <v>0.25221031401922173</v>
      </c>
      <c r="F210" s="3">
        <v>1.43E-2</v>
      </c>
      <c r="G210" s="501">
        <v>100091097.38835955</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H43" sqref="H43"/>
    </sheetView>
  </sheetViews>
  <sheetFormatPr baseColWidth="10" defaultColWidth="11.5" defaultRowHeight="13"/>
  <cols>
    <col min="1" max="1" width="23.1640625" customWidth="1"/>
    <col min="2" max="23" width="10.6640625" style="67" customWidth="1"/>
    <col min="24" max="27" width="11.5" style="67"/>
  </cols>
  <sheetData>
    <row r="1" spans="1:27" s="148" customFormat="1" ht="70">
      <c r="A1" s="122" t="s">
        <v>78</v>
      </c>
      <c r="B1" s="86" t="s">
        <v>148</v>
      </c>
      <c r="C1" s="123" t="s">
        <v>136</v>
      </c>
      <c r="D1" s="123" t="s">
        <v>598</v>
      </c>
      <c r="E1" s="123" t="s">
        <v>155</v>
      </c>
      <c r="F1" s="86" t="s">
        <v>137</v>
      </c>
      <c r="G1" s="86" t="s">
        <v>185</v>
      </c>
      <c r="H1" s="86" t="s">
        <v>138</v>
      </c>
      <c r="I1" s="86" t="s">
        <v>139</v>
      </c>
      <c r="J1" s="86" t="s">
        <v>140</v>
      </c>
      <c r="K1" s="86" t="s">
        <v>141</v>
      </c>
      <c r="L1" s="86" t="s">
        <v>142</v>
      </c>
      <c r="M1" s="86" t="s">
        <v>126</v>
      </c>
      <c r="N1" s="124" t="s">
        <v>81</v>
      </c>
      <c r="O1" s="86" t="s">
        <v>143</v>
      </c>
      <c r="P1" s="86" t="s">
        <v>144</v>
      </c>
      <c r="Q1" s="86" t="s">
        <v>145</v>
      </c>
      <c r="R1" s="86" t="s">
        <v>146</v>
      </c>
      <c r="S1" s="86" t="s">
        <v>147</v>
      </c>
      <c r="T1" s="86" t="s">
        <v>463</v>
      </c>
      <c r="U1" s="86" t="s">
        <v>464</v>
      </c>
      <c r="V1" s="86" t="s">
        <v>465</v>
      </c>
      <c r="W1" s="86" t="s">
        <v>466</v>
      </c>
      <c r="X1" s="86" t="s">
        <v>450</v>
      </c>
      <c r="Y1" s="86" t="s">
        <v>467</v>
      </c>
      <c r="Z1" s="86" t="s">
        <v>468</v>
      </c>
      <c r="AA1" s="86" t="s">
        <v>606</v>
      </c>
    </row>
    <row r="2" spans="1:27" ht="14">
      <c r="A2" s="125" t="s">
        <v>79</v>
      </c>
      <c r="B2" s="296">
        <v>54</v>
      </c>
      <c r="C2" s="512">
        <v>-1.6176666669999999E-2</v>
      </c>
      <c r="D2" s="512">
        <v>0.10900602210262404</v>
      </c>
      <c r="E2" s="512">
        <v>0.34913076808783805</v>
      </c>
      <c r="F2" s="512">
        <v>0.29273674538791877</v>
      </c>
      <c r="G2" s="513">
        <v>1.1961570326525681</v>
      </c>
      <c r="H2" s="513">
        <v>1.3372940529999999</v>
      </c>
      <c r="I2" s="512">
        <v>0.10370483249489999</v>
      </c>
      <c r="J2" s="512">
        <v>0.67185666700000002</v>
      </c>
      <c r="K2" s="512">
        <v>6.4100000000000004E-2</v>
      </c>
      <c r="L2" s="512">
        <v>0.20758669213753542</v>
      </c>
      <c r="M2" s="512">
        <v>9.2156819583118513E-2</v>
      </c>
      <c r="N2" s="513">
        <v>4.1947708837323034</v>
      </c>
      <c r="O2" s="513">
        <v>2.7530320630511635</v>
      </c>
      <c r="P2" s="513">
        <v>15.557572543531982</v>
      </c>
      <c r="Q2" s="513">
        <v>24.270404651523627</v>
      </c>
      <c r="R2" s="513">
        <v>6.9766570013205431</v>
      </c>
      <c r="S2" s="513">
        <v>291.27017899999998</v>
      </c>
      <c r="T2" s="512">
        <v>3.2307738027417987E-2</v>
      </c>
      <c r="U2" s="512">
        <v>1.8063081232134088E-2</v>
      </c>
      <c r="V2" s="512">
        <v>7.0344211638214407E-3</v>
      </c>
      <c r="W2" s="512">
        <v>0.16148108503414008</v>
      </c>
      <c r="X2" s="512">
        <v>0.11852693534291847</v>
      </c>
      <c r="Y2" s="512">
        <v>0.83363167176376884</v>
      </c>
      <c r="Z2" s="512">
        <v>0.83363167176376884</v>
      </c>
      <c r="AA2" s="514">
        <v>0.11395905036151344</v>
      </c>
    </row>
    <row r="3" spans="1:27" ht="14">
      <c r="A3" s="125" t="s">
        <v>645</v>
      </c>
      <c r="B3" s="296">
        <v>67</v>
      </c>
      <c r="C3" s="512">
        <v>8.2055365850000006E-2</v>
      </c>
      <c r="D3" s="512">
        <v>7.5864631373680672E-2</v>
      </c>
      <c r="E3" s="512">
        <v>0.14025351122178831</v>
      </c>
      <c r="F3" s="512">
        <v>0.16478876335049891</v>
      </c>
      <c r="G3" s="513">
        <v>0.80089257897562605</v>
      </c>
      <c r="H3" s="513">
        <v>0.90155312799999998</v>
      </c>
      <c r="I3" s="512">
        <v>8.4837250442399995E-2</v>
      </c>
      <c r="J3" s="512">
        <v>0.42742400899999999</v>
      </c>
      <c r="K3" s="512">
        <v>5.5300000000000002E-2</v>
      </c>
      <c r="L3" s="512">
        <v>0.18562455188693347</v>
      </c>
      <c r="M3" s="512">
        <v>7.6788152135220514E-2</v>
      </c>
      <c r="N3" s="513">
        <v>2.6209631630366763</v>
      </c>
      <c r="O3" s="513">
        <v>2.6041798731605792</v>
      </c>
      <c r="P3" s="513">
        <v>17.237956269633543</v>
      </c>
      <c r="Q3" s="513">
        <v>28.387133116704323</v>
      </c>
      <c r="R3" s="513">
        <v>6.8255770215681411</v>
      </c>
      <c r="S3" s="513">
        <v>87.417778889999994</v>
      </c>
      <c r="T3" s="512">
        <v>0.38696212226448651</v>
      </c>
      <c r="U3" s="512">
        <v>2.7915932425310697E-2</v>
      </c>
      <c r="V3" s="512">
        <v>7.667472862174317E-3</v>
      </c>
      <c r="W3" s="512">
        <v>0.65008606040122241</v>
      </c>
      <c r="X3" s="512">
        <v>0.11941015141390651</v>
      </c>
      <c r="Y3" s="512">
        <v>0.51504926978756937</v>
      </c>
      <c r="Z3" s="512">
        <v>0.51504926978756937</v>
      </c>
      <c r="AA3" s="514">
        <v>7.8696975747724884E-2</v>
      </c>
    </row>
    <row r="4" spans="1:27" ht="14">
      <c r="A4" s="125" t="s">
        <v>646</v>
      </c>
      <c r="B4" s="296">
        <v>24</v>
      </c>
      <c r="C4" s="512">
        <v>2.6369230770000002E-2</v>
      </c>
      <c r="D4" s="512">
        <v>5.5360161881576116E-2</v>
      </c>
      <c r="E4" s="512">
        <v>8.476398601412484E-2</v>
      </c>
      <c r="F4" s="512">
        <v>0.22111636379000343</v>
      </c>
      <c r="G4" s="513">
        <v>0.76485375123244459</v>
      </c>
      <c r="H4" s="513">
        <v>1.2360067379999999</v>
      </c>
      <c r="I4" s="512">
        <v>9.9319091755399991E-2</v>
      </c>
      <c r="J4" s="512">
        <v>0.65271638600000004</v>
      </c>
      <c r="K4" s="512">
        <v>6.4100000000000004E-2</v>
      </c>
      <c r="L4" s="512">
        <v>0.5165022574610012</v>
      </c>
      <c r="M4" s="512">
        <v>7.2851402682197225E-2</v>
      </c>
      <c r="N4" s="513">
        <v>1.7451651543788214</v>
      </c>
      <c r="O4" s="513">
        <v>1.0222121375517874</v>
      </c>
      <c r="P4" s="513">
        <v>7.465027434427947</v>
      </c>
      <c r="Q4" s="513">
        <v>17.630170815052836</v>
      </c>
      <c r="R4" s="513">
        <v>2.9413236090217381</v>
      </c>
      <c r="S4" s="513">
        <v>17.981924150000001</v>
      </c>
      <c r="T4" s="512">
        <v>1.0803799258014462E-2</v>
      </c>
      <c r="U4" s="512">
        <v>8.7934044126825345E-2</v>
      </c>
      <c r="V4" s="512">
        <v>4.3650452468515705E-2</v>
      </c>
      <c r="W4" s="512">
        <v>0.99545339105349284</v>
      </c>
      <c r="X4" s="512">
        <v>0.13271934387774287</v>
      </c>
      <c r="Y4" s="512">
        <v>0.14499243721351626</v>
      </c>
      <c r="Z4" s="512">
        <v>0.14499243721351629</v>
      </c>
      <c r="AA4" s="514">
        <v>5.5046004121764421E-2</v>
      </c>
    </row>
    <row r="5" spans="1:27" ht="14">
      <c r="A5" s="125" t="s">
        <v>647</v>
      </c>
      <c r="B5" s="296">
        <v>37</v>
      </c>
      <c r="C5" s="512">
        <v>6.9669200000000001E-2</v>
      </c>
      <c r="D5" s="512">
        <v>8.7262866451307625E-2</v>
      </c>
      <c r="E5" s="512">
        <v>0.15256209384404851</v>
      </c>
      <c r="F5" s="512">
        <v>0.184121853974336</v>
      </c>
      <c r="G5" s="513">
        <v>0.82670219142059709</v>
      </c>
      <c r="H5" s="513">
        <v>0.99056804600000004</v>
      </c>
      <c r="I5" s="512">
        <v>8.8691596391799993E-2</v>
      </c>
      <c r="J5" s="512">
        <v>0.50926388199999995</v>
      </c>
      <c r="K5" s="512">
        <v>5.7800000000000004E-2</v>
      </c>
      <c r="L5" s="512">
        <v>0.31454440216295959</v>
      </c>
      <c r="M5" s="512">
        <v>7.4429651061627064E-2</v>
      </c>
      <c r="N5" s="513">
        <v>1.7344817552293235</v>
      </c>
      <c r="O5" s="513">
        <v>1.4137613665587494</v>
      </c>
      <c r="P5" s="513">
        <v>9.2153762214944379</v>
      </c>
      <c r="Q5" s="513">
        <v>14.635935947303855</v>
      </c>
      <c r="R5" s="513">
        <v>3.1369627319179645</v>
      </c>
      <c r="S5" s="513">
        <v>28.05498656</v>
      </c>
      <c r="T5" s="512">
        <v>0.24009395180604159</v>
      </c>
      <c r="U5" s="512">
        <v>2.0011291768329789E-2</v>
      </c>
      <c r="V5" s="512">
        <v>1.3152379983751258E-3</v>
      </c>
      <c r="W5" s="512">
        <v>-0.33753473103933551</v>
      </c>
      <c r="X5" s="512">
        <v>8.4666288670658743E-2</v>
      </c>
      <c r="Y5" s="512">
        <v>0.62837258523268402</v>
      </c>
      <c r="Z5" s="512">
        <v>0.62837258523268402</v>
      </c>
      <c r="AA5" s="514">
        <v>9.6195175349290063E-2</v>
      </c>
    </row>
    <row r="6" spans="1:27" ht="14">
      <c r="A6" s="125" t="s">
        <v>648</v>
      </c>
      <c r="B6" s="296">
        <v>34</v>
      </c>
      <c r="C6" s="512">
        <v>0.1089522222</v>
      </c>
      <c r="D6" s="512">
        <v>3.1316363706419312E-2</v>
      </c>
      <c r="E6" s="512">
        <v>3.1538761079819101E-2</v>
      </c>
      <c r="F6" s="512">
        <v>6.2980714237618959E-2</v>
      </c>
      <c r="G6" s="513">
        <v>1.4333544858587057</v>
      </c>
      <c r="H6" s="513">
        <v>1.6154126449999999</v>
      </c>
      <c r="I6" s="512">
        <v>0.11574736752849998</v>
      </c>
      <c r="J6" s="512">
        <v>0.77591112299999998</v>
      </c>
      <c r="K6" s="512">
        <v>6.4100000000000004E-2</v>
      </c>
      <c r="L6" s="512">
        <v>0.1829797055595927</v>
      </c>
      <c r="M6" s="512">
        <v>0.10336469764361451</v>
      </c>
      <c r="N6" s="513">
        <v>1.1507770660211856</v>
      </c>
      <c r="O6" s="513">
        <v>3.4699548342384703</v>
      </c>
      <c r="P6" s="513">
        <v>37.443235392929616</v>
      </c>
      <c r="Q6" s="513">
        <v>106.52227906952159</v>
      </c>
      <c r="R6" s="513">
        <v>6.8543516439962451</v>
      </c>
      <c r="S6" s="513">
        <v>27.282767799999998</v>
      </c>
      <c r="T6" s="512">
        <v>-1.9121501977945734E-2</v>
      </c>
      <c r="U6" s="512">
        <v>6.8059464069069875E-2</v>
      </c>
      <c r="V6" s="512">
        <v>2.9960462555513153E-2</v>
      </c>
      <c r="W6" s="512">
        <v>0.31341818736278149</v>
      </c>
      <c r="X6" s="512">
        <v>9.2658993478065138E-2</v>
      </c>
      <c r="Y6" s="512">
        <v>6.9260275012097972E-2</v>
      </c>
      <c r="Z6" s="512">
        <v>6.9260275012097972E-2</v>
      </c>
      <c r="AA6" s="514">
        <v>3.3115492706239175E-2</v>
      </c>
    </row>
    <row r="7" spans="1:27" ht="14">
      <c r="A7" s="125" t="s">
        <v>649</v>
      </c>
      <c r="B7" s="296">
        <v>33</v>
      </c>
      <c r="C7" s="512">
        <v>6.4891666670000001E-2</v>
      </c>
      <c r="D7" s="512">
        <v>5.0968432154748743E-2</v>
      </c>
      <c r="E7" s="512">
        <v>8.6596749933389769E-2</v>
      </c>
      <c r="F7" s="512">
        <v>0.21438279380512118</v>
      </c>
      <c r="G7" s="513">
        <v>0.9866442740406467</v>
      </c>
      <c r="H7" s="513">
        <v>1.2251237829999999</v>
      </c>
      <c r="I7" s="512">
        <v>9.8847859803899984E-2</v>
      </c>
      <c r="J7" s="512">
        <v>0.52623748699999995</v>
      </c>
      <c r="K7" s="512">
        <v>5.7800000000000004E-2</v>
      </c>
      <c r="L7" s="512">
        <v>0.32356185494134132</v>
      </c>
      <c r="M7" s="512">
        <v>8.089086934047561E-2</v>
      </c>
      <c r="N7" s="513">
        <v>2.4258768506874997</v>
      </c>
      <c r="O7" s="513">
        <v>0.74586436580485549</v>
      </c>
      <c r="P7" s="513">
        <v>6.5271706091410584</v>
      </c>
      <c r="Q7" s="513">
        <v>13.574320807558516</v>
      </c>
      <c r="R7" s="513">
        <v>1.6454719650255853</v>
      </c>
      <c r="S7" s="513">
        <v>24.802888930000002</v>
      </c>
      <c r="T7" s="512">
        <v>0.1621414135957554</v>
      </c>
      <c r="U7" s="512">
        <v>3.3703734844389113E-2</v>
      </c>
      <c r="V7" s="512">
        <v>2.9796679237983886E-2</v>
      </c>
      <c r="W7" s="512">
        <v>0.9872478385354112</v>
      </c>
      <c r="X7" s="512">
        <v>7.086849223503966E-2</v>
      </c>
      <c r="Y7" s="512">
        <v>0.32661617495316425</v>
      </c>
      <c r="Z7" s="512">
        <v>0.3266161749531642</v>
      </c>
      <c r="AA7" s="514">
        <v>5.4112154929540655E-2</v>
      </c>
    </row>
    <row r="8" spans="1:27" ht="14">
      <c r="A8" s="125" t="s">
        <v>650</v>
      </c>
      <c r="B8" s="296">
        <v>15</v>
      </c>
      <c r="C8" s="512">
        <v>5.9959230769999997E-2</v>
      </c>
      <c r="D8" s="512" t="s">
        <v>80</v>
      </c>
      <c r="E8" s="512" t="s">
        <v>80</v>
      </c>
      <c r="F8" s="512">
        <v>0.18536212402520527</v>
      </c>
      <c r="G8" s="513">
        <v>0.52502035155376314</v>
      </c>
      <c r="H8" s="513">
        <v>0.87525287600000001</v>
      </c>
      <c r="I8" s="512">
        <v>8.3698449530799995E-2</v>
      </c>
      <c r="J8" s="512">
        <v>0.30469401299999999</v>
      </c>
      <c r="K8" s="512">
        <v>5.5300000000000002E-2</v>
      </c>
      <c r="L8" s="512">
        <v>0.64687718207198908</v>
      </c>
      <c r="M8" s="512">
        <v>5.6385063480957245E-2</v>
      </c>
      <c r="N8" s="513">
        <v>0</v>
      </c>
      <c r="O8" s="513" t="s">
        <v>80</v>
      </c>
      <c r="P8" s="513" t="s">
        <v>80</v>
      </c>
      <c r="Q8" s="513" t="s">
        <v>80</v>
      </c>
      <c r="R8" s="513">
        <v>1.3220447865816849</v>
      </c>
      <c r="S8" s="513">
        <v>28.041916659999998</v>
      </c>
      <c r="T8" s="512" t="s">
        <v>80</v>
      </c>
      <c r="U8" s="512" t="s">
        <v>80</v>
      </c>
      <c r="V8" s="512" t="s">
        <v>80</v>
      </c>
      <c r="W8" s="512" t="s">
        <v>80</v>
      </c>
      <c r="X8" s="512">
        <v>0.11516319967991416</v>
      </c>
      <c r="Y8" s="512">
        <v>0.31247660974759928</v>
      </c>
      <c r="Z8" s="512">
        <v>0.31247660974759928</v>
      </c>
      <c r="AA8" s="514" t="s">
        <v>80</v>
      </c>
    </row>
    <row r="9" spans="1:27" ht="14">
      <c r="A9" s="125" t="s">
        <v>651</v>
      </c>
      <c r="B9" s="296">
        <v>591</v>
      </c>
      <c r="C9" s="512">
        <v>6.5430417539999994E-2</v>
      </c>
      <c r="D9" s="512" t="s">
        <v>80</v>
      </c>
      <c r="E9" s="512" t="s">
        <v>80</v>
      </c>
      <c r="F9" s="512">
        <v>0.21077505165572366</v>
      </c>
      <c r="G9" s="513">
        <v>0.47508892999890606</v>
      </c>
      <c r="H9" s="513">
        <v>0.51926094199999995</v>
      </c>
      <c r="I9" s="512">
        <v>6.8283998788600003E-2</v>
      </c>
      <c r="J9" s="512">
        <v>0.29959993400000001</v>
      </c>
      <c r="K9" s="512">
        <v>5.0799999999999998E-2</v>
      </c>
      <c r="L9" s="512">
        <v>0.37623618749552407</v>
      </c>
      <c r="M9" s="512">
        <v>5.6927686161007615E-2</v>
      </c>
      <c r="N9" s="513">
        <v>0</v>
      </c>
      <c r="O9" s="513" t="s">
        <v>80</v>
      </c>
      <c r="P9" s="513" t="s">
        <v>80</v>
      </c>
      <c r="Q9" s="513" t="s">
        <v>80</v>
      </c>
      <c r="R9" s="513">
        <v>1.1291008480787303</v>
      </c>
      <c r="S9" s="513">
        <v>18.412353769999999</v>
      </c>
      <c r="T9" s="512" t="s">
        <v>80</v>
      </c>
      <c r="U9" s="512" t="s">
        <v>80</v>
      </c>
      <c r="V9" s="512" t="s">
        <v>80</v>
      </c>
      <c r="W9" s="512" t="s">
        <v>80</v>
      </c>
      <c r="X9" s="512">
        <v>6.8001195239196802E-2</v>
      </c>
      <c r="Y9" s="512">
        <v>0.55482976979735077</v>
      </c>
      <c r="Z9" s="512">
        <v>0.55482976979735077</v>
      </c>
      <c r="AA9" s="514" t="s">
        <v>80</v>
      </c>
    </row>
    <row r="10" spans="1:27" ht="14">
      <c r="A10" s="125" t="s">
        <v>652</v>
      </c>
      <c r="B10" s="296">
        <v>18</v>
      </c>
      <c r="C10" s="512">
        <v>5.0862499999999998E-2</v>
      </c>
      <c r="D10" s="512">
        <v>0.22851540835432294</v>
      </c>
      <c r="E10" s="512">
        <v>0.17863486195942435</v>
      </c>
      <c r="F10" s="512">
        <v>0.21589979309432705</v>
      </c>
      <c r="G10" s="513">
        <v>0.50620702062249601</v>
      </c>
      <c r="H10" s="513">
        <v>0.610297863</v>
      </c>
      <c r="I10" s="512">
        <v>7.2225897467900008E-2</v>
      </c>
      <c r="J10" s="512">
        <v>0.63076375600000001</v>
      </c>
      <c r="K10" s="512">
        <v>5.7800000000000004E-2</v>
      </c>
      <c r="L10" s="512">
        <v>0.23351097343727722</v>
      </c>
      <c r="M10" s="512">
        <v>6.5483058541295672E-2</v>
      </c>
      <c r="N10" s="513">
        <v>0.8510742188918321</v>
      </c>
      <c r="O10" s="513">
        <v>3.3006470733953042</v>
      </c>
      <c r="P10" s="513">
        <v>11.630381203889391</v>
      </c>
      <c r="Q10" s="513">
        <v>14.398388419724839</v>
      </c>
      <c r="R10" s="513">
        <v>2.6964073490399239</v>
      </c>
      <c r="S10" s="513">
        <v>44.431034279999999</v>
      </c>
      <c r="T10" s="512">
        <v>0.16418832033027872</v>
      </c>
      <c r="U10" s="512">
        <v>8.6525687458165565E-2</v>
      </c>
      <c r="V10" s="512">
        <v>6.208213696143839E-2</v>
      </c>
      <c r="W10" s="512">
        <v>0.35708516061311202</v>
      </c>
      <c r="X10" s="512">
        <v>9.4907136776536324E-2</v>
      </c>
      <c r="Y10" s="512">
        <v>0.55497307495348769</v>
      </c>
      <c r="Z10" s="512">
        <v>0.55497307495348769</v>
      </c>
      <c r="AA10" s="514">
        <v>0.22883891435576209</v>
      </c>
    </row>
    <row r="11" spans="1:27" ht="14">
      <c r="A11" s="125" t="s">
        <v>653</v>
      </c>
      <c r="B11" s="296">
        <v>29</v>
      </c>
      <c r="C11" s="512">
        <v>0.16750833329999998</v>
      </c>
      <c r="D11" s="512">
        <v>0.20008555306144923</v>
      </c>
      <c r="E11" s="512">
        <v>0.3060959745263867</v>
      </c>
      <c r="F11" s="512">
        <v>0.19713421347462087</v>
      </c>
      <c r="G11" s="513">
        <v>0.51288796925655955</v>
      </c>
      <c r="H11" s="513">
        <v>0.56776610100000002</v>
      </c>
      <c r="I11" s="512">
        <v>7.0384272173299997E-2</v>
      </c>
      <c r="J11" s="512">
        <v>0.47670267799999999</v>
      </c>
      <c r="K11" s="512">
        <v>5.7800000000000004E-2</v>
      </c>
      <c r="L11" s="512">
        <v>0.16479514715168567</v>
      </c>
      <c r="M11" s="512">
        <v>6.5929155312362306E-2</v>
      </c>
      <c r="N11" s="513">
        <v>1.6739557556528541</v>
      </c>
      <c r="O11" s="513">
        <v>4.00109810652223</v>
      </c>
      <c r="P11" s="513">
        <v>16.763124164169358</v>
      </c>
      <c r="Q11" s="513">
        <v>19.866727862177971</v>
      </c>
      <c r="R11" s="513">
        <v>7.4839161134651366</v>
      </c>
      <c r="S11" s="513">
        <v>25.666980370000001</v>
      </c>
      <c r="T11" s="512">
        <v>-0.10319965162205474</v>
      </c>
      <c r="U11" s="512">
        <v>5.3396373552860144E-2</v>
      </c>
      <c r="V11" s="512">
        <v>2.82972262332606E-2</v>
      </c>
      <c r="W11" s="512">
        <v>0.26994041473158514</v>
      </c>
      <c r="X11" s="512">
        <v>0.30605829873016316</v>
      </c>
      <c r="Y11" s="512">
        <v>0.68694703605646201</v>
      </c>
      <c r="Z11" s="512">
        <v>0.68694703605646201</v>
      </c>
      <c r="AA11" s="514">
        <v>0.20137095743625985</v>
      </c>
    </row>
    <row r="12" spans="1:27" ht="14">
      <c r="A12" s="125" t="s">
        <v>654</v>
      </c>
      <c r="B12" s="296">
        <v>22</v>
      </c>
      <c r="C12" s="512">
        <v>1.8948125E-2</v>
      </c>
      <c r="D12" s="512">
        <v>0.12511923374824721</v>
      </c>
      <c r="E12" s="512">
        <v>0.12676646580261572</v>
      </c>
      <c r="F12" s="512">
        <v>0.26794958900560473</v>
      </c>
      <c r="G12" s="513">
        <v>0.47767444200778458</v>
      </c>
      <c r="H12" s="513">
        <v>0.91752363299999995</v>
      </c>
      <c r="I12" s="512">
        <v>8.5528773308899991E-2</v>
      </c>
      <c r="J12" s="512">
        <v>0.52595168000000003</v>
      </c>
      <c r="K12" s="512">
        <v>5.7800000000000004E-2</v>
      </c>
      <c r="L12" s="512">
        <v>0.59929947491538105</v>
      </c>
      <c r="M12" s="512">
        <v>6.0251056612301339E-2</v>
      </c>
      <c r="N12" s="513">
        <v>1.1351345250311251</v>
      </c>
      <c r="O12" s="513">
        <v>1.2871011667112966</v>
      </c>
      <c r="P12" s="513">
        <v>7.2056457877925721</v>
      </c>
      <c r="Q12" s="513">
        <v>10.263125382797796</v>
      </c>
      <c r="R12" s="513">
        <v>1.0157798794125992</v>
      </c>
      <c r="S12" s="513">
        <v>45.023519589999999</v>
      </c>
      <c r="T12" s="512">
        <v>0.10428461190725047</v>
      </c>
      <c r="U12" s="512">
        <v>1.8909044316025581E-2</v>
      </c>
      <c r="V12" s="512">
        <v>-2.3811837570292042E-2</v>
      </c>
      <c r="W12" s="512">
        <v>2.0277458422227252</v>
      </c>
      <c r="X12" s="512">
        <v>-9.1235946395683276E-2</v>
      </c>
      <c r="Y12" s="512">
        <v>6.2531243700000008E-3</v>
      </c>
      <c r="Z12" s="512">
        <v>6.2531243700000294E-3</v>
      </c>
      <c r="AA12" s="514">
        <v>0.12512540860809501</v>
      </c>
    </row>
    <row r="13" spans="1:27" ht="14">
      <c r="A13" s="125" t="s">
        <v>655</v>
      </c>
      <c r="B13" s="296">
        <v>30</v>
      </c>
      <c r="C13" s="512">
        <v>0.22187095240000002</v>
      </c>
      <c r="D13" s="512" t="s">
        <v>80</v>
      </c>
      <c r="E13" s="512" t="s">
        <v>80</v>
      </c>
      <c r="F13" s="512">
        <v>0.21118585170104759</v>
      </c>
      <c r="G13" s="513">
        <v>0.47017758016751704</v>
      </c>
      <c r="H13" s="513">
        <v>0.95226740499999996</v>
      </c>
      <c r="I13" s="512">
        <v>8.7033178636499994E-2</v>
      </c>
      <c r="J13" s="512">
        <v>0.40490891200000001</v>
      </c>
      <c r="K13" s="512">
        <v>5.5300000000000002E-2</v>
      </c>
      <c r="L13" s="512">
        <v>0.65106514891653355</v>
      </c>
      <c r="M13" s="512">
        <v>5.7371836278161087E-2</v>
      </c>
      <c r="N13" s="513">
        <v>0</v>
      </c>
      <c r="O13" s="513" t="s">
        <v>80</v>
      </c>
      <c r="P13" s="513" t="s">
        <v>80</v>
      </c>
      <c r="Q13" s="513" t="s">
        <v>80</v>
      </c>
      <c r="R13" s="513">
        <v>2.107553367614496</v>
      </c>
      <c r="S13" s="513">
        <v>29.867931989999999</v>
      </c>
      <c r="T13" s="512" t="s">
        <v>80</v>
      </c>
      <c r="U13" s="512" t="s">
        <v>80</v>
      </c>
      <c r="V13" s="512" t="s">
        <v>80</v>
      </c>
      <c r="W13" s="512" t="s">
        <v>80</v>
      </c>
      <c r="X13" s="512">
        <v>0.13110868743629389</v>
      </c>
      <c r="Y13" s="512">
        <v>0.37159759870507159</v>
      </c>
      <c r="Z13" s="512">
        <v>0.37159759870507159</v>
      </c>
      <c r="AA13" s="514" t="s">
        <v>80</v>
      </c>
    </row>
    <row r="14" spans="1:27" ht="14">
      <c r="A14" s="125" t="s">
        <v>656</v>
      </c>
      <c r="B14" s="296">
        <v>39</v>
      </c>
      <c r="C14" s="512">
        <v>4.0569354840000002E-2</v>
      </c>
      <c r="D14" s="512">
        <v>0.13339807849794327</v>
      </c>
      <c r="E14" s="512">
        <v>0.26836667409798826</v>
      </c>
      <c r="F14" s="512">
        <v>0.23721140979617469</v>
      </c>
      <c r="G14" s="513">
        <v>1.2345815852317845</v>
      </c>
      <c r="H14" s="513">
        <v>1.3598827170000001</v>
      </c>
      <c r="I14" s="512">
        <v>0.10468292164609999</v>
      </c>
      <c r="J14" s="512">
        <v>0.34747492800000002</v>
      </c>
      <c r="K14" s="512">
        <v>5.5300000000000002E-2</v>
      </c>
      <c r="L14" s="512">
        <v>0.15947307956364901</v>
      </c>
      <c r="M14" s="512">
        <v>9.4602959728378594E-2</v>
      </c>
      <c r="N14" s="513">
        <v>2.6563018278622499</v>
      </c>
      <c r="O14" s="513">
        <v>2.3330552823981074</v>
      </c>
      <c r="P14" s="513">
        <v>13.144108813471654</v>
      </c>
      <c r="Q14" s="513">
        <v>17.280609404535451</v>
      </c>
      <c r="R14" s="513">
        <v>4.2673351808781455</v>
      </c>
      <c r="S14" s="513">
        <v>22.983757969999999</v>
      </c>
      <c r="T14" s="512">
        <v>0.17589732311416995</v>
      </c>
      <c r="U14" s="512">
        <v>3.3813890835620239E-2</v>
      </c>
      <c r="V14" s="512">
        <v>0.14426831998455231</v>
      </c>
      <c r="W14" s="512">
        <v>1.3576339984632542</v>
      </c>
      <c r="X14" s="512">
        <v>0.27358512319543299</v>
      </c>
      <c r="Y14" s="512">
        <v>0.16632375734397675</v>
      </c>
      <c r="Z14" s="512">
        <v>0.16632375734397675</v>
      </c>
      <c r="AA14" s="514">
        <v>0.13659535563209246</v>
      </c>
    </row>
    <row r="15" spans="1:27" ht="14">
      <c r="A15" s="125" t="s">
        <v>657</v>
      </c>
      <c r="B15" s="296">
        <v>152</v>
      </c>
      <c r="C15" s="512">
        <v>5.2418068179999999E-2</v>
      </c>
      <c r="D15" s="512">
        <v>0.12106710497438609</v>
      </c>
      <c r="E15" s="512">
        <v>0.26832206671354231</v>
      </c>
      <c r="F15" s="512">
        <v>0.23839859256142706</v>
      </c>
      <c r="G15" s="513">
        <v>0.92174210679313051</v>
      </c>
      <c r="H15" s="513">
        <v>1.0038499599999999</v>
      </c>
      <c r="I15" s="512">
        <v>8.9266703267999986E-2</v>
      </c>
      <c r="J15" s="512">
        <v>0.453932055</v>
      </c>
      <c r="K15" s="512">
        <v>5.7800000000000004E-2</v>
      </c>
      <c r="L15" s="512">
        <v>0.14369515909210709</v>
      </c>
      <c r="M15" s="512">
        <v>8.2668695286919655E-2</v>
      </c>
      <c r="N15" s="513">
        <v>2.6612038226413137</v>
      </c>
      <c r="O15" s="513">
        <v>2.9329096063095581</v>
      </c>
      <c r="P15" s="513">
        <v>16.754385344425835</v>
      </c>
      <c r="Q15" s="513">
        <v>23.770574543055467</v>
      </c>
      <c r="R15" s="513">
        <v>5.9406152911726871</v>
      </c>
      <c r="S15" s="513">
        <v>49.988354399999999</v>
      </c>
      <c r="T15" s="512">
        <v>0.14466690614189071</v>
      </c>
      <c r="U15" s="512">
        <v>2.8368193891951846E-2</v>
      </c>
      <c r="V15" s="512">
        <v>-1.1791142392289103E-3</v>
      </c>
      <c r="W15" s="512">
        <v>4.6745076350120138E-2</v>
      </c>
      <c r="X15" s="512">
        <v>0.18265620132352731</v>
      </c>
      <c r="Y15" s="512">
        <v>0.41282664900021215</v>
      </c>
      <c r="Z15" s="512">
        <v>0.41282664900021215</v>
      </c>
      <c r="AA15" s="514">
        <v>0.12434265853816712</v>
      </c>
    </row>
    <row r="16" spans="1:27" ht="14">
      <c r="A16" s="125" t="s">
        <v>658</v>
      </c>
      <c r="B16" s="296">
        <v>9</v>
      </c>
      <c r="C16" s="512">
        <v>0.24145</v>
      </c>
      <c r="D16" s="512">
        <v>0.18459797782132617</v>
      </c>
      <c r="E16" s="512">
        <v>0.13752245099771512</v>
      </c>
      <c r="F16" s="512">
        <v>0.24595154201024375</v>
      </c>
      <c r="G16" s="513">
        <v>0.5042060471678157</v>
      </c>
      <c r="H16" s="513">
        <v>0.960510745</v>
      </c>
      <c r="I16" s="512">
        <v>8.739011525849999E-2</v>
      </c>
      <c r="J16" s="512">
        <v>0.49732784200000002</v>
      </c>
      <c r="K16" s="512">
        <v>5.7800000000000004E-2</v>
      </c>
      <c r="L16" s="512">
        <v>0.55821493937236766</v>
      </c>
      <c r="M16" s="512">
        <v>6.2806264989524324E-2</v>
      </c>
      <c r="N16" s="513">
        <v>0.85037679570699942</v>
      </c>
      <c r="O16" s="513">
        <v>2.2740102173874628</v>
      </c>
      <c r="P16" s="513">
        <v>7.0399595375606037</v>
      </c>
      <c r="Q16" s="513">
        <v>12.515125907348009</v>
      </c>
      <c r="R16" s="513">
        <v>1.5110124996664887</v>
      </c>
      <c r="S16" s="513">
        <v>10.74120025</v>
      </c>
      <c r="T16" s="512">
        <v>1.4661260425027692E-2</v>
      </c>
      <c r="U16" s="512">
        <v>0.1274566885266333</v>
      </c>
      <c r="V16" s="512">
        <v>-2.1867097231432308E-3</v>
      </c>
      <c r="W16" s="512">
        <v>4.8180050259822575E-2</v>
      </c>
      <c r="X16" s="512">
        <v>0.15502628901756088</v>
      </c>
      <c r="Y16" s="512">
        <v>0.32245541299708064</v>
      </c>
      <c r="Z16" s="512">
        <v>0.32245541299708069</v>
      </c>
      <c r="AA16" s="514">
        <v>0.18156021868957392</v>
      </c>
    </row>
    <row r="17" spans="1:27" ht="14">
      <c r="A17" s="125" t="s">
        <v>619</v>
      </c>
      <c r="B17" s="296">
        <v>31</v>
      </c>
      <c r="C17" s="512">
        <v>8.6697777779999999E-2</v>
      </c>
      <c r="D17" s="512">
        <v>6.0486893798069312E-2</v>
      </c>
      <c r="E17" s="512">
        <v>8.7115256434838612E-2</v>
      </c>
      <c r="F17" s="512">
        <v>0.17651351969149562</v>
      </c>
      <c r="G17" s="513">
        <v>0.86036855180301985</v>
      </c>
      <c r="H17" s="513">
        <v>1.1476869220000001</v>
      </c>
      <c r="I17" s="512">
        <v>9.5494843722600004E-2</v>
      </c>
      <c r="J17" s="512">
        <v>0.500216196</v>
      </c>
      <c r="K17" s="512">
        <v>5.7800000000000004E-2</v>
      </c>
      <c r="L17" s="512">
        <v>0.36810087599643493</v>
      </c>
      <c r="M17" s="512">
        <v>7.6300281069613743E-2</v>
      </c>
      <c r="N17" s="513">
        <v>1.5856091699425192</v>
      </c>
      <c r="O17" s="513">
        <v>1.0328956410360037</v>
      </c>
      <c r="P17" s="513">
        <v>7.9670583901425305</v>
      </c>
      <c r="Q17" s="513">
        <v>16.210395838965489</v>
      </c>
      <c r="R17" s="513">
        <v>1.611224798317052</v>
      </c>
      <c r="S17" s="513">
        <v>25.8083733</v>
      </c>
      <c r="T17" s="512">
        <v>0.1560831126647369</v>
      </c>
      <c r="U17" s="512">
        <v>6.0077957497568127E-2</v>
      </c>
      <c r="V17" s="512">
        <v>3.746685791879284E-2</v>
      </c>
      <c r="W17" s="512">
        <v>0.69395624306129156</v>
      </c>
      <c r="X17" s="512">
        <v>6.3698090576988928E-2</v>
      </c>
      <c r="Y17" s="512">
        <v>1.2817896941827633</v>
      </c>
      <c r="Z17" s="512">
        <v>1.2817896941827633</v>
      </c>
      <c r="AA17" s="514">
        <v>6.2465659093970088E-2</v>
      </c>
    </row>
    <row r="18" spans="1:27" ht="14">
      <c r="A18" s="125" t="s">
        <v>659</v>
      </c>
      <c r="B18" s="296">
        <v>4</v>
      </c>
      <c r="C18" s="512">
        <v>1.6685000000000002E-2</v>
      </c>
      <c r="D18" s="512">
        <v>4.3609560927712385E-2</v>
      </c>
      <c r="E18" s="512">
        <v>5.3536736332176038E-2</v>
      </c>
      <c r="F18" s="512">
        <v>0</v>
      </c>
      <c r="G18" s="513">
        <v>0.58046503346845157</v>
      </c>
      <c r="H18" s="513">
        <v>0.99413866200000001</v>
      </c>
      <c r="I18" s="512">
        <v>8.8846204064600004E-2</v>
      </c>
      <c r="J18" s="512">
        <v>0.46970419400000002</v>
      </c>
      <c r="K18" s="512">
        <v>5.7800000000000004E-2</v>
      </c>
      <c r="L18" s="512">
        <v>0.53078499492481368</v>
      </c>
      <c r="M18" s="512">
        <v>6.4697501621073003E-2</v>
      </c>
      <c r="N18" s="513">
        <v>1.3096090731277268</v>
      </c>
      <c r="O18" s="513">
        <v>0.99834666477464096</v>
      </c>
      <c r="P18" s="513">
        <v>9.2737112897111231</v>
      </c>
      <c r="Q18" s="513">
        <v>22.259387265973562</v>
      </c>
      <c r="R18" s="513">
        <v>1.3756962474757561</v>
      </c>
      <c r="S18" s="513">
        <v>33.223684210000002</v>
      </c>
      <c r="T18" s="512">
        <v>0.19024416102117192</v>
      </c>
      <c r="U18" s="512">
        <v>5.6483490852626696E-2</v>
      </c>
      <c r="V18" s="512">
        <v>3.09597381827909E-3</v>
      </c>
      <c r="W18" s="512">
        <v>0.21432209826666149</v>
      </c>
      <c r="X18" s="512">
        <v>-1.3011807112258857E-2</v>
      </c>
      <c r="Y18" s="512">
        <v>1.9605263160000001E-2</v>
      </c>
      <c r="Z18" s="512">
        <v>1.9605263159999997E-2</v>
      </c>
      <c r="AA18" s="514">
        <v>4.3824308778591406E-2</v>
      </c>
    </row>
    <row r="19" spans="1:27" ht="14">
      <c r="A19" s="125" t="s">
        <v>620</v>
      </c>
      <c r="B19" s="296">
        <v>60</v>
      </c>
      <c r="C19" s="512">
        <v>9.1944222219999996E-2</v>
      </c>
      <c r="D19" s="512">
        <v>0.1193494453676533</v>
      </c>
      <c r="E19" s="512">
        <v>0.11308895503943045</v>
      </c>
      <c r="F19" s="512">
        <v>0.20545318279218358</v>
      </c>
      <c r="G19" s="513">
        <v>0.79421458189715954</v>
      </c>
      <c r="H19" s="513">
        <v>0.92154890700000003</v>
      </c>
      <c r="I19" s="512">
        <v>8.57030676731E-2</v>
      </c>
      <c r="J19" s="512">
        <v>0.48149355100000002</v>
      </c>
      <c r="K19" s="512">
        <v>5.7800000000000004E-2</v>
      </c>
      <c r="L19" s="512">
        <v>0.21336957255391781</v>
      </c>
      <c r="M19" s="512">
        <v>7.6666211727343503E-2</v>
      </c>
      <c r="N19" s="513">
        <v>1.1344320373825643</v>
      </c>
      <c r="O19" s="513">
        <v>2.7705093015104674</v>
      </c>
      <c r="P19" s="513">
        <v>13.305677144877386</v>
      </c>
      <c r="Q19" s="513">
        <v>22.12973118763059</v>
      </c>
      <c r="R19" s="513">
        <v>2.5680732923090193</v>
      </c>
      <c r="S19" s="513">
        <v>43.856678729999999</v>
      </c>
      <c r="T19" s="512">
        <v>0.22293595568199431</v>
      </c>
      <c r="U19" s="512">
        <v>8.8176279512340902E-2</v>
      </c>
      <c r="V19" s="512">
        <v>5.2027275641348188E-2</v>
      </c>
      <c r="W19" s="512">
        <v>0.54297214626986634</v>
      </c>
      <c r="X19" s="512">
        <v>7.775909833844559E-2</v>
      </c>
      <c r="Y19" s="512">
        <v>0.59231874864929235</v>
      </c>
      <c r="Z19" s="512">
        <v>0.59231874864929235</v>
      </c>
      <c r="AA19" s="514">
        <v>0.12123369916544284</v>
      </c>
    </row>
    <row r="20" spans="1:27" ht="14">
      <c r="A20" s="125" t="s">
        <v>660</v>
      </c>
      <c r="B20" s="296">
        <v>16</v>
      </c>
      <c r="C20" s="512">
        <v>6.5125000000000001E-3</v>
      </c>
      <c r="D20" s="512">
        <v>0.10974053594215227</v>
      </c>
      <c r="E20" s="512">
        <v>0.13136098597204601</v>
      </c>
      <c r="F20" s="512">
        <v>0.17764284602210806</v>
      </c>
      <c r="G20" s="513">
        <v>1.2666789941187624</v>
      </c>
      <c r="H20" s="513">
        <v>1.1820629970000001</v>
      </c>
      <c r="I20" s="512">
        <v>9.6983327770099992E-2</v>
      </c>
      <c r="J20" s="512">
        <v>0.53778222899999994</v>
      </c>
      <c r="K20" s="512">
        <v>5.7800000000000004E-2</v>
      </c>
      <c r="L20" s="512">
        <v>8.6500147949945858E-2</v>
      </c>
      <c r="M20" s="512">
        <v>9.2344036982938402E-2</v>
      </c>
      <c r="N20" s="513">
        <v>1.2410014770236968</v>
      </c>
      <c r="O20" s="513">
        <v>1.5677608367812537</v>
      </c>
      <c r="P20" s="513">
        <v>3.8937525141164238</v>
      </c>
      <c r="Q20" s="513">
        <v>7.9798440623867757</v>
      </c>
      <c r="R20" s="513">
        <v>1.652433883756701</v>
      </c>
      <c r="S20" s="513">
        <v>8.9289539700000002</v>
      </c>
      <c r="T20" s="512">
        <v>0.10744364100382817</v>
      </c>
      <c r="U20" s="512">
        <v>0.10056739234110565</v>
      </c>
      <c r="V20" s="512">
        <v>4.1818439606614841E-2</v>
      </c>
      <c r="W20" s="512">
        <v>0.78418250239582199</v>
      </c>
      <c r="X20" s="512">
        <v>0.1133530739065558</v>
      </c>
      <c r="Y20" s="512">
        <v>6.8498330481372535E-2</v>
      </c>
      <c r="Z20" s="512">
        <v>6.8498330481372549E-2</v>
      </c>
      <c r="AA20" s="514">
        <v>0.11036162808862766</v>
      </c>
    </row>
    <row r="21" spans="1:27" ht="14">
      <c r="A21" s="125" t="s">
        <v>475</v>
      </c>
      <c r="B21" s="296">
        <v>63</v>
      </c>
      <c r="C21" s="512">
        <v>9.3410571430000006E-2</v>
      </c>
      <c r="D21" s="512">
        <v>6.0552452674760858E-2</v>
      </c>
      <c r="E21" s="512">
        <v>0.20511859984992606</v>
      </c>
      <c r="F21" s="512">
        <v>0.15828323564310839</v>
      </c>
      <c r="G21" s="513">
        <v>1.091806958703224</v>
      </c>
      <c r="H21" s="513">
        <v>1.234460621</v>
      </c>
      <c r="I21" s="512">
        <v>9.9252144889299995E-2</v>
      </c>
      <c r="J21" s="512">
        <v>0.44396278700000003</v>
      </c>
      <c r="K21" s="512">
        <v>5.5300000000000002E-2</v>
      </c>
      <c r="L21" s="512">
        <v>0.20842271411909233</v>
      </c>
      <c r="M21" s="512">
        <v>8.7210075537420051E-2</v>
      </c>
      <c r="N21" s="513">
        <v>4.7139988082338196</v>
      </c>
      <c r="O21" s="513">
        <v>1.384128746459615</v>
      </c>
      <c r="P21" s="513">
        <v>14.291251634862933</v>
      </c>
      <c r="Q21" s="513">
        <v>21.794177608169679</v>
      </c>
      <c r="R21" s="513">
        <v>4.5486513002131979</v>
      </c>
      <c r="S21" s="513">
        <v>56.193889810000002</v>
      </c>
      <c r="T21" s="512">
        <v>0.13791056200710072</v>
      </c>
      <c r="U21" s="512">
        <v>9.9162487965842802E-3</v>
      </c>
      <c r="V21" s="512">
        <v>1.3792624153242633E-3</v>
      </c>
      <c r="W21" s="512">
        <v>-0.13524979633927869</v>
      </c>
      <c r="X21" s="512">
        <v>0.17442599918494769</v>
      </c>
      <c r="Y21" s="512">
        <v>0.55313082081621301</v>
      </c>
      <c r="Z21" s="512">
        <v>0.55313082081621301</v>
      </c>
      <c r="AA21" s="514">
        <v>6.4474279549048094E-2</v>
      </c>
    </row>
    <row r="22" spans="1:27" ht="14">
      <c r="A22" s="125" t="s">
        <v>661</v>
      </c>
      <c r="B22" s="296">
        <v>35</v>
      </c>
      <c r="C22" s="512">
        <v>3.547884615E-2</v>
      </c>
      <c r="D22" s="512">
        <v>0.22650656923300075</v>
      </c>
      <c r="E22" s="512">
        <v>0.41408711752017102</v>
      </c>
      <c r="F22" s="512">
        <v>0.22873507397401782</v>
      </c>
      <c r="G22" s="513">
        <v>1.118287266469026</v>
      </c>
      <c r="H22" s="513">
        <v>1.1422456459999999</v>
      </c>
      <c r="I22" s="512">
        <v>9.5259236471799985E-2</v>
      </c>
      <c r="J22" s="512">
        <v>0.52621968100000005</v>
      </c>
      <c r="K22" s="512">
        <v>5.7800000000000004E-2</v>
      </c>
      <c r="L22" s="512">
        <v>4.5958192552513426E-2</v>
      </c>
      <c r="M22" s="512">
        <v>9.2873581786775045E-2</v>
      </c>
      <c r="N22" s="513">
        <v>3.3449300664684207</v>
      </c>
      <c r="O22" s="513">
        <v>6.6791419060864801</v>
      </c>
      <c r="P22" s="513">
        <v>25.359132422946413</v>
      </c>
      <c r="Q22" s="513">
        <v>29.389549393699141</v>
      </c>
      <c r="R22" s="513">
        <v>38.955770550529998</v>
      </c>
      <c r="S22" s="513">
        <v>610.1473168</v>
      </c>
      <c r="T22" s="512">
        <v>-7.9927060367769837E-2</v>
      </c>
      <c r="U22" s="512">
        <v>2.5816045561845129E-2</v>
      </c>
      <c r="V22" s="512">
        <v>3.3470274962448718E-3</v>
      </c>
      <c r="W22" s="512">
        <v>2.1789696943515499E-2</v>
      </c>
      <c r="X22" s="512">
        <v>2.0232635E-4</v>
      </c>
      <c r="Y22" s="512">
        <v>0.17968917860020636</v>
      </c>
      <c r="Z22" s="512">
        <v>0.17968917860020639</v>
      </c>
      <c r="AA22" s="514">
        <v>0.22950815299948338</v>
      </c>
    </row>
    <row r="23" spans="1:27" ht="14">
      <c r="A23" s="125" t="s">
        <v>662</v>
      </c>
      <c r="B23" s="296">
        <v>46</v>
      </c>
      <c r="C23" s="512">
        <v>3.7463548389999997E-2</v>
      </c>
      <c r="D23" s="512">
        <v>0.15132789353180212</v>
      </c>
      <c r="E23" s="512">
        <v>0.18411663423273966</v>
      </c>
      <c r="F23" s="512">
        <v>0.21734420347661088</v>
      </c>
      <c r="G23" s="513">
        <v>1.1527821790508539</v>
      </c>
      <c r="H23" s="513">
        <v>1.2936372249999999</v>
      </c>
      <c r="I23" s="512">
        <v>0.10181449184249999</v>
      </c>
      <c r="J23" s="512">
        <v>0.47524838800000002</v>
      </c>
      <c r="K23" s="512">
        <v>5.7800000000000004E-2</v>
      </c>
      <c r="L23" s="512">
        <v>0.17739375240336838</v>
      </c>
      <c r="M23" s="512">
        <v>9.1443256252202801E-2</v>
      </c>
      <c r="N23" s="513">
        <v>1.5644347993202348</v>
      </c>
      <c r="O23" s="513">
        <v>2.4608867902074083</v>
      </c>
      <c r="P23" s="513">
        <v>12.622658164680921</v>
      </c>
      <c r="Q23" s="513">
        <v>16.105371320231963</v>
      </c>
      <c r="R23" s="513">
        <v>4.3882267587224799</v>
      </c>
      <c r="S23" s="513">
        <v>18.967551650000001</v>
      </c>
      <c r="T23" s="512">
        <v>0.18587440808334135</v>
      </c>
      <c r="U23" s="512">
        <v>4.8192358657233425E-2</v>
      </c>
      <c r="V23" s="512">
        <v>3.8508067346589604E-2</v>
      </c>
      <c r="W23" s="512">
        <v>0.42331879940087469</v>
      </c>
      <c r="X23" s="512">
        <v>0.25625980435240003</v>
      </c>
      <c r="Y23" s="512">
        <v>0.29216332430157532</v>
      </c>
      <c r="Z23" s="512">
        <v>0.29216332430157532</v>
      </c>
      <c r="AA23" s="514">
        <v>0.15206830137916255</v>
      </c>
    </row>
    <row r="24" spans="1:27" ht="14">
      <c r="A24" s="125" t="s">
        <v>663</v>
      </c>
      <c r="B24" s="296">
        <v>21</v>
      </c>
      <c r="C24" s="512">
        <v>0.1162011111</v>
      </c>
      <c r="D24" s="512">
        <v>0.32847328764204248</v>
      </c>
      <c r="E24" s="512">
        <v>0.24653408323908313</v>
      </c>
      <c r="F24" s="512">
        <v>0.19221263304728198</v>
      </c>
      <c r="G24" s="513">
        <v>1.0140267770157503</v>
      </c>
      <c r="H24" s="513">
        <v>1.089996424</v>
      </c>
      <c r="I24" s="512">
        <v>9.2996845159199995E-2</v>
      </c>
      <c r="J24" s="512">
        <v>0.59349660699999995</v>
      </c>
      <c r="K24" s="512">
        <v>5.7800000000000004E-2</v>
      </c>
      <c r="L24" s="512">
        <v>0.13859853317033913</v>
      </c>
      <c r="M24" s="512">
        <v>8.6115865243599918E-2</v>
      </c>
      <c r="N24" s="513">
        <v>0.79974779181477329</v>
      </c>
      <c r="O24" s="513">
        <v>2.9071161346491126</v>
      </c>
      <c r="P24" s="513">
        <v>7.8569258363980232</v>
      </c>
      <c r="Q24" s="513">
        <v>8.8072144120520921</v>
      </c>
      <c r="R24" s="513">
        <v>1.8062849858672281</v>
      </c>
      <c r="S24" s="513">
        <v>13.032908559999999</v>
      </c>
      <c r="T24" s="512">
        <v>1.4896509586036182E-2</v>
      </c>
      <c r="U24" s="512">
        <v>4.8625328972568528E-2</v>
      </c>
      <c r="V24" s="512">
        <v>3.0015662439102954E-2</v>
      </c>
      <c r="W24" s="512">
        <v>0.10870945577023988</v>
      </c>
      <c r="X24" s="512">
        <v>0.20898799911870694</v>
      </c>
      <c r="Y24" s="512">
        <v>5.0332682728645162E-2</v>
      </c>
      <c r="Z24" s="512">
        <v>5.0332682728645217E-2</v>
      </c>
      <c r="AA24" s="514">
        <v>0.33000088530976718</v>
      </c>
    </row>
    <row r="25" spans="1:27" ht="14">
      <c r="A25" s="125" t="s">
        <v>664</v>
      </c>
      <c r="B25" s="296">
        <v>535</v>
      </c>
      <c r="C25" s="512">
        <v>0.23766170890000002</v>
      </c>
      <c r="D25" s="512">
        <v>1.4221272716606562E-2</v>
      </c>
      <c r="E25" s="512">
        <v>3.0814784217150146E-2</v>
      </c>
      <c r="F25" s="512">
        <v>0.19482954958812734</v>
      </c>
      <c r="G25" s="513">
        <v>1.1689511933236565</v>
      </c>
      <c r="H25" s="513">
        <v>1.2519481130000001</v>
      </c>
      <c r="I25" s="512">
        <v>0.10000935329290001</v>
      </c>
      <c r="J25" s="512">
        <v>0.86827811700000002</v>
      </c>
      <c r="K25" s="512">
        <v>7.5800000000000006E-2</v>
      </c>
      <c r="L25" s="512">
        <v>0.1459806038133114</v>
      </c>
      <c r="M25" s="512">
        <v>9.3708924839010443E-2</v>
      </c>
      <c r="N25" s="513">
        <v>0.93339464274042372</v>
      </c>
      <c r="O25" s="513">
        <v>6.7917910997794078</v>
      </c>
      <c r="P25" s="513">
        <v>15.186565174237344</v>
      </c>
      <c r="Q25" s="513" t="s">
        <v>80</v>
      </c>
      <c r="R25" s="513">
        <v>6.0170976541537984</v>
      </c>
      <c r="S25" s="513">
        <v>84.994302489999995</v>
      </c>
      <c r="T25" s="512">
        <v>0.136456198402093</v>
      </c>
      <c r="U25" s="512">
        <v>3.360787117884962E-2</v>
      </c>
      <c r="V25" s="512">
        <v>0.24938461994507974</v>
      </c>
      <c r="W25" s="512" t="s">
        <v>80</v>
      </c>
      <c r="X25" s="512">
        <v>-0.14115598020476416</v>
      </c>
      <c r="Y25" s="512">
        <v>9.7462779800000007E-3</v>
      </c>
      <c r="Z25" s="512">
        <v>9.746277980000051E-3</v>
      </c>
      <c r="AA25" s="514">
        <v>7.488265801874916E-2</v>
      </c>
    </row>
    <row r="26" spans="1:27" ht="14">
      <c r="A26" s="125" t="s">
        <v>665</v>
      </c>
      <c r="B26" s="296">
        <v>231</v>
      </c>
      <c r="C26" s="512">
        <v>0.24784956520000001</v>
      </c>
      <c r="D26" s="512">
        <v>0.22807562351451666</v>
      </c>
      <c r="E26" s="512">
        <v>0.14079869875837178</v>
      </c>
      <c r="F26" s="512">
        <v>0.13582708532957879</v>
      </c>
      <c r="G26" s="513">
        <v>0.9833609439300397</v>
      </c>
      <c r="H26" s="513">
        <v>1.073797133</v>
      </c>
      <c r="I26" s="512">
        <v>9.2295415858899998E-2</v>
      </c>
      <c r="J26" s="512">
        <v>0.80048453600000002</v>
      </c>
      <c r="K26" s="512">
        <v>7.5800000000000006E-2</v>
      </c>
      <c r="L26" s="512">
        <v>0.14449996998715745</v>
      </c>
      <c r="M26" s="512">
        <v>8.7173554331106629E-2</v>
      </c>
      <c r="N26" s="513">
        <v>1.0148579813307739</v>
      </c>
      <c r="O26" s="513">
        <v>5.4837121023102311</v>
      </c>
      <c r="P26" s="513">
        <v>15.36886270507868</v>
      </c>
      <c r="Q26" s="513">
        <v>23.367948504156718</v>
      </c>
      <c r="R26" s="513">
        <v>5.699401006896502</v>
      </c>
      <c r="S26" s="513">
        <v>20.882930259999998</v>
      </c>
      <c r="T26" s="512">
        <v>0.25087194172001104</v>
      </c>
      <c r="U26" s="512">
        <v>5.3594365491549195E-2</v>
      </c>
      <c r="V26" s="512">
        <v>0.23936246817779333</v>
      </c>
      <c r="W26" s="512">
        <v>1.1762436887227607</v>
      </c>
      <c r="X26" s="512">
        <v>0.104929834787929</v>
      </c>
      <c r="Y26" s="512">
        <v>1.2549442133929405</v>
      </c>
      <c r="Z26" s="512">
        <v>1.2549442133929405</v>
      </c>
      <c r="AA26" s="514">
        <v>0.25591611557226929</v>
      </c>
    </row>
    <row r="27" spans="1:27" ht="14">
      <c r="A27" s="125" t="s">
        <v>666</v>
      </c>
      <c r="B27" s="296">
        <v>29</v>
      </c>
      <c r="C27" s="512">
        <v>4.7660000000000001E-2</v>
      </c>
      <c r="D27" s="512">
        <v>9.2405384076573532E-2</v>
      </c>
      <c r="E27" s="512">
        <v>0.11855547063052679</v>
      </c>
      <c r="F27" s="512">
        <v>0.25611450384983275</v>
      </c>
      <c r="G27" s="513">
        <v>0.92211125641537239</v>
      </c>
      <c r="H27" s="513">
        <v>0.98317227600000001</v>
      </c>
      <c r="I27" s="512">
        <v>8.8371359550799999E-2</v>
      </c>
      <c r="J27" s="512">
        <v>0.55822687100000001</v>
      </c>
      <c r="K27" s="512">
        <v>5.7800000000000004E-2</v>
      </c>
      <c r="L27" s="512">
        <v>0.16279107677962734</v>
      </c>
      <c r="M27" s="512">
        <v>8.1042283951442515E-2</v>
      </c>
      <c r="N27" s="513">
        <v>1.859008910079772</v>
      </c>
      <c r="O27" s="513">
        <v>2.4903031810109364</v>
      </c>
      <c r="P27" s="513">
        <v>14.254583613223035</v>
      </c>
      <c r="Q27" s="513">
        <v>28.470503098246159</v>
      </c>
      <c r="R27" s="513">
        <v>3.3561827175807553</v>
      </c>
      <c r="S27" s="513">
        <v>33.921511270000003</v>
      </c>
      <c r="T27" s="512">
        <v>7.9872592727747618E-2</v>
      </c>
      <c r="U27" s="512">
        <v>3.1075975498548073E-2</v>
      </c>
      <c r="V27" s="512">
        <v>8.9103062021790337E-3</v>
      </c>
      <c r="W27" s="512">
        <v>0.30448848895763442</v>
      </c>
      <c r="X27" s="512">
        <v>4.2221737467675997E-2</v>
      </c>
      <c r="Y27" s="512">
        <v>0.71873518303549533</v>
      </c>
      <c r="Z27" s="512">
        <v>0.71873518303549533</v>
      </c>
      <c r="AA27" s="514">
        <v>8.5465634223736653E-2</v>
      </c>
    </row>
    <row r="28" spans="1:27" ht="14">
      <c r="A28" s="125" t="s">
        <v>667</v>
      </c>
      <c r="B28" s="296">
        <v>101</v>
      </c>
      <c r="C28" s="512">
        <v>0.1328885417</v>
      </c>
      <c r="D28" s="512">
        <v>7.1521814337808423E-2</v>
      </c>
      <c r="E28" s="512">
        <v>0.12226468202114389</v>
      </c>
      <c r="F28" s="512">
        <v>0.20188534158072283</v>
      </c>
      <c r="G28" s="513">
        <v>1.2010769114632169</v>
      </c>
      <c r="H28" s="513">
        <v>1.2697510590000001</v>
      </c>
      <c r="I28" s="512">
        <v>0.10078022085470001</v>
      </c>
      <c r="J28" s="512">
        <v>0.72115670200000004</v>
      </c>
      <c r="K28" s="512">
        <v>6.4100000000000004E-2</v>
      </c>
      <c r="L28" s="512">
        <v>0.12925340321647449</v>
      </c>
      <c r="M28" s="512">
        <v>9.3967891691954131E-2</v>
      </c>
      <c r="N28" s="513">
        <v>2.0875371987638252</v>
      </c>
      <c r="O28" s="513">
        <v>3.3071962896414302</v>
      </c>
      <c r="P28" s="513">
        <v>19.605829838383833</v>
      </c>
      <c r="Q28" s="513">
        <v>41.435042053449642</v>
      </c>
      <c r="R28" s="513">
        <v>4.0692397539918783</v>
      </c>
      <c r="S28" s="513">
        <v>55.433923579999998</v>
      </c>
      <c r="T28" s="512">
        <v>0.28872734680008882</v>
      </c>
      <c r="U28" s="512">
        <v>5.0657051700423394E-2</v>
      </c>
      <c r="V28" s="512">
        <v>0.10742964307899272</v>
      </c>
      <c r="W28" s="512">
        <v>2.0270788352061548</v>
      </c>
      <c r="X28" s="512">
        <v>4.777295470096294E-2</v>
      </c>
      <c r="Y28" s="512">
        <v>0.80268485357748776</v>
      </c>
      <c r="Z28" s="512">
        <v>0.80268485357748776</v>
      </c>
      <c r="AA28" s="514">
        <v>7.6432655460022147E-2</v>
      </c>
    </row>
    <row r="29" spans="1:27" ht="14">
      <c r="A29" s="125" t="s">
        <v>668</v>
      </c>
      <c r="B29" s="296">
        <v>11</v>
      </c>
      <c r="C29" s="512">
        <v>-6.9977142859999994E-2</v>
      </c>
      <c r="D29" s="512">
        <v>-5.2972320329844981E-2</v>
      </c>
      <c r="E29" s="512">
        <v>-5.8115332425485076E-2</v>
      </c>
      <c r="F29" s="512" t="e">
        <v>#DIV/0!</v>
      </c>
      <c r="G29" s="513">
        <v>0.95363638449259391</v>
      </c>
      <c r="H29" s="513">
        <v>0.91963520099999996</v>
      </c>
      <c r="I29" s="512">
        <v>8.5620204203299993E-2</v>
      </c>
      <c r="J29" s="512">
        <v>0.73198977099999996</v>
      </c>
      <c r="K29" s="512">
        <v>6.4100000000000004E-2</v>
      </c>
      <c r="L29" s="512">
        <v>0.11745374424986435</v>
      </c>
      <c r="M29" s="512">
        <v>8.1210379390996679E-2</v>
      </c>
      <c r="N29" s="513">
        <v>2.7373984741056008</v>
      </c>
      <c r="O29" s="513">
        <v>0.72469458925868457</v>
      </c>
      <c r="P29" s="513">
        <v>44.488990466151328</v>
      </c>
      <c r="Q29" s="513" t="s">
        <v>80</v>
      </c>
      <c r="R29" s="513">
        <v>2.2193725635789865</v>
      </c>
      <c r="S29" s="513" t="e">
        <v>#DIV/0!</v>
      </c>
      <c r="T29" s="512">
        <v>0.12810472748925761</v>
      </c>
      <c r="U29" s="512">
        <v>2.0722078882392671E-2</v>
      </c>
      <c r="V29" s="512">
        <v>2.1872119179560689E-3</v>
      </c>
      <c r="W29" s="512" t="s">
        <v>80</v>
      </c>
      <c r="X29" s="512">
        <v>-0.30964018341180377</v>
      </c>
      <c r="Y29" s="512" t="e">
        <v>#DIV/0!</v>
      </c>
      <c r="Z29" s="512" t="e">
        <v>#DIV/0!</v>
      </c>
      <c r="AA29" s="514">
        <v>-4.8685425816909919E-2</v>
      </c>
    </row>
    <row r="30" spans="1:27" ht="14">
      <c r="A30" s="125" t="s">
        <v>621</v>
      </c>
      <c r="B30" s="296">
        <v>122</v>
      </c>
      <c r="C30" s="512">
        <v>0.1058519753</v>
      </c>
      <c r="D30" s="512">
        <v>8.1549816833311639E-2</v>
      </c>
      <c r="E30" s="512">
        <v>0.13112417823624317</v>
      </c>
      <c r="F30" s="512">
        <v>0.19228954854163061</v>
      </c>
      <c r="G30" s="513">
        <v>1.0112705827294393</v>
      </c>
      <c r="H30" s="513">
        <v>1.058231623</v>
      </c>
      <c r="I30" s="512">
        <v>9.1621429275900002E-2</v>
      </c>
      <c r="J30" s="512">
        <v>0.61608559799999996</v>
      </c>
      <c r="K30" s="512">
        <v>5.7800000000000004E-2</v>
      </c>
      <c r="L30" s="512">
        <v>0.12603196762300251</v>
      </c>
      <c r="M30" s="512">
        <v>8.5537686064283719E-2</v>
      </c>
      <c r="N30" s="513">
        <v>2.1729517723710456</v>
      </c>
      <c r="O30" s="513">
        <v>2.4557308639937196</v>
      </c>
      <c r="P30" s="513">
        <v>17.283481209656799</v>
      </c>
      <c r="Q30" s="513">
        <v>28.931820005023166</v>
      </c>
      <c r="R30" s="513">
        <v>3.7528619810100485</v>
      </c>
      <c r="S30" s="513">
        <v>74.938247899999993</v>
      </c>
      <c r="T30" s="512">
        <v>0.22928356263952965</v>
      </c>
      <c r="U30" s="512">
        <v>3.3053712296310343E-2</v>
      </c>
      <c r="V30" s="512">
        <v>4.7231927571202502E-2</v>
      </c>
      <c r="W30" s="512">
        <v>0.54226763026249158</v>
      </c>
      <c r="X30" s="512">
        <v>0.10193122279662485</v>
      </c>
      <c r="Y30" s="512">
        <v>0.22225240003320335</v>
      </c>
      <c r="Z30" s="512">
        <v>0.22225240003320335</v>
      </c>
      <c r="AA30" s="514">
        <v>8.3700233399532128E-2</v>
      </c>
    </row>
    <row r="31" spans="1:27" ht="14">
      <c r="A31" s="125" t="s">
        <v>669</v>
      </c>
      <c r="B31" s="296">
        <v>42</v>
      </c>
      <c r="C31" s="512">
        <v>8.6511481480000013E-2</v>
      </c>
      <c r="D31" s="512">
        <v>5.5676521867050688E-2</v>
      </c>
      <c r="E31" s="512">
        <v>0.19158078820440533</v>
      </c>
      <c r="F31" s="512">
        <v>0.26452669039145904</v>
      </c>
      <c r="G31" s="513">
        <v>0.91716411763680838</v>
      </c>
      <c r="H31" s="513">
        <v>0.98791529099999997</v>
      </c>
      <c r="I31" s="512">
        <v>8.8576732100299996E-2</v>
      </c>
      <c r="J31" s="512">
        <v>0.47331965999999998</v>
      </c>
      <c r="K31" s="512">
        <v>5.7800000000000004E-2</v>
      </c>
      <c r="L31" s="512">
        <v>0.15199105524120338</v>
      </c>
      <c r="M31" s="512">
        <v>8.17026733632642E-2</v>
      </c>
      <c r="N31" s="513">
        <v>3.8629620708907382</v>
      </c>
      <c r="O31" s="513">
        <v>1.4093068695496445</v>
      </c>
      <c r="P31" s="513">
        <v>15.64699107043541</v>
      </c>
      <c r="Q31" s="513">
        <v>24.030910388290252</v>
      </c>
      <c r="R31" s="513">
        <v>4.8115469212701178</v>
      </c>
      <c r="S31" s="513">
        <v>44.734074960000001</v>
      </c>
      <c r="T31" s="512">
        <v>0.18589282923198996</v>
      </c>
      <c r="U31" s="512">
        <v>2.3582468326450841E-2</v>
      </c>
      <c r="V31" s="512">
        <v>3.8518528825321197E-2</v>
      </c>
      <c r="W31" s="512">
        <v>0.84197588607134954</v>
      </c>
      <c r="X31" s="512">
        <v>0.13082400113099374</v>
      </c>
      <c r="Y31" s="512">
        <v>8.2519841894833995E-2</v>
      </c>
      <c r="Z31" s="512">
        <v>8.2519841894833967E-2</v>
      </c>
      <c r="AA31" s="514">
        <v>5.8394090088025367E-2</v>
      </c>
    </row>
    <row r="32" spans="1:27" ht="14">
      <c r="A32" s="125" t="s">
        <v>476</v>
      </c>
      <c r="B32" s="296">
        <v>96</v>
      </c>
      <c r="C32" s="512">
        <v>0.13250965519999999</v>
      </c>
      <c r="D32" s="512">
        <v>8.3399915315478731E-2</v>
      </c>
      <c r="E32" s="512">
        <v>9.9413465588753788E-2</v>
      </c>
      <c r="F32" s="512">
        <v>0.18832506154081263</v>
      </c>
      <c r="G32" s="513">
        <v>0.93752432272456199</v>
      </c>
      <c r="H32" s="513">
        <v>1.040909254</v>
      </c>
      <c r="I32" s="512">
        <v>9.0871370698200005E-2</v>
      </c>
      <c r="J32" s="512">
        <v>0.62697912300000003</v>
      </c>
      <c r="K32" s="512">
        <v>5.7800000000000004E-2</v>
      </c>
      <c r="L32" s="512">
        <v>0.16899576961106283</v>
      </c>
      <c r="M32" s="512">
        <v>8.2840460084085091E-2</v>
      </c>
      <c r="N32" s="513">
        <v>1.4069695142199781</v>
      </c>
      <c r="O32" s="513">
        <v>3.9046945294667585</v>
      </c>
      <c r="P32" s="513">
        <v>19.610966871944829</v>
      </c>
      <c r="Q32" s="513">
        <v>45.584062443839649</v>
      </c>
      <c r="R32" s="513">
        <v>4.0679110721849066</v>
      </c>
      <c r="S32" s="513">
        <v>84.243189240000007</v>
      </c>
      <c r="T32" s="512">
        <v>1.5271225517126164E-2</v>
      </c>
      <c r="U32" s="512">
        <v>3.6993536255993935E-2</v>
      </c>
      <c r="V32" s="512">
        <v>-3.9181988163196985E-2</v>
      </c>
      <c r="W32" s="512">
        <v>-0.71185667131355135</v>
      </c>
      <c r="X32" s="512">
        <v>-3.9027958459762736E-2</v>
      </c>
      <c r="Y32" s="512">
        <v>8.1707031999999995E-4</v>
      </c>
      <c r="Z32" s="512">
        <v>8.1707032000000179E-4</v>
      </c>
      <c r="AA32" s="514">
        <v>8.2564197257796915E-2</v>
      </c>
    </row>
    <row r="33" spans="1:27" ht="14">
      <c r="A33" s="125" t="s">
        <v>670</v>
      </c>
      <c r="B33" s="296">
        <v>50</v>
      </c>
      <c r="C33" s="512">
        <v>0.19639523810000001</v>
      </c>
      <c r="D33" s="512">
        <v>0.14893092624522616</v>
      </c>
      <c r="E33" s="512">
        <v>0.31722930695398477</v>
      </c>
      <c r="F33" s="512">
        <v>0.22539063245351154</v>
      </c>
      <c r="G33" s="513">
        <v>0.81543659279537994</v>
      </c>
      <c r="H33" s="513">
        <v>0.92047027100000001</v>
      </c>
      <c r="I33" s="512">
        <v>8.5656362734299996E-2</v>
      </c>
      <c r="J33" s="512">
        <v>0.54475821899999999</v>
      </c>
      <c r="K33" s="512">
        <v>5.7800000000000004E-2</v>
      </c>
      <c r="L33" s="512">
        <v>0.16194219947983726</v>
      </c>
      <c r="M33" s="512">
        <v>7.8805177301115636E-2</v>
      </c>
      <c r="N33" s="513">
        <v>2.3193890855856671</v>
      </c>
      <c r="O33" s="513">
        <v>3.6831618180396508</v>
      </c>
      <c r="P33" s="513">
        <v>15.816653690727547</v>
      </c>
      <c r="Q33" s="513">
        <v>24.291419446245214</v>
      </c>
      <c r="R33" s="513">
        <v>6.6546338092261479</v>
      </c>
      <c r="S33" s="513">
        <v>86.590526499999996</v>
      </c>
      <c r="T33" s="512">
        <v>0.1012278675566884</v>
      </c>
      <c r="U33" s="512">
        <v>8.6852735522287727E-2</v>
      </c>
      <c r="V33" s="512">
        <v>6.417199514719471E-2</v>
      </c>
      <c r="W33" s="512">
        <v>0.58976439929739566</v>
      </c>
      <c r="X33" s="512">
        <v>0.22316956149771278</v>
      </c>
      <c r="Y33" s="512">
        <v>0.36332109073003871</v>
      </c>
      <c r="Z33" s="512">
        <v>0.36332109073003871</v>
      </c>
      <c r="AA33" s="514">
        <v>0.15120143810164249</v>
      </c>
    </row>
    <row r="34" spans="1:27" ht="14">
      <c r="A34" s="125" t="s">
        <v>671</v>
      </c>
      <c r="B34" s="296">
        <v>35</v>
      </c>
      <c r="C34" s="512">
        <v>0.22231052630000001</v>
      </c>
      <c r="D34" s="512">
        <v>7.2528629181504101E-2</v>
      </c>
      <c r="E34" s="512">
        <v>9.9660979261776875E-2</v>
      </c>
      <c r="F34" s="512">
        <v>0.23425644116474048</v>
      </c>
      <c r="G34" s="513">
        <v>0.73179852769055487</v>
      </c>
      <c r="H34" s="513">
        <v>0.98238815599999996</v>
      </c>
      <c r="I34" s="512">
        <v>8.8337407154799999E-2</v>
      </c>
      <c r="J34" s="512">
        <v>0.69591326099999995</v>
      </c>
      <c r="K34" s="512">
        <v>6.4100000000000004E-2</v>
      </c>
      <c r="L34" s="512">
        <v>0.34780955664976021</v>
      </c>
      <c r="M34" s="512">
        <v>7.4333757172636877E-2</v>
      </c>
      <c r="N34" s="513">
        <v>1.5671727482197484</v>
      </c>
      <c r="O34" s="513">
        <v>1.1820781626784913</v>
      </c>
      <c r="P34" s="513">
        <v>11.764311675282677</v>
      </c>
      <c r="Q34" s="513">
        <v>15.776928117367982</v>
      </c>
      <c r="R34" s="513">
        <v>2.503453363855312</v>
      </c>
      <c r="S34" s="513">
        <v>35.002915039999998</v>
      </c>
      <c r="T34" s="512">
        <v>0.14866693371867232</v>
      </c>
      <c r="U34" s="512">
        <v>3.9422638699233403E-2</v>
      </c>
      <c r="V34" s="512">
        <v>3.3604203348605408E-2</v>
      </c>
      <c r="W34" s="512">
        <v>0.44796406898590785</v>
      </c>
      <c r="X34" s="512">
        <v>0.15326132462871572</v>
      </c>
      <c r="Y34" s="512">
        <v>0.3057061550448788</v>
      </c>
      <c r="Z34" s="512">
        <v>0.30570615504487875</v>
      </c>
      <c r="AA34" s="514">
        <v>7.4664801377411744E-2</v>
      </c>
    </row>
    <row r="35" spans="1:27" ht="14">
      <c r="A35" s="125" t="s">
        <v>672</v>
      </c>
      <c r="B35" s="296">
        <v>166</v>
      </c>
      <c r="C35" s="512">
        <v>0.1479327</v>
      </c>
      <c r="D35" s="512">
        <v>0.16330571937089891</v>
      </c>
      <c r="E35" s="512" t="s">
        <v>80</v>
      </c>
      <c r="F35" s="512">
        <v>0.18619370304267924</v>
      </c>
      <c r="G35" s="513">
        <v>0.35059353202283133</v>
      </c>
      <c r="H35" s="513">
        <v>1.0734898980000001</v>
      </c>
      <c r="I35" s="512">
        <v>9.2282112583399994E-2</v>
      </c>
      <c r="J35" s="512">
        <v>0.41958469999999998</v>
      </c>
      <c r="K35" s="512">
        <v>5.5300000000000002E-2</v>
      </c>
      <c r="L35" s="512">
        <v>0.74137337086588562</v>
      </c>
      <c r="M35" s="512">
        <v>5.4615072263482181E-2</v>
      </c>
      <c r="N35" s="513">
        <v>6.8100315171778836E-2</v>
      </c>
      <c r="O35" s="513">
        <v>19.303479050947359</v>
      </c>
      <c r="P35" s="513">
        <v>62.824400976664812</v>
      </c>
      <c r="Q35" s="513">
        <v>79.267753301662992</v>
      </c>
      <c r="R35" s="513">
        <v>3.797377982567915</v>
      </c>
      <c r="S35" s="513">
        <v>30.21108272</v>
      </c>
      <c r="T35" s="512">
        <v>12.499751151458387</v>
      </c>
      <c r="U35" s="512">
        <v>2.6661393599936054E-2</v>
      </c>
      <c r="V35" s="512">
        <v>1.7918660321226597E-2</v>
      </c>
      <c r="W35" s="512">
        <v>0.14977712365084803</v>
      </c>
      <c r="X35" s="512">
        <v>0.31548808005079898</v>
      </c>
      <c r="Y35" s="512">
        <v>0.18129345640546582</v>
      </c>
      <c r="Z35" s="512">
        <v>0.18129345640546579</v>
      </c>
      <c r="AA35" s="514">
        <v>0.16436086630800309</v>
      </c>
    </row>
    <row r="36" spans="1:27" ht="14">
      <c r="A36" s="125" t="s">
        <v>673</v>
      </c>
      <c r="B36" s="296">
        <v>77</v>
      </c>
      <c r="C36" s="512">
        <v>0.1001784</v>
      </c>
      <c r="D36" s="512">
        <v>0.1196989866600123</v>
      </c>
      <c r="E36" s="512">
        <v>0.17900874498862601</v>
      </c>
      <c r="F36" s="512">
        <v>0.2415591084925007</v>
      </c>
      <c r="G36" s="513">
        <v>0.38277695500353215</v>
      </c>
      <c r="H36" s="513">
        <v>0.47424023500000001</v>
      </c>
      <c r="I36" s="512">
        <v>6.6334602175499996E-2</v>
      </c>
      <c r="J36" s="512">
        <v>0.462695731</v>
      </c>
      <c r="K36" s="512">
        <v>5.7800000000000004E-2</v>
      </c>
      <c r="L36" s="512">
        <v>0.26751648526721772</v>
      </c>
      <c r="M36" s="512">
        <v>6.0185842186244988E-2</v>
      </c>
      <c r="N36" s="513">
        <v>1.6975230664187548</v>
      </c>
      <c r="O36" s="513">
        <v>1.794561254105961</v>
      </c>
      <c r="P36" s="513">
        <v>11.167310604446802</v>
      </c>
      <c r="Q36" s="513">
        <v>14.755006763137271</v>
      </c>
      <c r="R36" s="513">
        <v>2.1753858995460424</v>
      </c>
      <c r="S36" s="513">
        <v>27.673228760000001</v>
      </c>
      <c r="T36" s="512">
        <v>5.6479430566397329E-2</v>
      </c>
      <c r="U36" s="512">
        <v>3.9880830498782931E-2</v>
      </c>
      <c r="V36" s="512">
        <v>4.3559980139493436E-2</v>
      </c>
      <c r="W36" s="512">
        <v>0.41589524150370255</v>
      </c>
      <c r="X36" s="512">
        <v>9.8024180351082332E-2</v>
      </c>
      <c r="Y36" s="512">
        <v>0.67956385055620316</v>
      </c>
      <c r="Z36" s="512">
        <v>0.67956385055620316</v>
      </c>
      <c r="AA36" s="514">
        <v>0.12132968898848751</v>
      </c>
    </row>
    <row r="37" spans="1:27" ht="14">
      <c r="A37" s="125" t="s">
        <v>674</v>
      </c>
      <c r="B37" s="296">
        <v>14</v>
      </c>
      <c r="C37" s="512">
        <v>0.11898</v>
      </c>
      <c r="D37" s="512">
        <v>2.6683235141223359E-2</v>
      </c>
      <c r="E37" s="512">
        <v>0.17303730342745285</v>
      </c>
      <c r="F37" s="512">
        <v>0.23847853631388988</v>
      </c>
      <c r="G37" s="513">
        <v>0.55477746241905745</v>
      </c>
      <c r="H37" s="513">
        <v>0.72463223499999996</v>
      </c>
      <c r="I37" s="512">
        <v>7.7176575775499995E-2</v>
      </c>
      <c r="J37" s="512">
        <v>0.39167025799999999</v>
      </c>
      <c r="K37" s="512">
        <v>5.5300000000000002E-2</v>
      </c>
      <c r="L37" s="512">
        <v>0.30206832360013081</v>
      </c>
      <c r="M37" s="512">
        <v>6.6392260631111671E-2</v>
      </c>
      <c r="N37" s="513">
        <v>7.7773250651796788</v>
      </c>
      <c r="O37" s="513">
        <v>0.44417810691387977</v>
      </c>
      <c r="P37" s="513">
        <v>10.770681593282227</v>
      </c>
      <c r="Q37" s="513">
        <v>16.860430568640545</v>
      </c>
      <c r="R37" s="513">
        <v>4.514160864716116</v>
      </c>
      <c r="S37" s="513">
        <v>29.303463270000002</v>
      </c>
      <c r="T37" s="512">
        <v>5.7112801074337201E-2</v>
      </c>
      <c r="U37" s="512">
        <v>9.9436102928435275E-3</v>
      </c>
      <c r="V37" s="512">
        <v>1.4365742505631607E-2</v>
      </c>
      <c r="W37" s="512">
        <v>0.72301943921643175</v>
      </c>
      <c r="X37" s="512">
        <v>0.20052924126260915</v>
      </c>
      <c r="Y37" s="512">
        <v>0.34499481755053701</v>
      </c>
      <c r="Z37" s="512">
        <v>0.34499481755053707</v>
      </c>
      <c r="AA37" s="514">
        <v>2.6340675628140704E-2</v>
      </c>
    </row>
    <row r="38" spans="1:27" ht="14">
      <c r="A38" s="125" t="s">
        <v>675</v>
      </c>
      <c r="B38" s="296">
        <v>28</v>
      </c>
      <c r="C38" s="512">
        <v>-2.8295238099999998E-3</v>
      </c>
      <c r="D38" s="512">
        <v>6.50643353627397E-2</v>
      </c>
      <c r="E38" s="512">
        <v>0.10653951148142196</v>
      </c>
      <c r="F38" s="512">
        <v>0.21164392773352858</v>
      </c>
      <c r="G38" s="513">
        <v>0.6901905810431348</v>
      </c>
      <c r="H38" s="513">
        <v>0.86624269300000001</v>
      </c>
      <c r="I38" s="512">
        <v>8.33083086069E-2</v>
      </c>
      <c r="J38" s="512">
        <v>0.54801471999999996</v>
      </c>
      <c r="K38" s="512">
        <v>5.7800000000000004E-2</v>
      </c>
      <c r="L38" s="512">
        <v>0.29543892347145978</v>
      </c>
      <c r="M38" s="512">
        <v>7.1503068928337091E-2</v>
      </c>
      <c r="N38" s="513">
        <v>1.9591798093994046</v>
      </c>
      <c r="O38" s="513">
        <v>1.183895108625572</v>
      </c>
      <c r="P38" s="513">
        <v>10.17923705680146</v>
      </c>
      <c r="Q38" s="513">
        <v>17.216244074133204</v>
      </c>
      <c r="R38" s="513">
        <v>2.3694622631620494</v>
      </c>
      <c r="S38" s="513">
        <v>30.847498000000002</v>
      </c>
      <c r="T38" s="512">
        <v>0.15734604061775348</v>
      </c>
      <c r="U38" s="512">
        <v>2.9978650800531234E-2</v>
      </c>
      <c r="V38" s="512">
        <v>1.1233594701056575E-2</v>
      </c>
      <c r="W38" s="512">
        <v>0.11503777765214553</v>
      </c>
      <c r="X38" s="512">
        <v>5.8499602451247169E-2</v>
      </c>
      <c r="Y38" s="512">
        <v>0.84338213996999845</v>
      </c>
      <c r="Z38" s="512">
        <v>0.84338213996999845</v>
      </c>
      <c r="AA38" s="514">
        <v>6.858572865571802E-2</v>
      </c>
    </row>
    <row r="39" spans="1:27" ht="14">
      <c r="A39" s="125" t="s">
        <v>676</v>
      </c>
      <c r="B39" s="296">
        <v>18</v>
      </c>
      <c r="C39" s="512">
        <v>0.1573</v>
      </c>
      <c r="D39" s="512">
        <v>0.21598234119080256</v>
      </c>
      <c r="E39" s="512">
        <v>3.6682308129760158E-2</v>
      </c>
      <c r="F39" s="512">
        <v>5.7241379310344835E-2</v>
      </c>
      <c r="G39" s="513">
        <v>0.50052544915350938</v>
      </c>
      <c r="H39" s="513">
        <v>1.130425266</v>
      </c>
      <c r="I39" s="512">
        <v>9.47474140178E-2</v>
      </c>
      <c r="J39" s="512">
        <v>0.71930256800000003</v>
      </c>
      <c r="K39" s="512">
        <v>6.4100000000000004E-2</v>
      </c>
      <c r="L39" s="512">
        <v>0.63791864194314463</v>
      </c>
      <c r="M39" s="512">
        <v>6.4974211051356839E-2</v>
      </c>
      <c r="N39" s="513">
        <v>0.1882582558306389</v>
      </c>
      <c r="O39" s="513">
        <v>6.3834981138408686</v>
      </c>
      <c r="P39" s="513">
        <v>11.304545504032925</v>
      </c>
      <c r="Q39" s="513">
        <v>31.905381263495403</v>
      </c>
      <c r="R39" s="513">
        <v>0.76045811451442613</v>
      </c>
      <c r="S39" s="513">
        <v>25.511222450000002</v>
      </c>
      <c r="T39" s="512">
        <v>-0.37543127021315381</v>
      </c>
      <c r="U39" s="512">
        <v>0.49500958753350577</v>
      </c>
      <c r="V39" s="512">
        <v>0.38159403354479288</v>
      </c>
      <c r="W39" s="512">
        <v>1.5993934098834703</v>
      </c>
      <c r="X39" s="512">
        <v>-0.11574516676108294</v>
      </c>
      <c r="Y39" s="512">
        <v>8.1832444000000002E-4</v>
      </c>
      <c r="Z39" s="512">
        <v>8.1832443999996229E-4</v>
      </c>
      <c r="AA39" s="514">
        <v>0.19738797017736939</v>
      </c>
    </row>
    <row r="40" spans="1:27" ht="14">
      <c r="A40" s="125" t="s">
        <v>677</v>
      </c>
      <c r="B40" s="296">
        <v>218</v>
      </c>
      <c r="C40" s="512">
        <v>0.1460585714</v>
      </c>
      <c r="D40" s="512">
        <v>0.14812121552106344</v>
      </c>
      <c r="E40" s="512">
        <v>0.14710425697558768</v>
      </c>
      <c r="F40" s="512">
        <v>0.15966032970482166</v>
      </c>
      <c r="G40" s="513">
        <v>0.95808770462580028</v>
      </c>
      <c r="H40" s="513">
        <v>1.0145166999999999</v>
      </c>
      <c r="I40" s="512">
        <v>8.9728573109999987E-2</v>
      </c>
      <c r="J40" s="512">
        <v>0.674052859</v>
      </c>
      <c r="K40" s="512">
        <v>6.4100000000000004E-2</v>
      </c>
      <c r="L40" s="512">
        <v>0.11340902578772541</v>
      </c>
      <c r="M40" s="512">
        <v>8.5004681963017095E-2</v>
      </c>
      <c r="N40" s="513">
        <v>1.3345092640558633</v>
      </c>
      <c r="O40" s="513">
        <v>5.2006861468857064</v>
      </c>
      <c r="P40" s="513">
        <v>21.197595157045289</v>
      </c>
      <c r="Q40" s="513">
        <v>33.633724884042003</v>
      </c>
      <c r="R40" s="513">
        <v>4.7566125929737719</v>
      </c>
      <c r="S40" s="513">
        <v>45.251638499999999</v>
      </c>
      <c r="T40" s="512">
        <v>0.26694130053252635</v>
      </c>
      <c r="U40" s="512">
        <v>4.7980860988146495E-2</v>
      </c>
      <c r="V40" s="512">
        <v>4.5760403063886256E-2</v>
      </c>
      <c r="W40" s="512">
        <v>0.55462867571351782</v>
      </c>
      <c r="X40" s="512">
        <v>8.8810773130419129E-2</v>
      </c>
      <c r="Y40" s="512">
        <v>0.3580752216461151</v>
      </c>
      <c r="Z40" s="512">
        <v>0.35807522164611516</v>
      </c>
      <c r="AA40" s="514">
        <v>0.15146903608253789</v>
      </c>
    </row>
    <row r="41" spans="1:27" ht="14">
      <c r="A41" s="125" t="s">
        <v>678</v>
      </c>
      <c r="B41" s="296">
        <v>113</v>
      </c>
      <c r="C41" s="512">
        <v>0.11339571429999999</v>
      </c>
      <c r="D41" s="512">
        <v>3.4369370202265159E-2</v>
      </c>
      <c r="E41" s="512">
        <v>0.44602956452982473</v>
      </c>
      <c r="F41" s="512">
        <v>0.23085871100828093</v>
      </c>
      <c r="G41" s="513">
        <v>0.81535000766413379</v>
      </c>
      <c r="H41" s="513">
        <v>0.94121293399999995</v>
      </c>
      <c r="I41" s="512">
        <v>8.6554520042199989E-2</v>
      </c>
      <c r="J41" s="512">
        <v>0.53996781900000002</v>
      </c>
      <c r="K41" s="512">
        <v>5.7800000000000004E-2</v>
      </c>
      <c r="L41" s="512">
        <v>0.24357689307995559</v>
      </c>
      <c r="M41" s="512">
        <v>7.603089728331025E-2</v>
      </c>
      <c r="N41" s="513">
        <v>14.649503528884146</v>
      </c>
      <c r="O41" s="513">
        <v>0.52599305157977083</v>
      </c>
      <c r="P41" s="513">
        <v>11.315758417060703</v>
      </c>
      <c r="Q41" s="513">
        <v>15.148910175226469</v>
      </c>
      <c r="R41" s="513">
        <v>2.8942971689889623</v>
      </c>
      <c r="S41" s="513">
        <v>38.829719060000002</v>
      </c>
      <c r="T41" s="512">
        <v>-6.9306453440280691E-2</v>
      </c>
      <c r="U41" s="512">
        <v>6.3339833947592033E-3</v>
      </c>
      <c r="V41" s="512">
        <v>7.4326015889880203E-3</v>
      </c>
      <c r="W41" s="512">
        <v>0.45953028085748876</v>
      </c>
      <c r="X41" s="512">
        <v>0.11660456386084155</v>
      </c>
      <c r="Y41" s="512">
        <v>0.42183664735852133</v>
      </c>
      <c r="Z41" s="512">
        <v>0.42183664735852133</v>
      </c>
      <c r="AA41" s="514">
        <v>3.427553986135274E-2</v>
      </c>
    </row>
    <row r="42" spans="1:27" ht="14">
      <c r="A42" s="125" t="s">
        <v>679</v>
      </c>
      <c r="B42" s="296">
        <v>116</v>
      </c>
      <c r="C42" s="512">
        <v>0.14727999999999999</v>
      </c>
      <c r="D42" s="512">
        <v>0.1335229870447581</v>
      </c>
      <c r="E42" s="512">
        <v>0.12742981260508918</v>
      </c>
      <c r="F42" s="512">
        <v>0.16510959748334217</v>
      </c>
      <c r="G42" s="513">
        <v>1.1234093966584342</v>
      </c>
      <c r="H42" s="513">
        <v>1.222923714</v>
      </c>
      <c r="I42" s="512">
        <v>9.8752596816199995E-2</v>
      </c>
      <c r="J42" s="512">
        <v>0.64543812099999998</v>
      </c>
      <c r="K42" s="512">
        <v>5.7800000000000004E-2</v>
      </c>
      <c r="L42" s="512">
        <v>0.1393804567634771</v>
      </c>
      <c r="M42" s="512">
        <v>9.1030557566075282E-2</v>
      </c>
      <c r="N42" s="513">
        <v>1.2215732596318463</v>
      </c>
      <c r="O42" s="513">
        <v>5.3118895412282914</v>
      </c>
      <c r="P42" s="513">
        <v>22.011352240502131</v>
      </c>
      <c r="Q42" s="513">
        <v>38.617519944721025</v>
      </c>
      <c r="R42" s="513">
        <v>3.9295596305680238</v>
      </c>
      <c r="S42" s="513">
        <v>54.467380570000003</v>
      </c>
      <c r="T42" s="512">
        <v>0.23103514749487791</v>
      </c>
      <c r="U42" s="512">
        <v>4.0037161297227453E-2</v>
      </c>
      <c r="V42" s="512">
        <v>5.3782455461152928E-2</v>
      </c>
      <c r="W42" s="512">
        <v>0.38026780252615516</v>
      </c>
      <c r="X42" s="512">
        <v>3.9337638391684818E-2</v>
      </c>
      <c r="Y42" s="512">
        <v>0.25671826180887403</v>
      </c>
      <c r="Z42" s="512">
        <v>0.25671826180887403</v>
      </c>
      <c r="AA42" s="514">
        <v>0.13495449256441597</v>
      </c>
    </row>
    <row r="43" spans="1:27" ht="14">
      <c r="A43" s="125" t="s">
        <v>680</v>
      </c>
      <c r="B43" s="296">
        <v>30</v>
      </c>
      <c r="C43" s="512">
        <v>9.0010909090000008E-2</v>
      </c>
      <c r="D43" s="512">
        <v>0.15524693667301681</v>
      </c>
      <c r="E43" s="512">
        <v>0.21045792739664068</v>
      </c>
      <c r="F43" s="512">
        <v>0.23178301071898474</v>
      </c>
      <c r="G43" s="513">
        <v>1.3762359491843439</v>
      </c>
      <c r="H43" s="513">
        <v>1.4274867099999999</v>
      </c>
      <c r="I43" s="512">
        <v>0.107610174543</v>
      </c>
      <c r="J43" s="512">
        <v>0.414320248</v>
      </c>
      <c r="K43" s="512">
        <v>5.5300000000000002E-2</v>
      </c>
      <c r="L43" s="512">
        <v>0.14894590395276014</v>
      </c>
      <c r="M43" s="512">
        <v>9.7759611187619291E-2</v>
      </c>
      <c r="N43" s="513">
        <v>1.6411183820582911</v>
      </c>
      <c r="O43" s="513">
        <v>1.2430969824286757</v>
      </c>
      <c r="P43" s="513">
        <v>7.6474289009448482</v>
      </c>
      <c r="Q43" s="513">
        <v>7.9742936724505444</v>
      </c>
      <c r="R43" s="513">
        <v>1.7480275947698287</v>
      </c>
      <c r="S43" s="513">
        <v>10.85248606</v>
      </c>
      <c r="T43" s="512">
        <v>0.63170581125646763</v>
      </c>
      <c r="U43" s="512">
        <v>5.7858922929052833E-3</v>
      </c>
      <c r="V43" s="512">
        <v>7.2897973513516611E-3</v>
      </c>
      <c r="W43" s="512">
        <v>0.51379466127995499</v>
      </c>
      <c r="X43" s="512">
        <v>0.20149423065772437</v>
      </c>
      <c r="Y43" s="512">
        <v>7.297285112579148E-2</v>
      </c>
      <c r="Z43" s="512">
        <v>7.2972851125791438E-2</v>
      </c>
      <c r="AA43" s="514">
        <v>0.15587402563467992</v>
      </c>
    </row>
    <row r="44" spans="1:27" ht="14">
      <c r="A44" s="125" t="s">
        <v>681</v>
      </c>
      <c r="B44" s="296">
        <v>33</v>
      </c>
      <c r="C44" s="512">
        <v>1.566052632E-2</v>
      </c>
      <c r="D44" s="512">
        <v>0.12448735406100417</v>
      </c>
      <c r="E44" s="512">
        <v>0.21189861748431305</v>
      </c>
      <c r="F44" s="512">
        <v>0.22234896117336775</v>
      </c>
      <c r="G44" s="513">
        <v>0.56526133752473384</v>
      </c>
      <c r="H44" s="513">
        <v>0.85708161400000005</v>
      </c>
      <c r="I44" s="512">
        <v>8.2911633886200001E-2</v>
      </c>
      <c r="J44" s="512">
        <v>0.50809905899999996</v>
      </c>
      <c r="K44" s="512">
        <v>5.7800000000000004E-2</v>
      </c>
      <c r="L44" s="512">
        <v>0.43551540447634884</v>
      </c>
      <c r="M44" s="512">
        <v>6.5681932902506374E-2</v>
      </c>
      <c r="N44" s="513">
        <v>1.9243115204339636</v>
      </c>
      <c r="O44" s="513">
        <v>1.484022296092266</v>
      </c>
      <c r="P44" s="513">
        <v>8.1121464726340911</v>
      </c>
      <c r="Q44" s="513">
        <v>12.21014652807294</v>
      </c>
      <c r="R44" s="513">
        <v>4.2817270241798324</v>
      </c>
      <c r="S44" s="513">
        <v>19.903760009999999</v>
      </c>
      <c r="T44" s="512">
        <v>0.10773432975924571</v>
      </c>
      <c r="U44" s="512">
        <v>5.8403459825719671E-2</v>
      </c>
      <c r="V44" s="512">
        <v>2.9405357811535238E-2</v>
      </c>
      <c r="W44" s="512">
        <v>0.33957033590823871</v>
      </c>
      <c r="X44" s="512">
        <v>0.76100911879092092</v>
      </c>
      <c r="Y44" s="512">
        <v>0.23156761774438134</v>
      </c>
      <c r="Z44" s="512">
        <v>0.23156761774438128</v>
      </c>
      <c r="AA44" s="514">
        <v>0.12143678731352776</v>
      </c>
    </row>
    <row r="45" spans="1:27" ht="14">
      <c r="A45" s="125" t="s">
        <v>682</v>
      </c>
      <c r="B45" s="296">
        <v>65</v>
      </c>
      <c r="C45" s="512">
        <v>0.11904536589999999</v>
      </c>
      <c r="D45" s="512">
        <v>0.18146969754607978</v>
      </c>
      <c r="E45" s="512">
        <v>0.12172347058770536</v>
      </c>
      <c r="F45" s="512">
        <v>0.14872131335374356</v>
      </c>
      <c r="G45" s="513">
        <v>0.95072144988934681</v>
      </c>
      <c r="H45" s="513">
        <v>1.193760779</v>
      </c>
      <c r="I45" s="512">
        <v>9.7489841730699994E-2</v>
      </c>
      <c r="J45" s="512">
        <v>0.45095328800000001</v>
      </c>
      <c r="K45" s="512">
        <v>5.7800000000000004E-2</v>
      </c>
      <c r="L45" s="512">
        <v>0.30173037284463239</v>
      </c>
      <c r="M45" s="512">
        <v>8.1154207099546488E-2</v>
      </c>
      <c r="N45" s="513">
        <v>0.97629779651195581</v>
      </c>
      <c r="O45" s="513">
        <v>4.2829604461317201</v>
      </c>
      <c r="P45" s="513">
        <v>15.417626243502292</v>
      </c>
      <c r="Q45" s="513">
        <v>28.231252598870075</v>
      </c>
      <c r="R45" s="513">
        <v>14.590953327578633</v>
      </c>
      <c r="S45" s="513">
        <v>33.744807559999998</v>
      </c>
      <c r="T45" s="512">
        <v>2.2883649863753179E-2</v>
      </c>
      <c r="U45" s="512">
        <v>7.7795834555208956E-2</v>
      </c>
      <c r="V45" s="512">
        <v>2.0250230278927431E-2</v>
      </c>
      <c r="W45" s="512">
        <v>0.2541720868564456</v>
      </c>
      <c r="X45" s="512">
        <v>0.42051076746422322</v>
      </c>
      <c r="Y45" s="512">
        <v>0.15158277264503262</v>
      </c>
      <c r="Z45" s="512">
        <v>0.15158277264503262</v>
      </c>
      <c r="AA45" s="514">
        <v>0.1490485912543498</v>
      </c>
    </row>
    <row r="46" spans="1:27" ht="14">
      <c r="A46" s="125" t="s">
        <v>683</v>
      </c>
      <c r="B46" s="296">
        <v>101</v>
      </c>
      <c r="C46" s="512">
        <v>3.1504090910000004E-2</v>
      </c>
      <c r="D46" s="512">
        <v>0.18381524828445367</v>
      </c>
      <c r="E46" s="512">
        <v>0.33557667664941937</v>
      </c>
      <c r="F46" s="512">
        <v>0.2249200888022358</v>
      </c>
      <c r="G46" s="513">
        <v>0.82892968138835121</v>
      </c>
      <c r="H46" s="513">
        <v>0.89526497900000002</v>
      </c>
      <c r="I46" s="512">
        <v>8.4564973590700004E-2</v>
      </c>
      <c r="J46" s="512">
        <v>0.56670353699999998</v>
      </c>
      <c r="K46" s="512">
        <v>5.7800000000000004E-2</v>
      </c>
      <c r="L46" s="512">
        <v>0.1321202007981977</v>
      </c>
      <c r="M46" s="512">
        <v>7.91196430040043E-2</v>
      </c>
      <c r="N46" s="513">
        <v>2.2174325440773912</v>
      </c>
      <c r="O46" s="513">
        <v>3.5277078107468967</v>
      </c>
      <c r="P46" s="513">
        <v>15.311705988267818</v>
      </c>
      <c r="Q46" s="513">
        <v>18.971627471249754</v>
      </c>
      <c r="R46" s="513">
        <v>7.331355612163251</v>
      </c>
      <c r="S46" s="513">
        <v>32.173838099999998</v>
      </c>
      <c r="T46" s="512">
        <v>6.8959790546585215E-2</v>
      </c>
      <c r="U46" s="512">
        <v>3.5264087119431374E-2</v>
      </c>
      <c r="V46" s="512">
        <v>2.1758104872275021E-3</v>
      </c>
      <c r="W46" s="512">
        <v>1.2952164540033463E-2</v>
      </c>
      <c r="X46" s="512">
        <v>0.2624495610799743</v>
      </c>
      <c r="Y46" s="512">
        <v>0.73878638107484274</v>
      </c>
      <c r="Z46" s="512">
        <v>0.73878638107484274</v>
      </c>
      <c r="AA46" s="514">
        <v>0.18562429495005234</v>
      </c>
    </row>
    <row r="47" spans="1:27" ht="14">
      <c r="A47" s="125" t="s">
        <v>684</v>
      </c>
      <c r="B47" s="296">
        <v>16</v>
      </c>
      <c r="C47" s="512">
        <v>2.5249999999999998E-2</v>
      </c>
      <c r="D47" s="512">
        <v>0.11538316523706287</v>
      </c>
      <c r="E47" s="512">
        <v>0.24548990546783805</v>
      </c>
      <c r="F47" s="512">
        <v>0.23243235864253148</v>
      </c>
      <c r="G47" s="513">
        <v>0.80315905452092262</v>
      </c>
      <c r="H47" s="513">
        <v>0.98448932499999997</v>
      </c>
      <c r="I47" s="512">
        <v>8.8428387772500006E-2</v>
      </c>
      <c r="J47" s="512">
        <v>0.39658065399999998</v>
      </c>
      <c r="K47" s="512">
        <v>5.5300000000000002E-2</v>
      </c>
      <c r="L47" s="512">
        <v>0.26126941661306691</v>
      </c>
      <c r="M47" s="512">
        <v>7.6160903541171818E-2</v>
      </c>
      <c r="N47" s="513">
        <v>2.7320131450914822</v>
      </c>
      <c r="O47" s="513">
        <v>2.2692123222760889</v>
      </c>
      <c r="P47" s="513">
        <v>11.747539906963985</v>
      </c>
      <c r="Q47" s="513">
        <v>18.678481750561183</v>
      </c>
      <c r="R47" s="513">
        <v>3.7266775487361254</v>
      </c>
      <c r="S47" s="513">
        <v>21.27761649</v>
      </c>
      <c r="T47" s="512">
        <v>0.16870250399329484</v>
      </c>
      <c r="U47" s="512">
        <v>2.0095380515778288E-2</v>
      </c>
      <c r="V47" s="512">
        <v>3.7257759220243887E-2</v>
      </c>
      <c r="W47" s="512">
        <v>0.44710104163213887</v>
      </c>
      <c r="X47" s="512">
        <v>0.15903366676862801</v>
      </c>
      <c r="Y47" s="512">
        <v>0.34174987723031597</v>
      </c>
      <c r="Z47" s="512">
        <v>0.34174987723031602</v>
      </c>
      <c r="AA47" s="514">
        <v>0.12244160335564143</v>
      </c>
    </row>
    <row r="48" spans="1:27" ht="14">
      <c r="A48" s="125" t="s">
        <v>685</v>
      </c>
      <c r="B48" s="296">
        <v>22</v>
      </c>
      <c r="C48" s="512">
        <v>0.12980249999999999</v>
      </c>
      <c r="D48" s="512">
        <v>0.16431072926981199</v>
      </c>
      <c r="E48" s="512">
        <v>0.17446771472463615</v>
      </c>
      <c r="F48" s="512">
        <v>0.16954804866527337</v>
      </c>
      <c r="G48" s="513">
        <v>0.68968266412365709</v>
      </c>
      <c r="H48" s="513">
        <v>0.76036446899999999</v>
      </c>
      <c r="I48" s="512">
        <v>7.87237815077E-2</v>
      </c>
      <c r="J48" s="512">
        <v>0.51007178200000003</v>
      </c>
      <c r="K48" s="512">
        <v>5.7800000000000004E-2</v>
      </c>
      <c r="L48" s="512">
        <v>0.14787928662976846</v>
      </c>
      <c r="M48" s="512">
        <v>7.3492731932944033E-2</v>
      </c>
      <c r="N48" s="513">
        <v>1.1641427939095834</v>
      </c>
      <c r="O48" s="513">
        <v>3.1145339415711861</v>
      </c>
      <c r="P48" s="513">
        <v>13.017606684305473</v>
      </c>
      <c r="Q48" s="513">
        <v>18.82666484490262</v>
      </c>
      <c r="R48" s="513">
        <v>3.0936129105054291</v>
      </c>
      <c r="S48" s="513">
        <v>58.243583919999999</v>
      </c>
      <c r="T48" s="512">
        <v>-0.10194221183914387</v>
      </c>
      <c r="U48" s="512">
        <v>7.5406225186431097E-3</v>
      </c>
      <c r="V48" s="512">
        <v>4.719125790251846E-3</v>
      </c>
      <c r="W48" s="512">
        <v>0.24090411691201394</v>
      </c>
      <c r="X48" s="512">
        <v>5.6253148628835681E-2</v>
      </c>
      <c r="Y48" s="512">
        <v>0.83522966291006751</v>
      </c>
      <c r="Z48" s="512">
        <v>0.83522966291006751</v>
      </c>
      <c r="AA48" s="514">
        <v>0.16494256638950247</v>
      </c>
    </row>
    <row r="49" spans="1:27" ht="14">
      <c r="A49" s="125" t="s">
        <v>686</v>
      </c>
      <c r="B49" s="296">
        <v>19</v>
      </c>
      <c r="C49" s="512">
        <v>3.7047333330000001E-2</v>
      </c>
      <c r="D49" s="512">
        <v>8.2066576475170308E-2</v>
      </c>
      <c r="E49" s="512">
        <v>6.9645057867869176E-2</v>
      </c>
      <c r="F49" s="512">
        <v>0.21271817055092468</v>
      </c>
      <c r="G49" s="513">
        <v>0.62053481109568231</v>
      </c>
      <c r="H49" s="513">
        <v>0.73167226200000002</v>
      </c>
      <c r="I49" s="512">
        <v>7.7481408944599997E-2</v>
      </c>
      <c r="J49" s="512">
        <v>0.343126708</v>
      </c>
      <c r="K49" s="512">
        <v>5.5300000000000002E-2</v>
      </c>
      <c r="L49" s="512">
        <v>0.38547717601130227</v>
      </c>
      <c r="M49" s="512">
        <v>6.3601760106327496E-2</v>
      </c>
      <c r="N49" s="513">
        <v>0.98725425630591079</v>
      </c>
      <c r="O49" s="513">
        <v>1.2376599868418128</v>
      </c>
      <c r="P49" s="513">
        <v>11.698376152776595</v>
      </c>
      <c r="Q49" s="513">
        <v>14.398949767417532</v>
      </c>
      <c r="R49" s="513">
        <v>1.5262221547976622</v>
      </c>
      <c r="S49" s="513">
        <v>46.464030950000001</v>
      </c>
      <c r="T49" s="512">
        <v>0.20134002715625879</v>
      </c>
      <c r="U49" s="512">
        <v>1.602865652273081E-3</v>
      </c>
      <c r="V49" s="512">
        <v>-1.1900991639857614E-2</v>
      </c>
      <c r="W49" s="512">
        <v>-1.2846672585224567E-2</v>
      </c>
      <c r="X49" s="512">
        <v>0.11889819319599934</v>
      </c>
      <c r="Y49" s="512">
        <v>0.41553641065353875</v>
      </c>
      <c r="Z49" s="512">
        <v>0.41553641065353875</v>
      </c>
      <c r="AA49" s="514">
        <v>8.2514509207025716E-2</v>
      </c>
    </row>
    <row r="50" spans="1:27" ht="14">
      <c r="A50" s="125" t="s">
        <v>687</v>
      </c>
      <c r="B50" s="296">
        <v>53</v>
      </c>
      <c r="C50" s="512">
        <v>9.1218666670000004E-2</v>
      </c>
      <c r="D50" s="512">
        <v>0.13631717261708118</v>
      </c>
      <c r="E50" s="512">
        <v>0.21986027180636247</v>
      </c>
      <c r="F50" s="512">
        <v>0.20317549016972772</v>
      </c>
      <c r="G50" s="513">
        <v>0.56901977161257522</v>
      </c>
      <c r="H50" s="513">
        <v>0.60566358099999995</v>
      </c>
      <c r="I50" s="512">
        <v>7.2025233057299992E-2</v>
      </c>
      <c r="J50" s="512">
        <v>0.33688354599999998</v>
      </c>
      <c r="K50" s="512">
        <v>5.5300000000000002E-2</v>
      </c>
      <c r="L50" s="512">
        <v>0.13391402267010999</v>
      </c>
      <c r="M50" s="512">
        <v>6.7934128455087575E-2</v>
      </c>
      <c r="N50" s="513">
        <v>1.9113389894888644</v>
      </c>
      <c r="O50" s="513">
        <v>1.5092144680220723</v>
      </c>
      <c r="P50" s="513">
        <v>10.216278469520937</v>
      </c>
      <c r="Q50" s="513">
        <v>10.963945562667854</v>
      </c>
      <c r="R50" s="513">
        <v>2.332330037266932</v>
      </c>
      <c r="S50" s="513">
        <v>16.589025759999998</v>
      </c>
      <c r="T50" s="512">
        <v>-0.38805051280630365</v>
      </c>
      <c r="U50" s="512">
        <v>7.6276047938650801E-3</v>
      </c>
      <c r="V50" s="512">
        <v>6.1452887252948212E-3</v>
      </c>
      <c r="W50" s="512">
        <v>0.22655292465289151</v>
      </c>
      <c r="X50" s="512">
        <v>0.22604897277800795</v>
      </c>
      <c r="Y50" s="512">
        <v>0.16875745077000159</v>
      </c>
      <c r="Z50" s="512">
        <v>0.16875745077000159</v>
      </c>
      <c r="AA50" s="514">
        <v>0.13702141254052255</v>
      </c>
    </row>
    <row r="51" spans="1:27" ht="14">
      <c r="A51" s="125" t="s">
        <v>688</v>
      </c>
      <c r="B51" s="296">
        <v>231</v>
      </c>
      <c r="C51" s="512">
        <v>8.3659454549999998E-2</v>
      </c>
      <c r="D51" s="512">
        <v>0.1448782157009349</v>
      </c>
      <c r="E51" s="512">
        <v>6.7976860127936675E-2</v>
      </c>
      <c r="F51" s="512">
        <v>0.18718662032410249</v>
      </c>
      <c r="G51" s="513">
        <v>0.49932623482699845</v>
      </c>
      <c r="H51" s="513">
        <v>0.56713615500000003</v>
      </c>
      <c r="I51" s="512">
        <v>7.0356995511500001E-2</v>
      </c>
      <c r="J51" s="512">
        <v>0.22941033299999999</v>
      </c>
      <c r="K51" s="512">
        <v>5.0799999999999998E-2</v>
      </c>
      <c r="L51" s="512">
        <v>0.25950157646332855</v>
      </c>
      <c r="M51" s="512">
        <v>6.1986254324295234E-2</v>
      </c>
      <c r="N51" s="513">
        <v>0.51654500449476859</v>
      </c>
      <c r="O51" s="513">
        <v>6.0123897466073668</v>
      </c>
      <c r="P51" s="513">
        <v>41.40436735972429</v>
      </c>
      <c r="Q51" s="513">
        <v>41.450814316315054</v>
      </c>
      <c r="R51" s="513">
        <v>2.5278122168665753</v>
      </c>
      <c r="S51" s="513">
        <v>56.097872019999997</v>
      </c>
      <c r="T51" s="512" t="s">
        <v>80</v>
      </c>
      <c r="U51" s="512">
        <v>2.4697760708194686E-2</v>
      </c>
      <c r="V51" s="512">
        <v>5.4996961891315664E-2</v>
      </c>
      <c r="W51" s="512">
        <v>0.48858293195856894</v>
      </c>
      <c r="X51" s="512">
        <v>0.13317232180589358</v>
      </c>
      <c r="Y51" s="512">
        <v>0.59629398888992691</v>
      </c>
      <c r="Z51" s="512">
        <v>0.59629398888992691</v>
      </c>
      <c r="AA51" s="514">
        <v>0.14125835342517715</v>
      </c>
    </row>
    <row r="52" spans="1:27" ht="14">
      <c r="A52" s="125" t="s">
        <v>689</v>
      </c>
      <c r="B52" s="296">
        <v>109</v>
      </c>
      <c r="C52" s="512">
        <v>6.2251029410000006E-2</v>
      </c>
      <c r="D52" s="512">
        <v>0.1578997061601933</v>
      </c>
      <c r="E52" s="512">
        <v>0.24758722695935681</v>
      </c>
      <c r="F52" s="512">
        <v>0.21009485897951116</v>
      </c>
      <c r="G52" s="513">
        <v>0.98352420992502732</v>
      </c>
      <c r="H52" s="513">
        <v>1.067242281</v>
      </c>
      <c r="I52" s="512">
        <v>9.2011590767300006E-2</v>
      </c>
      <c r="J52" s="512">
        <v>0.46073330099999998</v>
      </c>
      <c r="K52" s="512">
        <v>5.7800000000000004E-2</v>
      </c>
      <c r="L52" s="512">
        <v>0.13568778466035222</v>
      </c>
      <c r="M52" s="512">
        <v>8.540880731803642E-2</v>
      </c>
      <c r="N52" s="513">
        <v>1.9682598139763747</v>
      </c>
      <c r="O52" s="513">
        <v>3.2279049143312166</v>
      </c>
      <c r="P52" s="513">
        <v>15.350424128173863</v>
      </c>
      <c r="Q52" s="513">
        <v>20.022926217249612</v>
      </c>
      <c r="R52" s="513">
        <v>4.2734116125109471</v>
      </c>
      <c r="S52" s="513">
        <v>33.326767439999998</v>
      </c>
      <c r="T52" s="512">
        <v>0.25444086633490209</v>
      </c>
      <c r="U52" s="512">
        <v>2.385872521610842E-2</v>
      </c>
      <c r="V52" s="512">
        <v>5.0323075010880923E-2</v>
      </c>
      <c r="W52" s="512">
        <v>0.35902577677855047</v>
      </c>
      <c r="X52" s="512">
        <v>0.16564120986417863</v>
      </c>
      <c r="Y52" s="512">
        <v>0.34237039342996284</v>
      </c>
      <c r="Z52" s="512">
        <v>0.34237039342996289</v>
      </c>
      <c r="AA52" s="514">
        <v>0.15989798855104875</v>
      </c>
    </row>
    <row r="53" spans="1:27" ht="14">
      <c r="A53" s="125" t="s">
        <v>622</v>
      </c>
      <c r="B53" s="296">
        <v>64</v>
      </c>
      <c r="C53" s="512">
        <v>1.841384615E-2</v>
      </c>
      <c r="D53" s="512">
        <v>0.22622928199945197</v>
      </c>
      <c r="E53" s="512">
        <v>0.27131917252639576</v>
      </c>
      <c r="F53" s="512">
        <v>0.36243196321321319</v>
      </c>
      <c r="G53" s="513">
        <v>0.96159826943114413</v>
      </c>
      <c r="H53" s="513">
        <v>1.022250551</v>
      </c>
      <c r="I53" s="512">
        <v>9.0063448858300005E-2</v>
      </c>
      <c r="J53" s="512">
        <v>0.72372346399999998</v>
      </c>
      <c r="K53" s="512">
        <v>6.4100000000000004E-2</v>
      </c>
      <c r="L53" s="512">
        <v>0.14354306825231161</v>
      </c>
      <c r="M53" s="512">
        <v>8.4036298078024346E-2</v>
      </c>
      <c r="N53" s="513">
        <v>1.2286156999263649</v>
      </c>
      <c r="O53" s="513">
        <v>2.8868180554956622</v>
      </c>
      <c r="P53" s="513">
        <v>8.6804332288435297</v>
      </c>
      <c r="Q53" s="513">
        <v>12.272594960246712</v>
      </c>
      <c r="R53" s="513">
        <v>3.1156411055280255</v>
      </c>
      <c r="S53" s="513">
        <v>74.863843669999994</v>
      </c>
      <c r="T53" s="512">
        <v>0.16545695284640777</v>
      </c>
      <c r="U53" s="512">
        <v>0.13377770985457035</v>
      </c>
      <c r="V53" s="512">
        <v>5.8526633659342263E-2</v>
      </c>
      <c r="W53" s="512">
        <v>0.57078145905421618</v>
      </c>
      <c r="X53" s="512">
        <v>0.12502993777199908</v>
      </c>
      <c r="Y53" s="512">
        <v>0.6906320072824792</v>
      </c>
      <c r="Z53" s="512">
        <v>0.6906320072824792</v>
      </c>
      <c r="AA53" s="514">
        <v>0.22647118253788354</v>
      </c>
    </row>
    <row r="54" spans="1:27" ht="14">
      <c r="A54" s="125" t="s">
        <v>690</v>
      </c>
      <c r="B54" s="296">
        <v>14</v>
      </c>
      <c r="C54" s="512">
        <v>0.1414766667</v>
      </c>
      <c r="D54" s="512">
        <v>8.166045516693865E-2</v>
      </c>
      <c r="E54" s="512">
        <v>0.15003946621251396</v>
      </c>
      <c r="F54" s="512">
        <v>0.21647969820311724</v>
      </c>
      <c r="G54" s="513">
        <v>0.96381439719057094</v>
      </c>
      <c r="H54" s="513">
        <v>1.2004955909999999</v>
      </c>
      <c r="I54" s="512">
        <v>9.7781459090300005E-2</v>
      </c>
      <c r="J54" s="512">
        <v>0.49892003800000001</v>
      </c>
      <c r="K54" s="512">
        <v>5.7800000000000004E-2</v>
      </c>
      <c r="L54" s="512">
        <v>0.31743720141192583</v>
      </c>
      <c r="M54" s="512">
        <v>8.050288904790745E-2</v>
      </c>
      <c r="N54" s="513">
        <v>2.3287714864040083</v>
      </c>
      <c r="O54" s="513">
        <v>1.2000344991840515</v>
      </c>
      <c r="P54" s="513">
        <v>8.7653944889597302</v>
      </c>
      <c r="Q54" s="513">
        <v>14.162061901038948</v>
      </c>
      <c r="R54" s="513">
        <v>2.8565260458936685</v>
      </c>
      <c r="S54" s="513">
        <v>14.811538349999999</v>
      </c>
      <c r="T54" s="512">
        <v>6.5899803731310352E-2</v>
      </c>
      <c r="U54" s="512">
        <v>2.1693864949499403E-2</v>
      </c>
      <c r="V54" s="512">
        <v>-2.2258743880386308E-3</v>
      </c>
      <c r="W54" s="512">
        <v>-0.22156951066114761</v>
      </c>
      <c r="X54" s="512">
        <v>3.3707708162302841E-2</v>
      </c>
      <c r="Y54" s="512">
        <v>2.0125919784433619</v>
      </c>
      <c r="Z54" s="512">
        <v>2.0125919784433619</v>
      </c>
      <c r="AA54" s="514">
        <v>8.4755857628015699E-2</v>
      </c>
    </row>
    <row r="55" spans="1:27" ht="14">
      <c r="A55" s="125" t="s">
        <v>691</v>
      </c>
      <c r="B55" s="296">
        <v>4</v>
      </c>
      <c r="C55" s="512">
        <v>1.9500000000000001E-3</v>
      </c>
      <c r="D55" s="512">
        <v>0.13434037495005738</v>
      </c>
      <c r="E55" s="512">
        <v>0.12903399917583033</v>
      </c>
      <c r="F55" s="512">
        <v>0.30257394807397847</v>
      </c>
      <c r="G55" s="513">
        <v>0.45577993390039784</v>
      </c>
      <c r="H55" s="513">
        <v>0.483682004</v>
      </c>
      <c r="I55" s="512">
        <v>6.6743430773199997E-2</v>
      </c>
      <c r="J55" s="512">
        <v>0.25559529800000003</v>
      </c>
      <c r="K55" s="512">
        <v>5.0799999999999998E-2</v>
      </c>
      <c r="L55" s="512">
        <v>0.12058731670495794</v>
      </c>
      <c r="M55" s="512">
        <v>6.3289396315035593E-2</v>
      </c>
      <c r="N55" s="513">
        <v>1.2679674608622964</v>
      </c>
      <c r="O55" s="513">
        <v>1.5157081668506258</v>
      </c>
      <c r="P55" s="513">
        <v>6.6954772325457128</v>
      </c>
      <c r="Q55" s="513">
        <v>11.055014607556419</v>
      </c>
      <c r="R55" s="513">
        <v>1.6638981685489767</v>
      </c>
      <c r="S55" s="513">
        <v>10.826689849999999</v>
      </c>
      <c r="T55" s="512">
        <v>3.6147155346375519E-2</v>
      </c>
      <c r="U55" s="512">
        <v>8.3827163191515022E-2</v>
      </c>
      <c r="V55" s="512">
        <v>1.9303910862444831E-2</v>
      </c>
      <c r="W55" s="512">
        <v>0.28275163660496072</v>
      </c>
      <c r="X55" s="512">
        <v>0.14204315331349052</v>
      </c>
      <c r="Y55" s="512">
        <v>0.52371705899500776</v>
      </c>
      <c r="Z55" s="512">
        <v>0.52371705899500776</v>
      </c>
      <c r="AA55" s="514">
        <v>0.13718197508137822</v>
      </c>
    </row>
    <row r="56" spans="1:27" ht="14">
      <c r="A56" s="125" t="s">
        <v>623</v>
      </c>
      <c r="B56" s="296">
        <v>147</v>
      </c>
      <c r="C56" s="512">
        <v>5.3528533329999996E-2</v>
      </c>
      <c r="D56" s="512">
        <v>0.29540457886334792</v>
      </c>
      <c r="E56" s="512">
        <v>0.18619988925264025</v>
      </c>
      <c r="F56" s="512">
        <v>0.23663744833137312</v>
      </c>
      <c r="G56" s="513">
        <v>0.75453510317064021</v>
      </c>
      <c r="H56" s="513">
        <v>0.87592934300000003</v>
      </c>
      <c r="I56" s="512">
        <v>8.3727740551899993E-2</v>
      </c>
      <c r="J56" s="512">
        <v>0.47658850899999999</v>
      </c>
      <c r="K56" s="512">
        <v>5.7800000000000004E-2</v>
      </c>
      <c r="L56" s="512">
        <v>0.21040224261825277</v>
      </c>
      <c r="M56" s="512">
        <v>7.5232173387922263E-2</v>
      </c>
      <c r="N56" s="513">
        <v>0.66742412364620984</v>
      </c>
      <c r="O56" s="513">
        <v>3.0772339511498918</v>
      </c>
      <c r="P56" s="513">
        <v>5.6022672667766793</v>
      </c>
      <c r="Q56" s="513">
        <v>10.139033098061212</v>
      </c>
      <c r="R56" s="513">
        <v>1.7398879827728644</v>
      </c>
      <c r="S56" s="513">
        <v>19.102466379999999</v>
      </c>
      <c r="T56" s="512">
        <v>1.525015817993553E-2</v>
      </c>
      <c r="U56" s="512">
        <v>0.36742825347942487</v>
      </c>
      <c r="V56" s="512">
        <v>0.17944803046179625</v>
      </c>
      <c r="W56" s="512">
        <v>0.7439264567808016</v>
      </c>
      <c r="X56" s="512">
        <v>0.17604362804614881</v>
      </c>
      <c r="Y56" s="512">
        <v>0.37632510223138121</v>
      </c>
      <c r="Z56" s="512">
        <v>0.37632510223138116</v>
      </c>
      <c r="AA56" s="514">
        <v>0.30063890334636889</v>
      </c>
    </row>
    <row r="57" spans="1:27" ht="14">
      <c r="A57" s="125" t="s">
        <v>692</v>
      </c>
      <c r="B57" s="296">
        <v>24</v>
      </c>
      <c r="C57" s="512">
        <v>0.19872066669999999</v>
      </c>
      <c r="D57" s="512">
        <v>0.28061578928224551</v>
      </c>
      <c r="E57" s="512">
        <v>0.12176139467315485</v>
      </c>
      <c r="F57" s="512">
        <v>0.19723763310080308</v>
      </c>
      <c r="G57" s="513">
        <v>0.55077587469188671</v>
      </c>
      <c r="H57" s="513">
        <v>0.75470750399999997</v>
      </c>
      <c r="I57" s="512">
        <v>7.84788349232E-2</v>
      </c>
      <c r="J57" s="512">
        <v>0.38174150099999998</v>
      </c>
      <c r="K57" s="512">
        <v>5.5300000000000002E-2</v>
      </c>
      <c r="L57" s="512">
        <v>0.3401007614865949</v>
      </c>
      <c r="M57" s="512">
        <v>6.589380248789542E-2</v>
      </c>
      <c r="N57" s="513">
        <v>0.48899530900155047</v>
      </c>
      <c r="O57" s="513">
        <v>4.9810847118535468</v>
      </c>
      <c r="P57" s="513">
        <v>12.164142478812128</v>
      </c>
      <c r="Q57" s="513">
        <v>17.299809367733541</v>
      </c>
      <c r="R57" s="513">
        <v>3.211874642531892</v>
      </c>
      <c r="S57" s="513">
        <v>27.817916820000001</v>
      </c>
      <c r="T57" s="512">
        <v>2.868263015219864E-2</v>
      </c>
      <c r="U57" s="512">
        <v>0.22848825007987825</v>
      </c>
      <c r="V57" s="512">
        <v>0.15403105351560173</v>
      </c>
      <c r="W57" s="512">
        <v>0.64754026262183595</v>
      </c>
      <c r="X57" s="512">
        <v>0.19746512839297931</v>
      </c>
      <c r="Y57" s="512">
        <v>0.60725117202828571</v>
      </c>
      <c r="Z57" s="512">
        <v>0.60725117202828571</v>
      </c>
      <c r="AA57" s="514">
        <v>0.2845553222334854</v>
      </c>
    </row>
    <row r="58" spans="1:27" ht="14">
      <c r="A58" s="125" t="s">
        <v>693</v>
      </c>
      <c r="B58" s="296">
        <v>97</v>
      </c>
      <c r="C58" s="512">
        <v>5.2465846149999995E-2</v>
      </c>
      <c r="D58" s="512">
        <v>4.9926820918323088E-2</v>
      </c>
      <c r="E58" s="512">
        <v>0.14367131620333529</v>
      </c>
      <c r="F58" s="512">
        <v>0.19763425933334403</v>
      </c>
      <c r="G58" s="513">
        <v>0.77777932950382456</v>
      </c>
      <c r="H58" s="513">
        <v>0.93760052400000005</v>
      </c>
      <c r="I58" s="512">
        <v>8.6398102689200007E-2</v>
      </c>
      <c r="J58" s="512">
        <v>0.49488387099999998</v>
      </c>
      <c r="K58" s="512">
        <v>5.7800000000000004E-2</v>
      </c>
      <c r="L58" s="512">
        <v>0.27810053473826807</v>
      </c>
      <c r="M58" s="512">
        <v>7.4426402311865605E-2</v>
      </c>
      <c r="N58" s="513">
        <v>3.1319386393409379</v>
      </c>
      <c r="O58" s="513">
        <v>0.60728360169965301</v>
      </c>
      <c r="P58" s="513">
        <v>7.350017313645032</v>
      </c>
      <c r="Q58" s="513">
        <v>11.6967200492003</v>
      </c>
      <c r="R58" s="513">
        <v>1.7462429767106171</v>
      </c>
      <c r="S58" s="513">
        <v>29.32508777</v>
      </c>
      <c r="T58" s="512">
        <v>7.5072931207575397E-2</v>
      </c>
      <c r="U58" s="512">
        <v>2.3850466821433901E-2</v>
      </c>
      <c r="V58" s="512">
        <v>2.0219680375014736E-3</v>
      </c>
      <c r="W58" s="512">
        <v>-1.4857775028803821E-2</v>
      </c>
      <c r="X58" s="512">
        <v>0.1326556225567935</v>
      </c>
      <c r="Y58" s="512">
        <v>0.38724444311932582</v>
      </c>
      <c r="Z58" s="512">
        <v>0.38724444311932582</v>
      </c>
      <c r="AA58" s="514">
        <v>5.1850059441040409E-2</v>
      </c>
    </row>
    <row r="59" spans="1:27" ht="14">
      <c r="A59" s="125" t="s">
        <v>694</v>
      </c>
      <c r="B59" s="296">
        <v>22</v>
      </c>
      <c r="C59" s="512">
        <v>4.0221666669999996E-2</v>
      </c>
      <c r="D59" s="512">
        <v>9.7903437143711455E-2</v>
      </c>
      <c r="E59" s="512">
        <v>0.14486486031209506</v>
      </c>
      <c r="F59" s="512">
        <v>0.21399991291817783</v>
      </c>
      <c r="G59" s="513">
        <v>0.73835419244663636</v>
      </c>
      <c r="H59" s="513">
        <v>0.97636341000000004</v>
      </c>
      <c r="I59" s="512">
        <v>8.8076535652999999E-2</v>
      </c>
      <c r="J59" s="512">
        <v>0.33975428099999999</v>
      </c>
      <c r="K59" s="512">
        <v>5.5300000000000002E-2</v>
      </c>
      <c r="L59" s="512">
        <v>0.34603581300700131</v>
      </c>
      <c r="M59" s="512">
        <v>7.1950735375939379E-2</v>
      </c>
      <c r="N59" s="513">
        <v>1.7435134987048067</v>
      </c>
      <c r="O59" s="513">
        <v>1.540926439760242</v>
      </c>
      <c r="P59" s="513">
        <v>9.4579270007053786</v>
      </c>
      <c r="Q59" s="513">
        <v>15.428794145134688</v>
      </c>
      <c r="R59" s="513">
        <v>2.8490476810337748</v>
      </c>
      <c r="S59" s="513">
        <v>26.098450320000001</v>
      </c>
      <c r="T59" s="512">
        <v>0.10248734884452107</v>
      </c>
      <c r="U59" s="512">
        <v>5.6274025040576887E-2</v>
      </c>
      <c r="V59" s="512">
        <v>1.6203867343771897E-2</v>
      </c>
      <c r="W59" s="512">
        <v>0.14127571050488755</v>
      </c>
      <c r="X59" s="512">
        <v>0.20757287742616085</v>
      </c>
      <c r="Y59" s="512">
        <v>0.32348788287142144</v>
      </c>
      <c r="Z59" s="512">
        <v>0.32348788287142138</v>
      </c>
      <c r="AA59" s="514">
        <v>9.9785230986397119E-2</v>
      </c>
    </row>
    <row r="60" spans="1:27" ht="14">
      <c r="A60" s="125" t="s">
        <v>695</v>
      </c>
      <c r="B60" s="296">
        <v>6</v>
      </c>
      <c r="C60" s="512">
        <v>4.5350000000000001E-2</v>
      </c>
      <c r="D60" s="512">
        <v>0.10131943754571975</v>
      </c>
      <c r="E60" s="512">
        <v>0.19419479914040808</v>
      </c>
      <c r="F60" s="512">
        <v>0.25599916168919629</v>
      </c>
      <c r="G60" s="513">
        <v>0.95888221173289889</v>
      </c>
      <c r="H60" s="513">
        <v>1.0717410300000001</v>
      </c>
      <c r="I60" s="512">
        <v>9.2206386599000004E-2</v>
      </c>
      <c r="J60" s="512">
        <v>0.60657457599999998</v>
      </c>
      <c r="K60" s="512">
        <v>5.7800000000000004E-2</v>
      </c>
      <c r="L60" s="512">
        <v>0.18411329851970282</v>
      </c>
      <c r="M60" s="512">
        <v>8.3211276108504303E-2</v>
      </c>
      <c r="N60" s="513">
        <v>2.474249268999992</v>
      </c>
      <c r="O60" s="513">
        <v>1.2326955404636546</v>
      </c>
      <c r="P60" s="513">
        <v>7.8733524372656474</v>
      </c>
      <c r="Q60" s="513">
        <v>11.956087664450166</v>
      </c>
      <c r="R60" s="513">
        <v>3.5653256212510716</v>
      </c>
      <c r="S60" s="513">
        <v>23.336023319999999</v>
      </c>
      <c r="T60" s="512">
        <v>8.1604638351290101E-2</v>
      </c>
      <c r="U60" s="512">
        <v>5.3265178950410462E-2</v>
      </c>
      <c r="V60" s="512">
        <v>7.8687606679370345E-2</v>
      </c>
      <c r="W60" s="512">
        <v>0.82134475104122406</v>
      </c>
      <c r="X60" s="512">
        <v>0.24202243428762765</v>
      </c>
      <c r="Y60" s="512">
        <v>0.19507470946319869</v>
      </c>
      <c r="Z60" s="512">
        <v>0.19507470946319871</v>
      </c>
      <c r="AA60" s="514">
        <v>0.10331066929169413</v>
      </c>
    </row>
    <row r="61" spans="1:27" ht="14">
      <c r="A61" s="125" t="s">
        <v>696</v>
      </c>
      <c r="B61" s="296">
        <v>48</v>
      </c>
      <c r="C61" s="512">
        <v>5.0618571430000002E-2</v>
      </c>
      <c r="D61" s="512">
        <v>0.19751182991756608</v>
      </c>
      <c r="E61" s="512">
        <v>6.5649115482740619E-2</v>
      </c>
      <c r="F61" s="512">
        <v>0.13258131129564985</v>
      </c>
      <c r="G61" s="513">
        <v>0.34271383434382569</v>
      </c>
      <c r="H61" s="513">
        <v>0.54234862699999997</v>
      </c>
      <c r="I61" s="512">
        <v>6.9283695549099994E-2</v>
      </c>
      <c r="J61" s="512">
        <v>0.273142734</v>
      </c>
      <c r="K61" s="512">
        <v>5.0799999999999998E-2</v>
      </c>
      <c r="L61" s="512">
        <v>0.44547961779880552</v>
      </c>
      <c r="M61" s="512">
        <v>5.5391994774332612E-2</v>
      </c>
      <c r="N61" s="513">
        <v>0.38012046475085931</v>
      </c>
      <c r="O61" s="513">
        <v>4.3250130953882344</v>
      </c>
      <c r="P61" s="513">
        <v>11.873306592314158</v>
      </c>
      <c r="Q61" s="513">
        <v>21.890159750197203</v>
      </c>
      <c r="R61" s="513">
        <v>2.0734129735480149</v>
      </c>
      <c r="S61" s="513">
        <v>23.26783271</v>
      </c>
      <c r="T61" s="512">
        <v>8.0326096407095551E-2</v>
      </c>
      <c r="U61" s="512">
        <v>0.36491878424297458</v>
      </c>
      <c r="V61" s="512">
        <v>0.2357328538153427</v>
      </c>
      <c r="W61" s="512">
        <v>1.4296025076573129</v>
      </c>
      <c r="X61" s="512">
        <v>0.11130193260347093</v>
      </c>
      <c r="Y61" s="512">
        <v>0.55463775111782598</v>
      </c>
      <c r="Z61" s="512">
        <v>0.55463775111782598</v>
      </c>
      <c r="AA61" s="514">
        <v>0.1967316783998681</v>
      </c>
    </row>
    <row r="62" spans="1:27" ht="14">
      <c r="A62" s="125" t="s">
        <v>697</v>
      </c>
      <c r="B62" s="296">
        <v>60</v>
      </c>
      <c r="C62" s="512">
        <v>4.4699999999999997E-2</v>
      </c>
      <c r="D62" s="512">
        <v>0.18829183593579835</v>
      </c>
      <c r="E62" s="512">
        <v>0.12926868423010329</v>
      </c>
      <c r="F62" s="512">
        <v>0.42903313031945711</v>
      </c>
      <c r="G62" s="513">
        <v>1.1452183128750493</v>
      </c>
      <c r="H62" s="513">
        <v>1.2283147759999999</v>
      </c>
      <c r="I62" s="512">
        <v>9.8986029800799999E-2</v>
      </c>
      <c r="J62" s="512">
        <v>0.70971951600000005</v>
      </c>
      <c r="K62" s="512">
        <v>6.4100000000000004E-2</v>
      </c>
      <c r="L62" s="512">
        <v>0.15894994616948027</v>
      </c>
      <c r="M62" s="512">
        <v>9.0893724354530026E-2</v>
      </c>
      <c r="N62" s="513">
        <v>0.70928300476283024</v>
      </c>
      <c r="O62" s="513">
        <v>3.0618240426997394</v>
      </c>
      <c r="P62" s="513">
        <v>8.167722151394198</v>
      </c>
      <c r="Q62" s="513">
        <v>15.627358292343562</v>
      </c>
      <c r="R62" s="513">
        <v>1.6107917556952125</v>
      </c>
      <c r="S62" s="513">
        <v>28.220424950000002</v>
      </c>
      <c r="T62" s="512">
        <v>0.20137848430887303</v>
      </c>
      <c r="U62" s="512">
        <v>0.20150781992714806</v>
      </c>
      <c r="V62" s="512">
        <v>3.0208703112695925E-2</v>
      </c>
      <c r="W62" s="512">
        <v>0.58808354938184104</v>
      </c>
      <c r="X62" s="512">
        <v>-3.8158326149327938E-2</v>
      </c>
      <c r="Y62" s="512">
        <v>1.532136664E-2</v>
      </c>
      <c r="Z62" s="512">
        <v>1.5321366640000056E-2</v>
      </c>
      <c r="AA62" s="514">
        <v>0.18924617224540177</v>
      </c>
    </row>
    <row r="63" spans="1:27" ht="14">
      <c r="A63" s="125" t="s">
        <v>698</v>
      </c>
      <c r="B63" s="296">
        <v>19</v>
      </c>
      <c r="C63" s="512">
        <v>1.501333333E-2</v>
      </c>
      <c r="D63" s="512">
        <v>8.3015685932117556E-2</v>
      </c>
      <c r="E63" s="512">
        <v>0.15529613776373735</v>
      </c>
      <c r="F63" s="512">
        <v>0.32131793860884256</v>
      </c>
      <c r="G63" s="513">
        <v>0.55734328669956734</v>
      </c>
      <c r="H63" s="513">
        <v>0.63735309100000004</v>
      </c>
      <c r="I63" s="512">
        <v>7.3397388840300004E-2</v>
      </c>
      <c r="J63" s="512">
        <v>0.410004918</v>
      </c>
      <c r="K63" s="512">
        <v>5.5300000000000002E-2</v>
      </c>
      <c r="L63" s="512">
        <v>0.22296848382654758</v>
      </c>
      <c r="M63" s="512">
        <v>6.6279702200456814E-2</v>
      </c>
      <c r="N63" s="513">
        <v>2.2554075844500825</v>
      </c>
      <c r="O63" s="513">
        <v>1.5926717159618449</v>
      </c>
      <c r="P63" s="513">
        <v>11.093233553255816</v>
      </c>
      <c r="Q63" s="513">
        <v>19.22025789957895</v>
      </c>
      <c r="R63" s="513">
        <v>2.25767800886576</v>
      </c>
      <c r="S63" s="513">
        <v>25.08409747</v>
      </c>
      <c r="T63" s="512">
        <v>0.10880574457669615</v>
      </c>
      <c r="U63" s="512">
        <v>3.4925470648511259E-2</v>
      </c>
      <c r="V63" s="512">
        <v>-6.3874491321072166E-3</v>
      </c>
      <c r="W63" s="512">
        <v>-3.2337085854887253E-2</v>
      </c>
      <c r="X63" s="512">
        <v>4.1853467616081864E-2</v>
      </c>
      <c r="Y63" s="512">
        <v>0.72755742372326881</v>
      </c>
      <c r="Z63" s="512">
        <v>0.72755742372326881</v>
      </c>
      <c r="AA63" s="514">
        <v>8.2827708564752009E-2</v>
      </c>
    </row>
    <row r="64" spans="1:27" ht="14">
      <c r="A64" s="125" t="s">
        <v>699</v>
      </c>
      <c r="B64" s="296">
        <v>192</v>
      </c>
      <c r="C64" s="512">
        <v>7.0568787879999997E-2</v>
      </c>
      <c r="D64" s="512">
        <v>0.2448459776072924</v>
      </c>
      <c r="E64" s="512">
        <v>3.0943075263370073E-2</v>
      </c>
      <c r="F64" s="512">
        <v>3.5024945220189591E-2</v>
      </c>
      <c r="G64" s="513">
        <v>0.59442830839310035</v>
      </c>
      <c r="H64" s="513">
        <v>0.947227237</v>
      </c>
      <c r="I64" s="512">
        <v>8.6814939362099997E-2</v>
      </c>
      <c r="J64" s="512">
        <v>0.32077082099999998</v>
      </c>
      <c r="K64" s="512">
        <v>5.5300000000000002E-2</v>
      </c>
      <c r="L64" s="512">
        <v>0.45500220616438203</v>
      </c>
      <c r="M64" s="512">
        <v>6.6185166924985189E-2</v>
      </c>
      <c r="N64" s="513">
        <v>0.14175359905867305</v>
      </c>
      <c r="O64" s="513">
        <v>10.830765392411573</v>
      </c>
      <c r="P64" s="513">
        <v>20.33178362353982</v>
      </c>
      <c r="Q64" s="513">
        <v>43.921803038870891</v>
      </c>
      <c r="R64" s="513">
        <v>2.005629185642519</v>
      </c>
      <c r="S64" s="513">
        <v>51.784279499999997</v>
      </c>
      <c r="T64" s="512">
        <v>1.2938522711502523</v>
      </c>
      <c r="U64" s="512">
        <v>2.9696867217088883E-2</v>
      </c>
      <c r="V64" s="512">
        <v>-0.14198715050017852</v>
      </c>
      <c r="W64" s="512">
        <v>-0.65814261589895073</v>
      </c>
      <c r="X64" s="512">
        <v>4.7340170324202686E-2</v>
      </c>
      <c r="Y64" s="512">
        <v>2.0379854180836299</v>
      </c>
      <c r="Z64" s="512">
        <v>2.0379854180836299</v>
      </c>
      <c r="AA64" s="514">
        <v>0.22229031072473096</v>
      </c>
    </row>
    <row r="65" spans="1:27" ht="14">
      <c r="A65" s="125" t="s">
        <v>700</v>
      </c>
      <c r="B65" s="296">
        <v>15</v>
      </c>
      <c r="C65" s="512">
        <v>0.151</v>
      </c>
      <c r="D65" s="512">
        <v>0.14741909792198638</v>
      </c>
      <c r="E65" s="512">
        <v>3.734709120429483E-2</v>
      </c>
      <c r="F65" s="512">
        <v>0.1826940517471326</v>
      </c>
      <c r="G65" s="513">
        <v>0.61501100388939778</v>
      </c>
      <c r="H65" s="513">
        <v>1.0261883300000001</v>
      </c>
      <c r="I65" s="512">
        <v>9.0233954689000001E-2</v>
      </c>
      <c r="J65" s="512">
        <v>0.49682191999999997</v>
      </c>
      <c r="K65" s="512">
        <v>5.7800000000000004E-2</v>
      </c>
      <c r="L65" s="512">
        <v>0.52086520461082431</v>
      </c>
      <c r="M65" s="512">
        <v>6.5813734036949401E-2</v>
      </c>
      <c r="N65" s="513">
        <v>0.28405101940074207</v>
      </c>
      <c r="O65" s="513">
        <v>3.9582480835618168</v>
      </c>
      <c r="P65" s="513">
        <v>14.935370005087758</v>
      </c>
      <c r="Q65" s="513">
        <v>27.384816277187706</v>
      </c>
      <c r="R65" s="513">
        <v>1.1412158224225333</v>
      </c>
      <c r="S65" s="513">
        <v>40.494706530000002</v>
      </c>
      <c r="T65" s="512">
        <v>3.0247300573384317E-2</v>
      </c>
      <c r="U65" s="512">
        <v>2.0967475037198677E-2</v>
      </c>
      <c r="V65" s="512">
        <v>-6.168253720540396E-2</v>
      </c>
      <c r="W65" s="512">
        <v>-1.0603866958563923</v>
      </c>
      <c r="X65" s="512">
        <v>6.3423717827013323E-2</v>
      </c>
      <c r="Y65" s="512">
        <v>6.5010462148792317E-4</v>
      </c>
      <c r="Z65" s="512">
        <v>6.5010462148795689E-4</v>
      </c>
      <c r="AA65" s="514">
        <v>0.13484155926361419</v>
      </c>
    </row>
    <row r="66" spans="1:27" ht="14">
      <c r="A66" s="125" t="s">
        <v>701</v>
      </c>
      <c r="B66" s="296">
        <v>11</v>
      </c>
      <c r="C66" s="512">
        <v>0.14349600000000001</v>
      </c>
      <c r="D66" s="512">
        <v>0.11065093708165998</v>
      </c>
      <c r="E66" s="512">
        <v>3.9730511253634679E-2</v>
      </c>
      <c r="F66" s="512">
        <v>0.14280428363041234</v>
      </c>
      <c r="G66" s="513">
        <v>0.7367049503976224</v>
      </c>
      <c r="H66" s="513">
        <v>0.86419434299999998</v>
      </c>
      <c r="I66" s="512">
        <v>8.3219615051899995E-2</v>
      </c>
      <c r="J66" s="512">
        <v>0.26527845</v>
      </c>
      <c r="K66" s="512">
        <v>5.0799999999999998E-2</v>
      </c>
      <c r="L66" s="512">
        <v>0.29547222155261588</v>
      </c>
      <c r="M66" s="512">
        <v>6.9888022156916252E-2</v>
      </c>
      <c r="N66" s="513">
        <v>0.37375276362134119</v>
      </c>
      <c r="O66" s="513">
        <v>4.0975154467871491</v>
      </c>
      <c r="P66" s="513">
        <v>14.224590455661255</v>
      </c>
      <c r="Q66" s="513">
        <v>31.136453335955135</v>
      </c>
      <c r="R66" s="513">
        <v>0.94794645483965867</v>
      </c>
      <c r="S66" s="513">
        <v>17.884322919999999</v>
      </c>
      <c r="T66" s="512">
        <v>2.1197172021419006</v>
      </c>
      <c r="U66" s="512">
        <v>2.1623995983935742E-2</v>
      </c>
      <c r="V66" s="512">
        <v>1.3348393574297183E-2</v>
      </c>
      <c r="W66" s="512">
        <v>1.0821106152319355</v>
      </c>
      <c r="X66" s="512">
        <v>4.3130638155696628E-2</v>
      </c>
      <c r="Y66" s="512">
        <v>0.55775040669300491</v>
      </c>
      <c r="Z66" s="512">
        <v>0.55775040669300491</v>
      </c>
      <c r="AA66" s="514">
        <v>0.11242361746987951</v>
      </c>
    </row>
    <row r="67" spans="1:27" ht="14">
      <c r="A67" s="125" t="s">
        <v>702</v>
      </c>
      <c r="B67" s="296">
        <v>60</v>
      </c>
      <c r="C67" s="512">
        <v>4.5311153849999994E-2</v>
      </c>
      <c r="D67" s="512">
        <v>1.3934073665485479E-2</v>
      </c>
      <c r="E67" s="512">
        <v>2.8763124525455864E-2</v>
      </c>
      <c r="F67" s="512">
        <v>0.18819227728766463</v>
      </c>
      <c r="G67" s="513">
        <v>0.95168980937902281</v>
      </c>
      <c r="H67" s="513">
        <v>1.0752168120000001</v>
      </c>
      <c r="I67" s="512">
        <v>9.2356887959600009E-2</v>
      </c>
      <c r="J67" s="512">
        <v>0.56533935300000004</v>
      </c>
      <c r="K67" s="512">
        <v>5.7800000000000004E-2</v>
      </c>
      <c r="L67" s="512">
        <v>0.22351647971067801</v>
      </c>
      <c r="M67" s="512">
        <v>8.1403040881294603E-2</v>
      </c>
      <c r="N67" s="513">
        <v>2.3061889572841001</v>
      </c>
      <c r="O67" s="513">
        <v>1.5307462963673806</v>
      </c>
      <c r="P67" s="513">
        <v>20.833733868250523</v>
      </c>
      <c r="Q67" s="513">
        <v>90.187982770827389</v>
      </c>
      <c r="R67" s="513">
        <v>2.8493760079491484</v>
      </c>
      <c r="S67" s="513">
        <v>63.940751259999999</v>
      </c>
      <c r="T67" s="512">
        <v>0.12366082312918376</v>
      </c>
      <c r="U67" s="512">
        <v>1.6275392938852926E-2</v>
      </c>
      <c r="V67" s="512">
        <v>1.8320039500273166E-2</v>
      </c>
      <c r="W67" s="512">
        <v>3.6429856021044453</v>
      </c>
      <c r="X67" s="512">
        <v>-1.905926688079955E-2</v>
      </c>
      <c r="Y67" s="512">
        <v>3.0395340480000001E-2</v>
      </c>
      <c r="Z67" s="512">
        <v>3.0395340480000033E-2</v>
      </c>
      <c r="AA67" s="514">
        <v>1.4608008482760783E-2</v>
      </c>
    </row>
    <row r="68" spans="1:27" ht="14">
      <c r="A68" s="125" t="s">
        <v>703</v>
      </c>
      <c r="B68" s="296">
        <v>50</v>
      </c>
      <c r="C68" s="512">
        <v>8.7713793100000007E-2</v>
      </c>
      <c r="D68" s="512">
        <v>9.0361575714402204E-2</v>
      </c>
      <c r="E68" s="512">
        <v>7.9461315509752592E-2</v>
      </c>
      <c r="F68" s="512">
        <v>0.21989944172299181</v>
      </c>
      <c r="G68" s="513">
        <v>0.93359367002458238</v>
      </c>
      <c r="H68" s="513">
        <v>1.3278972250000001</v>
      </c>
      <c r="I68" s="512">
        <v>0.1032979498425</v>
      </c>
      <c r="J68" s="512">
        <v>0.53062303</v>
      </c>
      <c r="K68" s="512">
        <v>5.7800000000000004E-2</v>
      </c>
      <c r="L68" s="512">
        <v>0.39430310405642732</v>
      </c>
      <c r="M68" s="512">
        <v>7.9660287137783239E-2</v>
      </c>
      <c r="N68" s="513">
        <v>1.2936791544033139</v>
      </c>
      <c r="O68" s="513">
        <v>1.9894583442029383</v>
      </c>
      <c r="P68" s="513">
        <v>10.668698265051631</v>
      </c>
      <c r="Q68" s="513">
        <v>25.201245830142568</v>
      </c>
      <c r="R68" s="513">
        <v>3.0985357561435602</v>
      </c>
      <c r="S68" s="513">
        <v>33.911598089999998</v>
      </c>
      <c r="T68" s="512">
        <v>0.16986987891583769</v>
      </c>
      <c r="U68" s="512">
        <v>6.7801518132265939E-2</v>
      </c>
      <c r="V68" s="512">
        <v>2.3924166811692786E-2</v>
      </c>
      <c r="W68" s="512">
        <v>0.14852085535701345</v>
      </c>
      <c r="X68" s="512">
        <v>1.7487855284722388E-2</v>
      </c>
      <c r="Y68" s="512">
        <v>3.2895854718588247</v>
      </c>
      <c r="Z68" s="512">
        <v>3.2895854718588247</v>
      </c>
      <c r="AA68" s="514">
        <v>7.3969400647340131E-2</v>
      </c>
    </row>
    <row r="69" spans="1:27" ht="14">
      <c r="A69" s="125" t="s">
        <v>704</v>
      </c>
      <c r="B69" s="296">
        <v>1</v>
      </c>
      <c r="C69" s="512">
        <v>9.6600000000000005E-2</v>
      </c>
      <c r="D69" s="512">
        <v>5.5136469620079551E-2</v>
      </c>
      <c r="E69" s="512">
        <v>9.8903244217743116E-2</v>
      </c>
      <c r="F69" s="512">
        <v>0.20130576713819368</v>
      </c>
      <c r="G69" s="513">
        <v>0.57788295745432516</v>
      </c>
      <c r="H69" s="513">
        <v>0.53732987099999996</v>
      </c>
      <c r="I69" s="512">
        <v>6.9066383414299992E-2</v>
      </c>
      <c r="J69" s="512">
        <v>0.19865812699999999</v>
      </c>
      <c r="K69" s="512">
        <v>5.0799999999999998E-2</v>
      </c>
      <c r="L69" s="512">
        <v>0.26780363487795789</v>
      </c>
      <c r="M69" s="512">
        <v>6.0773473376925943E-2</v>
      </c>
      <c r="N69" s="513">
        <v>2.2382478863009179</v>
      </c>
      <c r="O69" s="513">
        <v>0.64106323000960086</v>
      </c>
      <c r="P69" s="513">
        <v>11.047014913731978</v>
      </c>
      <c r="Q69" s="513">
        <v>11.58721489809192</v>
      </c>
      <c r="R69" s="513">
        <v>1.2543995720780958</v>
      </c>
      <c r="S69" s="513">
        <v>19.35433287</v>
      </c>
      <c r="T69" s="512">
        <v>4.1100900653774058E-2</v>
      </c>
      <c r="U69" s="512">
        <v>0</v>
      </c>
      <c r="V69" s="512">
        <v>-1.9796095643030221E-3</v>
      </c>
      <c r="W69" s="512">
        <v>0.51080180085332116</v>
      </c>
      <c r="X69" s="512">
        <v>9.0164951010790029E-2</v>
      </c>
      <c r="Y69" s="512">
        <v>0.31224209078404402</v>
      </c>
      <c r="Z69" s="512">
        <v>0.31224209078404397</v>
      </c>
      <c r="AA69" s="514">
        <v>5.5325048827321352E-2</v>
      </c>
    </row>
    <row r="70" spans="1:27" ht="14">
      <c r="A70" s="125" t="s">
        <v>705</v>
      </c>
      <c r="B70" s="296">
        <v>62</v>
      </c>
      <c r="C70" s="512">
        <v>8.5973076919999988E-2</v>
      </c>
      <c r="D70" s="512">
        <v>0.15960254602877869</v>
      </c>
      <c r="E70" s="512">
        <v>0.20394892204796075</v>
      </c>
      <c r="F70" s="512">
        <v>0.20465304109413093</v>
      </c>
      <c r="G70" s="513">
        <v>0.87497392108882976</v>
      </c>
      <c r="H70" s="513">
        <v>1.009040065</v>
      </c>
      <c r="I70" s="512">
        <v>8.9491434814500004E-2</v>
      </c>
      <c r="J70" s="512">
        <v>0.41504324500000001</v>
      </c>
      <c r="K70" s="512">
        <v>5.5300000000000002E-2</v>
      </c>
      <c r="L70" s="512">
        <v>0.18789372628014492</v>
      </c>
      <c r="M70" s="512">
        <v>8.046944795451591E-2</v>
      </c>
      <c r="N70" s="513">
        <v>1.6556714897550431</v>
      </c>
      <c r="O70" s="513">
        <v>4.4691845341919434</v>
      </c>
      <c r="P70" s="513">
        <v>18.667676815197808</v>
      </c>
      <c r="Q70" s="513">
        <v>32.106776648838618</v>
      </c>
      <c r="R70" s="513" t="s">
        <v>80</v>
      </c>
      <c r="S70" s="513">
        <v>56.604437670000003</v>
      </c>
      <c r="T70" s="512">
        <v>-3.9480912674337097E-3</v>
      </c>
      <c r="U70" s="512">
        <v>6.2746238784636352E-2</v>
      </c>
      <c r="V70" s="512">
        <v>4.1463065509721328E-2</v>
      </c>
      <c r="W70" s="512">
        <v>0.38719268780136601</v>
      </c>
      <c r="X70" s="512" t="s">
        <v>80</v>
      </c>
      <c r="Y70" s="512">
        <v>0.55122728841256707</v>
      </c>
      <c r="Z70" s="512">
        <v>0.55122728841256707</v>
      </c>
      <c r="AA70" s="514">
        <v>0.13959270726915785</v>
      </c>
    </row>
    <row r="71" spans="1:27" ht="14">
      <c r="A71" s="125" t="s">
        <v>706</v>
      </c>
      <c r="B71" s="296">
        <v>29</v>
      </c>
      <c r="C71" s="512">
        <v>0.103217619</v>
      </c>
      <c r="D71" s="512">
        <v>6.0132517954049038E-2</v>
      </c>
      <c r="E71" s="512">
        <v>0.12115010427606814</v>
      </c>
      <c r="F71" s="512">
        <v>0.2257835935470156</v>
      </c>
      <c r="G71" s="513">
        <v>0.99176420437967028</v>
      </c>
      <c r="H71" s="513">
        <v>1.3530744139999999</v>
      </c>
      <c r="I71" s="512">
        <v>0.10438812212619999</v>
      </c>
      <c r="J71" s="512">
        <v>0.473945116</v>
      </c>
      <c r="K71" s="512">
        <v>5.7800000000000004E-2</v>
      </c>
      <c r="L71" s="512">
        <v>0.33510223813957135</v>
      </c>
      <c r="M71" s="512">
        <v>8.3934110789873881E-2</v>
      </c>
      <c r="N71" s="513">
        <v>2.4663966081903905</v>
      </c>
      <c r="O71" s="513">
        <v>1.222045850009327</v>
      </c>
      <c r="P71" s="513">
        <v>14.419927914163718</v>
      </c>
      <c r="Q71" s="513">
        <v>21.681945615914966</v>
      </c>
      <c r="R71" s="513">
        <v>7.7770146452332707</v>
      </c>
      <c r="S71" s="513">
        <v>123.0704727</v>
      </c>
      <c r="T71" s="512">
        <v>0.12188531804157499</v>
      </c>
      <c r="U71" s="512">
        <v>2.0009321980419263E-2</v>
      </c>
      <c r="V71" s="512">
        <v>2.4936384655617719E-2</v>
      </c>
      <c r="W71" s="512">
        <v>0.82898584270808584</v>
      </c>
      <c r="X71" s="512">
        <v>0.35699248801731837</v>
      </c>
      <c r="Y71" s="512">
        <v>5.9615562342791549E-2</v>
      </c>
      <c r="Z71" s="512">
        <v>5.9615562342791528E-2</v>
      </c>
      <c r="AA71" s="514">
        <v>5.586664024484593E-2</v>
      </c>
    </row>
    <row r="72" spans="1:27" ht="14">
      <c r="A72" s="125" t="s">
        <v>707</v>
      </c>
      <c r="B72" s="296">
        <v>13</v>
      </c>
      <c r="C72" s="512">
        <v>5.1490833329999999E-2</v>
      </c>
      <c r="D72" s="512">
        <v>0.12124630894860067</v>
      </c>
      <c r="E72" s="512">
        <v>0.36284596538960717</v>
      </c>
      <c r="F72" s="512">
        <v>0.23817452639636</v>
      </c>
      <c r="G72" s="513">
        <v>1.5745465681601329</v>
      </c>
      <c r="H72" s="513">
        <v>1.7927743970000001</v>
      </c>
      <c r="I72" s="512">
        <v>0.1234271313901</v>
      </c>
      <c r="J72" s="512">
        <v>0.52125982100000001</v>
      </c>
      <c r="K72" s="512">
        <v>5.7800000000000004E-2</v>
      </c>
      <c r="L72" s="512">
        <v>0.16797788462082947</v>
      </c>
      <c r="M72" s="512">
        <v>0.10997594425268678</v>
      </c>
      <c r="N72" s="513">
        <v>3.5706348388844233</v>
      </c>
      <c r="O72" s="513">
        <v>2.5168840644209354</v>
      </c>
      <c r="P72" s="513">
        <v>15.746684126619444</v>
      </c>
      <c r="Q72" s="513">
        <v>20.752329820525382</v>
      </c>
      <c r="R72" s="513" t="s">
        <v>80</v>
      </c>
      <c r="S72" s="513">
        <v>42.963603550000002</v>
      </c>
      <c r="T72" s="512">
        <v>8.3527571209891224E-2</v>
      </c>
      <c r="U72" s="512">
        <v>2.4203349991802781E-2</v>
      </c>
      <c r="V72" s="512">
        <v>7.1570384643015697E-2</v>
      </c>
      <c r="W72" s="512">
        <v>0.7168921587957251</v>
      </c>
      <c r="X72" s="512" t="s">
        <v>80</v>
      </c>
      <c r="Y72" s="512">
        <v>0.53225823359672997</v>
      </c>
      <c r="Z72" s="512">
        <v>0.53225823359672997</v>
      </c>
      <c r="AA72" s="514">
        <v>0.11977489830842546</v>
      </c>
    </row>
    <row r="73" spans="1:27" ht="14">
      <c r="A73" s="125" t="s">
        <v>708</v>
      </c>
      <c r="B73" s="296">
        <v>66</v>
      </c>
      <c r="C73" s="512">
        <v>7.0734146339999998E-2</v>
      </c>
      <c r="D73" s="512">
        <v>0.10559724307801825</v>
      </c>
      <c r="E73" s="512">
        <v>0.17536861677582882</v>
      </c>
      <c r="F73" s="512">
        <v>0.24372011263235407</v>
      </c>
      <c r="G73" s="513">
        <v>0.92546451753031267</v>
      </c>
      <c r="H73" s="513">
        <v>1.117155906</v>
      </c>
      <c r="I73" s="512">
        <v>9.4172850729800001E-2</v>
      </c>
      <c r="J73" s="512">
        <v>0.43888604199999998</v>
      </c>
      <c r="K73" s="512">
        <v>5.5300000000000002E-2</v>
      </c>
      <c r="L73" s="512">
        <v>0.23820734397611792</v>
      </c>
      <c r="M73" s="512">
        <v>8.1619835674204416E-2</v>
      </c>
      <c r="N73" s="513">
        <v>1.880634510325728</v>
      </c>
      <c r="O73" s="513">
        <v>1.8141684070556663</v>
      </c>
      <c r="P73" s="513">
        <v>12.874163371741568</v>
      </c>
      <c r="Q73" s="513">
        <v>15.744115641148806</v>
      </c>
      <c r="R73" s="513">
        <v>4.3031974154159647</v>
      </c>
      <c r="S73" s="513">
        <v>51.90215662</v>
      </c>
      <c r="T73" s="512">
        <v>0.17020865900643473</v>
      </c>
      <c r="U73" s="512">
        <v>5.8357263443407567E-2</v>
      </c>
      <c r="V73" s="512">
        <v>7.6716912277708146E-2</v>
      </c>
      <c r="W73" s="512">
        <v>1.0195443860624036</v>
      </c>
      <c r="X73" s="512">
        <v>0.21635698612262233</v>
      </c>
      <c r="Y73" s="512">
        <v>0.3121855201758274</v>
      </c>
      <c r="Z73" s="512">
        <v>0.31218552017582746</v>
      </c>
      <c r="AA73" s="514">
        <v>0.10791543860104447</v>
      </c>
    </row>
    <row r="74" spans="1:27" ht="14">
      <c r="A74" s="125" t="s">
        <v>641</v>
      </c>
      <c r="B74" s="296">
        <v>24</v>
      </c>
      <c r="C74" s="512">
        <v>0.1439742105</v>
      </c>
      <c r="D74" s="512">
        <v>6.201301531080719E-2</v>
      </c>
      <c r="E74" s="512">
        <v>0.11983290770437496</v>
      </c>
      <c r="F74" s="512">
        <v>0.19835937513442456</v>
      </c>
      <c r="G74" s="513">
        <v>1.0255755386066459</v>
      </c>
      <c r="H74" s="513">
        <v>1.061771934</v>
      </c>
      <c r="I74" s="512">
        <v>9.1774724742199998E-2</v>
      </c>
      <c r="J74" s="512">
        <v>0.46689882399999999</v>
      </c>
      <c r="K74" s="512">
        <v>5.7800000000000004E-2</v>
      </c>
      <c r="L74" s="512">
        <v>8.0275354081261088E-2</v>
      </c>
      <c r="M74" s="512">
        <v>8.7887412817232294E-2</v>
      </c>
      <c r="N74" s="513">
        <v>3.5951299451019962</v>
      </c>
      <c r="O74" s="513">
        <v>2.0508713335644408</v>
      </c>
      <c r="P74" s="513">
        <v>18.20902196898702</v>
      </c>
      <c r="Q74" s="513">
        <v>34.662237070614957</v>
      </c>
      <c r="R74" s="513">
        <v>8.428688099762482</v>
      </c>
      <c r="S74" s="513">
        <v>25.79221081</v>
      </c>
      <c r="T74" s="512">
        <v>6.9049320335358285E-3</v>
      </c>
      <c r="U74" s="512">
        <v>5.7537256815085584E-2</v>
      </c>
      <c r="V74" s="512">
        <v>2.1600848026036377E-2</v>
      </c>
      <c r="W74" s="512">
        <v>0.46411454502668509</v>
      </c>
      <c r="X74" s="512">
        <v>0.25368084600002294</v>
      </c>
      <c r="Y74" s="512">
        <v>0.14172819017903793</v>
      </c>
      <c r="Z74" s="512">
        <v>0.14172819017903793</v>
      </c>
      <c r="AA74" s="514">
        <v>5.9976342513351315E-2</v>
      </c>
    </row>
    <row r="75" spans="1:27" ht="14">
      <c r="A75" s="125" t="s">
        <v>709</v>
      </c>
      <c r="B75" s="296">
        <v>17</v>
      </c>
      <c r="C75" s="512">
        <v>9.2810000000000004E-2</v>
      </c>
      <c r="D75" s="512">
        <v>3.3325604942954244E-2</v>
      </c>
      <c r="E75" s="512">
        <v>9.247376187945984E-2</v>
      </c>
      <c r="F75" s="512">
        <v>0.21096293504573324</v>
      </c>
      <c r="G75" s="513">
        <v>0.46632352925030229</v>
      </c>
      <c r="H75" s="513">
        <v>0.57940730600000001</v>
      </c>
      <c r="I75" s="512">
        <v>7.0888336349800005E-2</v>
      </c>
      <c r="J75" s="512">
        <v>0.27128246099999997</v>
      </c>
      <c r="K75" s="512">
        <v>5.0799999999999998E-2</v>
      </c>
      <c r="L75" s="512">
        <v>0.34321552519274601</v>
      </c>
      <c r="M75" s="512">
        <v>5.9634870269306986E-2</v>
      </c>
      <c r="N75" s="513">
        <v>4.8930976064323222</v>
      </c>
      <c r="O75" s="513">
        <v>0.49497246792900701</v>
      </c>
      <c r="P75" s="513">
        <v>7.7393983847520804</v>
      </c>
      <c r="Q75" s="513">
        <v>16.885688100335081</v>
      </c>
      <c r="R75" s="513">
        <v>3.497688639613604</v>
      </c>
      <c r="S75" s="513">
        <v>21.115701820000002</v>
      </c>
      <c r="T75" s="512">
        <v>-1.9956896409970772E-3</v>
      </c>
      <c r="U75" s="512">
        <v>2.7438742000750551E-2</v>
      </c>
      <c r="V75" s="512">
        <v>2.5903700967199864E-3</v>
      </c>
      <c r="W75" s="512">
        <v>0.14685770979269633</v>
      </c>
      <c r="X75" s="512">
        <v>0.21090257168217028</v>
      </c>
      <c r="Y75" s="512">
        <v>0.236694556868387</v>
      </c>
      <c r="Z75" s="512">
        <v>0.23669455686838703</v>
      </c>
      <c r="AA75" s="514">
        <v>2.4582375791246495E-2</v>
      </c>
    </row>
    <row r="76" spans="1:27" ht="14">
      <c r="A76" s="125" t="s">
        <v>907</v>
      </c>
      <c r="B76" s="296">
        <v>28</v>
      </c>
      <c r="C76" s="512">
        <v>7.9100384620000005E-2</v>
      </c>
      <c r="D76" s="512">
        <v>0.38879345924804937</v>
      </c>
      <c r="E76" s="512">
        <v>4.9993891014006121E-2</v>
      </c>
      <c r="F76" s="512">
        <v>3.2032945628582561E-2</v>
      </c>
      <c r="G76" s="513">
        <v>0.68594271206568391</v>
      </c>
      <c r="H76" s="513">
        <v>0.94758858999999995</v>
      </c>
      <c r="I76" s="512">
        <v>8.6830585946999994E-2</v>
      </c>
      <c r="J76" s="512">
        <v>0.235572061</v>
      </c>
      <c r="K76" s="512">
        <v>5.0799999999999998E-2</v>
      </c>
      <c r="L76" s="512">
        <v>0.35390072696862224</v>
      </c>
      <c r="M76" s="512">
        <v>6.9584796154749759E-2</v>
      </c>
      <c r="N76" s="513">
        <v>0.13573524804042503</v>
      </c>
      <c r="O76" s="513">
        <v>12.21753601147776</v>
      </c>
      <c r="P76" s="513">
        <v>17.441938336546901</v>
      </c>
      <c r="Q76" s="513">
        <v>32.774592867855567</v>
      </c>
      <c r="R76" s="513">
        <v>2.0154998835457518</v>
      </c>
      <c r="S76" s="513">
        <v>72.235152409999998</v>
      </c>
      <c r="T76" s="512">
        <v>-5.47072581120654E-2</v>
      </c>
      <c r="U76" s="512">
        <v>4.2900178848686153E-2</v>
      </c>
      <c r="V76" s="512">
        <v>-0.26575609756097557</v>
      </c>
      <c r="W76" s="512">
        <v>-0.74880212638467403</v>
      </c>
      <c r="X76" s="512">
        <v>7.3403157551345882E-2</v>
      </c>
      <c r="Y76" s="512">
        <v>1.4364006576861084</v>
      </c>
      <c r="Z76" s="512">
        <v>1.4364006576861084</v>
      </c>
      <c r="AA76" s="514">
        <v>0.37279033104695275</v>
      </c>
    </row>
    <row r="77" spans="1:27" ht="14">
      <c r="A77" s="125" t="s">
        <v>710</v>
      </c>
      <c r="B77" s="296">
        <v>98</v>
      </c>
      <c r="C77" s="512">
        <v>6.7852741940000003E-2</v>
      </c>
      <c r="D77" s="512">
        <v>5.0976112018076461E-2</v>
      </c>
      <c r="E77" s="512">
        <v>0.17678385028822469</v>
      </c>
      <c r="F77" s="512">
        <v>0.23366272749859898</v>
      </c>
      <c r="G77" s="513">
        <v>1.0592547675648005</v>
      </c>
      <c r="H77" s="513">
        <v>1.2239625940000001</v>
      </c>
      <c r="I77" s="512">
        <v>9.8797580320200001E-2</v>
      </c>
      <c r="J77" s="512">
        <v>0.56996081200000004</v>
      </c>
      <c r="K77" s="512">
        <v>5.7800000000000004E-2</v>
      </c>
      <c r="L77" s="512">
        <v>0.22440271815045107</v>
      </c>
      <c r="M77" s="512">
        <v>8.635499258148166E-2</v>
      </c>
      <c r="N77" s="513">
        <v>3.6771871216402161</v>
      </c>
      <c r="O77" s="513">
        <v>1.0697959500151255</v>
      </c>
      <c r="P77" s="513">
        <v>9.8958883728987335</v>
      </c>
      <c r="Q77" s="513">
        <v>19.988363782118277</v>
      </c>
      <c r="R77" s="513">
        <v>5.8712634257814464</v>
      </c>
      <c r="S77" s="513">
        <v>24.484944049999999</v>
      </c>
      <c r="T77" s="512">
        <v>4.9479744340293258E-2</v>
      </c>
      <c r="U77" s="512">
        <v>2.4350612794780534E-2</v>
      </c>
      <c r="V77" s="512">
        <v>7.2602822997946117E-3</v>
      </c>
      <c r="W77" s="512">
        <v>0.2384246819225872</v>
      </c>
      <c r="X77" s="512">
        <v>0.10134724746541818</v>
      </c>
      <c r="Y77" s="512">
        <v>0.86426164059949551</v>
      </c>
      <c r="Z77" s="512">
        <v>0.86426164059949551</v>
      </c>
      <c r="AA77" s="514">
        <v>5.3157658105189375E-2</v>
      </c>
    </row>
    <row r="78" spans="1:27" ht="14">
      <c r="A78" s="125" t="s">
        <v>711</v>
      </c>
      <c r="B78" s="296">
        <v>3</v>
      </c>
      <c r="C78" s="512">
        <v>2.7549999999999998E-2</v>
      </c>
      <c r="D78" s="512">
        <v>4.0436780162376486E-2</v>
      </c>
      <c r="E78" s="512">
        <v>5.7556753506032426E-2</v>
      </c>
      <c r="F78" s="512" t="e">
        <v>#DIV/0!</v>
      </c>
      <c r="G78" s="513">
        <v>0.17807460403672931</v>
      </c>
      <c r="H78" s="513">
        <v>0.64534539099999999</v>
      </c>
      <c r="I78" s="512">
        <v>7.3743455430300003E-2</v>
      </c>
      <c r="J78" s="512">
        <v>0.72036867599999999</v>
      </c>
      <c r="K78" s="512">
        <v>6.4100000000000004E-2</v>
      </c>
      <c r="L78" s="512">
        <v>0.79471602338816838</v>
      </c>
      <c r="M78" s="512">
        <v>5.3344322604215552E-2</v>
      </c>
      <c r="N78" s="513">
        <v>1.5003253061530804</v>
      </c>
      <c r="O78" s="513">
        <v>0.61570892388864418</v>
      </c>
      <c r="P78" s="513">
        <v>5.6778845321070408</v>
      </c>
      <c r="Q78" s="513">
        <v>14.149107124847289</v>
      </c>
      <c r="R78" s="513">
        <v>0.52615587311239487</v>
      </c>
      <c r="S78" s="513" t="e">
        <v>#DIV/0!</v>
      </c>
      <c r="T78" s="512">
        <v>0.1283259382801519</v>
      </c>
      <c r="U78" s="512">
        <v>6.0576499465038708E-2</v>
      </c>
      <c r="V78" s="512">
        <v>6.4504793672771525E-3</v>
      </c>
      <c r="W78" s="512">
        <v>0.16171849409183106</v>
      </c>
      <c r="X78" s="512">
        <v>-6.4136878209322151E-2</v>
      </c>
      <c r="Y78" s="512" t="e">
        <v>#DIV/0!</v>
      </c>
      <c r="Z78" s="512" t="e">
        <v>#DIV/0!</v>
      </c>
      <c r="AA78" s="514">
        <v>4.256184664967378E-2</v>
      </c>
    </row>
    <row r="79" spans="1:27" ht="14">
      <c r="A79" s="125" t="s">
        <v>712</v>
      </c>
      <c r="B79" s="296">
        <v>63</v>
      </c>
      <c r="C79" s="512">
        <v>5.1318863639999997E-2</v>
      </c>
      <c r="D79" s="512">
        <v>0.29711161343465048</v>
      </c>
      <c r="E79" s="512">
        <v>0.21144652173406386</v>
      </c>
      <c r="F79" s="512">
        <v>0.14190702210640413</v>
      </c>
      <c r="G79" s="513">
        <v>1.4601551161065303</v>
      </c>
      <c r="H79" s="513">
        <v>1.4858715039999999</v>
      </c>
      <c r="I79" s="512">
        <v>0.11013823612320001</v>
      </c>
      <c r="J79" s="512">
        <v>0.560486072</v>
      </c>
      <c r="K79" s="512">
        <v>5.7800000000000004E-2</v>
      </c>
      <c r="L79" s="512">
        <v>3.7478619559047813E-2</v>
      </c>
      <c r="M79" s="512">
        <v>0.10763510523051874</v>
      </c>
      <c r="N79" s="513">
        <v>1.1023163547709465</v>
      </c>
      <c r="O79" s="513">
        <v>14.645136031617927</v>
      </c>
      <c r="P79" s="513">
        <v>34.479760738474951</v>
      </c>
      <c r="Q79" s="513">
        <v>48.853838409004744</v>
      </c>
      <c r="R79" s="513">
        <v>11.121239586403391</v>
      </c>
      <c r="S79" s="513">
        <v>54.218451430000002</v>
      </c>
      <c r="T79" s="512">
        <v>0.20345031887686199</v>
      </c>
      <c r="U79" s="512">
        <v>0.1325155150629162</v>
      </c>
      <c r="V79" s="512">
        <v>0.11600239559724274</v>
      </c>
      <c r="W79" s="512">
        <v>0.5930815713362112</v>
      </c>
      <c r="X79" s="512">
        <v>0.19084697104786927</v>
      </c>
      <c r="Y79" s="512">
        <v>0.32634631628070393</v>
      </c>
      <c r="Z79" s="512">
        <v>0.32634631628070387</v>
      </c>
      <c r="AA79" s="514">
        <v>0.31440194195582832</v>
      </c>
    </row>
    <row r="80" spans="1:27" ht="14">
      <c r="A80" s="125" t="s">
        <v>713</v>
      </c>
      <c r="B80" s="296">
        <v>30</v>
      </c>
      <c r="C80" s="512">
        <v>0.116725</v>
      </c>
      <c r="D80" s="512">
        <v>0.2406234259235884</v>
      </c>
      <c r="E80" s="512">
        <v>0.24197449544323665</v>
      </c>
      <c r="F80" s="512">
        <v>0.12586026384945445</v>
      </c>
      <c r="G80" s="513">
        <v>1.4745155675062604</v>
      </c>
      <c r="H80" s="513">
        <v>1.484975954</v>
      </c>
      <c r="I80" s="512">
        <v>0.11009945880819999</v>
      </c>
      <c r="J80" s="512">
        <v>0.51093071400000001</v>
      </c>
      <c r="K80" s="512">
        <v>5.7800000000000004E-2</v>
      </c>
      <c r="L80" s="512">
        <v>7.5578010914103336E-2</v>
      </c>
      <c r="M80" s="512">
        <v>0.10505466748188336</v>
      </c>
      <c r="N80" s="513">
        <v>1.6833471274291145</v>
      </c>
      <c r="O80" s="513">
        <v>5.0691664490258717</v>
      </c>
      <c r="P80" s="513">
        <v>17.733051139589943</v>
      </c>
      <c r="Q80" s="513">
        <v>20.926140364357934</v>
      </c>
      <c r="R80" s="513">
        <v>6.9702059818515387</v>
      </c>
      <c r="S80" s="513">
        <v>71.347684939999994</v>
      </c>
      <c r="T80" s="512">
        <v>0.32724535175360886</v>
      </c>
      <c r="U80" s="512">
        <v>4.6504015109530672E-2</v>
      </c>
      <c r="V80" s="512">
        <v>2.1214202221508948E-2</v>
      </c>
      <c r="W80" s="512">
        <v>4.6679860813353971E-2</v>
      </c>
      <c r="X80" s="512">
        <v>0.31784500493054746</v>
      </c>
      <c r="Y80" s="512">
        <v>0.20804682750970707</v>
      </c>
      <c r="Z80" s="512">
        <v>0.20804682750970704</v>
      </c>
      <c r="AA80" s="514">
        <v>0.24840614231914826</v>
      </c>
    </row>
    <row r="81" spans="1:27" ht="14">
      <c r="A81" s="125" t="s">
        <v>714</v>
      </c>
      <c r="B81" s="296">
        <v>8</v>
      </c>
      <c r="C81" s="512">
        <v>-4.2679999999999996E-2</v>
      </c>
      <c r="D81" s="512">
        <v>0.13739293792172794</v>
      </c>
      <c r="E81" s="512">
        <v>0.13232356550929528</v>
      </c>
      <c r="F81" s="512">
        <v>0.20600371929137709</v>
      </c>
      <c r="G81" s="513">
        <v>0.52482380805560436</v>
      </c>
      <c r="H81" s="513">
        <v>0.57844976999999997</v>
      </c>
      <c r="I81" s="512">
        <v>7.0846875040999999E-2</v>
      </c>
      <c r="J81" s="512">
        <v>0.45189300199999999</v>
      </c>
      <c r="K81" s="512">
        <v>5.7800000000000004E-2</v>
      </c>
      <c r="L81" s="512">
        <v>0.16046357987861981</v>
      </c>
      <c r="M81" s="512">
        <v>6.6434628036446064E-2</v>
      </c>
      <c r="N81" s="513">
        <v>0.93758670841260694</v>
      </c>
      <c r="O81" s="513">
        <v>1.7491091978050035</v>
      </c>
      <c r="P81" s="513">
        <v>7.7139416157820575</v>
      </c>
      <c r="Q81" s="513">
        <v>11.585715174691481</v>
      </c>
      <c r="R81" s="513">
        <v>1.605174159213743</v>
      </c>
      <c r="S81" s="513">
        <v>12.7685681</v>
      </c>
      <c r="T81" s="512">
        <v>0.10341773076541534</v>
      </c>
      <c r="U81" s="512">
        <v>0.10180449326206187</v>
      </c>
      <c r="V81" s="512">
        <v>4.6771735149014788E-2</v>
      </c>
      <c r="W81" s="512">
        <v>0.44179244065462181</v>
      </c>
      <c r="X81" s="512">
        <v>0.11718743679126227</v>
      </c>
      <c r="Y81" s="512">
        <v>0.15050901924356352</v>
      </c>
      <c r="Z81" s="512">
        <v>0.15050901924356352</v>
      </c>
      <c r="AA81" s="514">
        <v>0.14979423553901591</v>
      </c>
    </row>
    <row r="82" spans="1:27" ht="14">
      <c r="A82" s="125" t="s">
        <v>715</v>
      </c>
      <c r="B82" s="296">
        <v>12</v>
      </c>
      <c r="C82" s="512">
        <v>9.9062499999999998E-2</v>
      </c>
      <c r="D82" s="512">
        <v>0.12820574035012822</v>
      </c>
      <c r="E82" s="512">
        <v>0.29120897712677157</v>
      </c>
      <c r="F82" s="512">
        <v>0.16763413851482192</v>
      </c>
      <c r="G82" s="513">
        <v>1.4086385456424702</v>
      </c>
      <c r="H82" s="513">
        <v>1.424207891</v>
      </c>
      <c r="I82" s="512">
        <v>0.1074682016803</v>
      </c>
      <c r="J82" s="512">
        <v>0.51752411700000001</v>
      </c>
      <c r="K82" s="512">
        <v>5.7800000000000004E-2</v>
      </c>
      <c r="L82" s="512">
        <v>9.2941879874355246E-2</v>
      </c>
      <c r="M82" s="512">
        <v>0.10150893548196988</v>
      </c>
      <c r="N82" s="513">
        <v>2.5356270056745536</v>
      </c>
      <c r="O82" s="513">
        <v>2.4017041674975634</v>
      </c>
      <c r="P82" s="513">
        <v>14.770185001070939</v>
      </c>
      <c r="Q82" s="513">
        <v>18.457142037087245</v>
      </c>
      <c r="R82" s="513">
        <v>6.7412981051703884</v>
      </c>
      <c r="S82" s="513">
        <v>17.578091690000001</v>
      </c>
      <c r="T82" s="512">
        <v>0.19568711187756468</v>
      </c>
      <c r="U82" s="512">
        <v>7.944000831364928E-3</v>
      </c>
      <c r="V82" s="512">
        <v>-7.9457422038473197E-3</v>
      </c>
      <c r="W82" s="512">
        <v>-8.2301890690004528E-2</v>
      </c>
      <c r="X82" s="512">
        <v>0.31672211045805776</v>
      </c>
      <c r="Y82" s="512">
        <v>0.32504532056515784</v>
      </c>
      <c r="Z82" s="512">
        <v>0.32504532056515778</v>
      </c>
      <c r="AA82" s="514">
        <v>0.13015594083265691</v>
      </c>
    </row>
    <row r="83" spans="1:27" ht="14">
      <c r="A83" s="125" t="s">
        <v>716</v>
      </c>
      <c r="B83" s="296">
        <v>81</v>
      </c>
      <c r="C83" s="512">
        <v>0.28069176470000001</v>
      </c>
      <c r="D83" s="512">
        <v>0.32367209422672144</v>
      </c>
      <c r="E83" s="512">
        <v>0.25294352692701783</v>
      </c>
      <c r="F83" s="512">
        <v>0.15053173892351865</v>
      </c>
      <c r="G83" s="513">
        <v>1.1833988427238291</v>
      </c>
      <c r="H83" s="513">
        <v>1.1827821030000001</v>
      </c>
      <c r="I83" s="512">
        <v>9.7014465059899996E-2</v>
      </c>
      <c r="J83" s="512">
        <v>0.66628958000000005</v>
      </c>
      <c r="K83" s="512">
        <v>6.4100000000000004E-2</v>
      </c>
      <c r="L83" s="512">
        <v>2.4296047356735302E-2</v>
      </c>
      <c r="M83" s="512">
        <v>9.5825429499191372E-2</v>
      </c>
      <c r="N83" s="513">
        <v>1.3970196738508474</v>
      </c>
      <c r="O83" s="513">
        <v>7.3454628560496653</v>
      </c>
      <c r="P83" s="513">
        <v>18.274026212769812</v>
      </c>
      <c r="Q83" s="513">
        <v>22.459003609744194</v>
      </c>
      <c r="R83" s="513">
        <v>7.7104509035941335</v>
      </c>
      <c r="S83" s="513">
        <v>68.17906807</v>
      </c>
      <c r="T83" s="512">
        <v>4.9741425406964218E-2</v>
      </c>
      <c r="U83" s="512">
        <v>0.15069195860015666</v>
      </c>
      <c r="V83" s="512">
        <v>0.1138596997532106</v>
      </c>
      <c r="W83" s="512">
        <v>0.47974527461100563</v>
      </c>
      <c r="X83" s="512">
        <v>0.33456424043994271</v>
      </c>
      <c r="Y83" s="512">
        <v>5.9483802001344954E-2</v>
      </c>
      <c r="Z83" s="512">
        <v>5.9483802001344954E-2</v>
      </c>
      <c r="AA83" s="514">
        <v>0.33505217703126305</v>
      </c>
    </row>
    <row r="84" spans="1:27" ht="14">
      <c r="A84" s="125" t="s">
        <v>717</v>
      </c>
      <c r="B84" s="296">
        <v>29</v>
      </c>
      <c r="C84" s="512">
        <v>0.19720833330000001</v>
      </c>
      <c r="D84" s="512">
        <v>1.311510803818907E-2</v>
      </c>
      <c r="E84" s="512">
        <v>2.9315361747272173E-2</v>
      </c>
      <c r="F84" s="512">
        <v>0.12622972608967076</v>
      </c>
      <c r="G84" s="513">
        <v>1.5986239005097629</v>
      </c>
      <c r="H84" s="513">
        <v>1.687026441</v>
      </c>
      <c r="I84" s="512">
        <v>0.11884824489529999</v>
      </c>
      <c r="J84" s="512">
        <v>0.55616697800000003</v>
      </c>
      <c r="K84" s="512">
        <v>5.7800000000000004E-2</v>
      </c>
      <c r="L84" s="512">
        <v>0.10348217224030058</v>
      </c>
      <c r="M84" s="512">
        <v>0.11103552251320417</v>
      </c>
      <c r="N84" s="513">
        <v>1.2317197291379707</v>
      </c>
      <c r="O84" s="513">
        <v>7.5890875657943946</v>
      </c>
      <c r="P84" s="513">
        <v>28.08006683746375</v>
      </c>
      <c r="Q84" s="513" t="s">
        <v>80</v>
      </c>
      <c r="R84" s="513">
        <v>8.7194278211802132</v>
      </c>
      <c r="S84" s="513">
        <v>50.641260799999998</v>
      </c>
      <c r="T84" s="512">
        <v>0.10195017636271114</v>
      </c>
      <c r="U84" s="512">
        <v>4.2868643121157263E-2</v>
      </c>
      <c r="V84" s="512">
        <v>2.4250902453430468E-2</v>
      </c>
      <c r="W84" s="512">
        <v>3.764390677507587</v>
      </c>
      <c r="X84" s="512">
        <v>-3.085095614661618E-2</v>
      </c>
      <c r="Y84" s="512">
        <v>1.3770325000000001E-4</v>
      </c>
      <c r="Z84" s="512">
        <v>1.377032499999542E-4</v>
      </c>
      <c r="AA84" s="514">
        <v>4.2337843902451065E-2</v>
      </c>
    </row>
    <row r="85" spans="1:27" ht="14">
      <c r="A85" s="125" t="s">
        <v>718</v>
      </c>
      <c r="B85" s="296">
        <v>333</v>
      </c>
      <c r="C85" s="512">
        <v>0.15553154929999999</v>
      </c>
      <c r="D85" s="512">
        <v>0.28631658213930083</v>
      </c>
      <c r="E85" s="512">
        <v>0.26854772852899061</v>
      </c>
      <c r="F85" s="512">
        <v>0.17372113877129391</v>
      </c>
      <c r="G85" s="513">
        <v>1.2190339285497593</v>
      </c>
      <c r="H85" s="513">
        <v>1.2417608339999999</v>
      </c>
      <c r="I85" s="512">
        <v>9.9568244112199999E-2</v>
      </c>
      <c r="J85" s="512">
        <v>0.63628486399999995</v>
      </c>
      <c r="K85" s="512">
        <v>5.7800000000000004E-2</v>
      </c>
      <c r="L85" s="512">
        <v>4.6671097579359853E-2</v>
      </c>
      <c r="M85" s="512">
        <v>9.6944476955499251E-2</v>
      </c>
      <c r="N85" s="513">
        <v>1.7141776006664302</v>
      </c>
      <c r="O85" s="513">
        <v>11.543734848591981</v>
      </c>
      <c r="P85" s="513">
        <v>27.978212114920282</v>
      </c>
      <c r="Q85" s="513">
        <v>37.850738061107265</v>
      </c>
      <c r="R85" s="513">
        <v>10.733765678170464</v>
      </c>
      <c r="S85" s="513">
        <v>203.77192980000001</v>
      </c>
      <c r="T85" s="512">
        <v>0.10581055834537492</v>
      </c>
      <c r="U85" s="512">
        <v>0.11958977395044544</v>
      </c>
      <c r="V85" s="512">
        <v>0.21011597941116059</v>
      </c>
      <c r="W85" s="512">
        <v>0.93539436133576004</v>
      </c>
      <c r="X85" s="512">
        <v>0.27664221670097855</v>
      </c>
      <c r="Y85" s="512">
        <v>0.23176224004903084</v>
      </c>
      <c r="Z85" s="512">
        <v>0.2317622400490309</v>
      </c>
      <c r="AA85" s="514">
        <v>0.30049989034140007</v>
      </c>
    </row>
    <row r="86" spans="1:27" ht="14">
      <c r="A86" s="125" t="s">
        <v>719</v>
      </c>
      <c r="B86" s="296">
        <v>27</v>
      </c>
      <c r="C86" s="512">
        <v>6.0515833329999998E-2</v>
      </c>
      <c r="D86" s="512">
        <v>7.6058228876925316E-2</v>
      </c>
      <c r="E86" s="512">
        <v>0.12494672128873931</v>
      </c>
      <c r="F86" s="512">
        <v>0.18669407658842091</v>
      </c>
      <c r="G86" s="513">
        <v>0.96393903348148247</v>
      </c>
      <c r="H86" s="513">
        <v>1.0597792100000001</v>
      </c>
      <c r="I86" s="512">
        <v>9.1688439793000009E-2</v>
      </c>
      <c r="J86" s="512">
        <v>0.46790273599999999</v>
      </c>
      <c r="K86" s="512">
        <v>5.7800000000000004E-2</v>
      </c>
      <c r="L86" s="512">
        <v>0.20569820385899051</v>
      </c>
      <c r="M86" s="512">
        <v>8.1745309550233958E-2</v>
      </c>
      <c r="N86" s="513">
        <v>1.855004733537124</v>
      </c>
      <c r="O86" s="513">
        <v>0.88738811682505903</v>
      </c>
      <c r="P86" s="513">
        <v>7.5173168626524731</v>
      </c>
      <c r="Q86" s="513">
        <v>11.566499852584055</v>
      </c>
      <c r="R86" s="513">
        <v>1.4229678027129475</v>
      </c>
      <c r="S86" s="513">
        <v>15.02257097</v>
      </c>
      <c r="T86" s="512">
        <v>0.19146593285137128</v>
      </c>
      <c r="U86" s="512">
        <v>7.5305799854802999E-2</v>
      </c>
      <c r="V86" s="512">
        <v>4.9794273240634554E-2</v>
      </c>
      <c r="W86" s="512">
        <v>0.60845245527000558</v>
      </c>
      <c r="X86" s="512">
        <v>0.10041297286139539</v>
      </c>
      <c r="Y86" s="512">
        <v>0.20943523814289522</v>
      </c>
      <c r="Z86" s="512">
        <v>0.20943523814289522</v>
      </c>
      <c r="AA86" s="514">
        <v>7.6474906662489572E-2</v>
      </c>
    </row>
    <row r="87" spans="1:27" ht="14">
      <c r="A87" s="125" t="s">
        <v>720</v>
      </c>
      <c r="B87" s="296">
        <v>11</v>
      </c>
      <c r="C87" s="512">
        <v>0.28067249999999999</v>
      </c>
      <c r="D87" s="512">
        <v>0.20147395975539462</v>
      </c>
      <c r="E87" s="512">
        <v>8.3054259364976443E-2</v>
      </c>
      <c r="F87" s="512">
        <v>0.24089288108515727</v>
      </c>
      <c r="G87" s="513">
        <v>0.58526739373043002</v>
      </c>
      <c r="H87" s="513">
        <v>0.77253914599999995</v>
      </c>
      <c r="I87" s="512">
        <v>7.9250945021799996E-2</v>
      </c>
      <c r="J87" s="512">
        <v>0.66732691499999996</v>
      </c>
      <c r="K87" s="512">
        <v>6.4100000000000004E-2</v>
      </c>
      <c r="L87" s="512">
        <v>0.32254087570054973</v>
      </c>
      <c r="M87" s="512">
        <v>6.919542841367643E-2</v>
      </c>
      <c r="N87" s="513">
        <v>0.51675463191342708</v>
      </c>
      <c r="O87" s="513">
        <v>4.1515030889879903</v>
      </c>
      <c r="P87" s="513">
        <v>9.8437019546986768</v>
      </c>
      <c r="Q87" s="513">
        <v>21.967971806851832</v>
      </c>
      <c r="R87" s="513">
        <v>3.5080037399413166</v>
      </c>
      <c r="S87" s="513">
        <v>13.359762699999999</v>
      </c>
      <c r="T87" s="512">
        <v>9.0352075288529482E-2</v>
      </c>
      <c r="U87" s="512">
        <v>0.11373822804120673</v>
      </c>
      <c r="V87" s="512">
        <v>-4.7718937847524664E-2</v>
      </c>
      <c r="W87" s="512">
        <v>6.822127620077649E-2</v>
      </c>
      <c r="X87" s="512">
        <v>0.13417482253514232</v>
      </c>
      <c r="Y87" s="512">
        <v>0.31533666947629641</v>
      </c>
      <c r="Z87" s="512">
        <v>0.31533666947629646</v>
      </c>
      <c r="AA87" s="514">
        <v>0.18900872750163605</v>
      </c>
    </row>
    <row r="88" spans="1:27" ht="14">
      <c r="A88" s="125" t="s">
        <v>721</v>
      </c>
      <c r="B88" s="296">
        <v>61</v>
      </c>
      <c r="C88" s="512">
        <v>2.5522291670000002E-2</v>
      </c>
      <c r="D88" s="512">
        <v>0.17490719670287783</v>
      </c>
      <c r="E88" s="512">
        <v>0.21770547180939451</v>
      </c>
      <c r="F88" s="512">
        <v>0.10244037219902397</v>
      </c>
      <c r="G88" s="513">
        <v>0.94839632159299792</v>
      </c>
      <c r="H88" s="513">
        <v>0.99961464799999999</v>
      </c>
      <c r="I88" s="512">
        <v>8.9083314258399993E-2</v>
      </c>
      <c r="J88" s="512">
        <v>0.56093442599999999</v>
      </c>
      <c r="K88" s="512">
        <v>5.7800000000000004E-2</v>
      </c>
      <c r="L88" s="512">
        <v>0.11350800707772311</v>
      </c>
      <c r="M88" s="512">
        <v>8.3892216899869795E-2</v>
      </c>
      <c r="N88" s="513">
        <v>2.6691836427011228</v>
      </c>
      <c r="O88" s="513">
        <v>5.4799000529607049</v>
      </c>
      <c r="P88" s="513">
        <v>21.766350676481835</v>
      </c>
      <c r="Q88" s="513">
        <v>29.902931442066308</v>
      </c>
      <c r="R88" s="513">
        <v>6.9110046888687693</v>
      </c>
      <c r="S88" s="513">
        <v>46.055971649999996</v>
      </c>
      <c r="T88" s="512">
        <v>0.24911288660028066</v>
      </c>
      <c r="U88" s="512">
        <v>2.9582183569742293E-2</v>
      </c>
      <c r="V88" s="512">
        <v>0.26114498331874886</v>
      </c>
      <c r="W88" s="512">
        <v>1.5162671716874174</v>
      </c>
      <c r="X88" s="512">
        <v>0.15034527875228451</v>
      </c>
      <c r="Y88" s="512">
        <v>0.6691295820704013</v>
      </c>
      <c r="Z88" s="512">
        <v>0.6691295820704013</v>
      </c>
      <c r="AA88" s="514">
        <v>0.18414536479657151</v>
      </c>
    </row>
    <row r="89" spans="1:27" ht="14">
      <c r="A89" s="125" t="s">
        <v>722</v>
      </c>
      <c r="B89" s="296">
        <v>32</v>
      </c>
      <c r="C89" s="512">
        <v>0.105799</v>
      </c>
      <c r="D89" s="512">
        <v>0.20346195325377506</v>
      </c>
      <c r="E89" s="512">
        <v>0.1168586516115778</v>
      </c>
      <c r="F89" s="512">
        <v>0.28301670118193933</v>
      </c>
      <c r="G89" s="513">
        <v>0.51507264095190353</v>
      </c>
      <c r="H89" s="513">
        <v>0.88603861399999995</v>
      </c>
      <c r="I89" s="512">
        <v>8.4165471986200002E-2</v>
      </c>
      <c r="J89" s="512">
        <v>0.63709117900000001</v>
      </c>
      <c r="K89" s="512">
        <v>5.7800000000000004E-2</v>
      </c>
      <c r="L89" s="512">
        <v>0.50041697696437237</v>
      </c>
      <c r="M89" s="512">
        <v>6.3740716881491771E-2</v>
      </c>
      <c r="N89" s="513">
        <v>0.59226786178126434</v>
      </c>
      <c r="O89" s="513">
        <v>2.5635058648544642</v>
      </c>
      <c r="P89" s="513">
        <v>6.6189662381019314</v>
      </c>
      <c r="Q89" s="513">
        <v>12.281153635423223</v>
      </c>
      <c r="R89" s="513">
        <v>1.6220825706185245</v>
      </c>
      <c r="S89" s="513">
        <v>25.517080329999999</v>
      </c>
      <c r="T89" s="512">
        <v>-2.6194258044344949E-2</v>
      </c>
      <c r="U89" s="512">
        <v>0.14643746938324614</v>
      </c>
      <c r="V89" s="512">
        <v>1.6218816990425423E-3</v>
      </c>
      <c r="W89" s="512">
        <v>3.8956674413500404E-2</v>
      </c>
      <c r="X89" s="512">
        <v>7.7465137533441628E-2</v>
      </c>
      <c r="Y89" s="512">
        <v>1.1784208073760309</v>
      </c>
      <c r="Z89" s="512">
        <v>1.1784208073760309</v>
      </c>
      <c r="AA89" s="514">
        <v>0.20646024162442983</v>
      </c>
    </row>
    <row r="90" spans="1:27" ht="14">
      <c r="A90" s="125" t="s">
        <v>723</v>
      </c>
      <c r="B90" s="296">
        <v>12</v>
      </c>
      <c r="C90" s="512">
        <v>-5.1542857099999995E-3</v>
      </c>
      <c r="D90" s="512">
        <v>0.41046960706900121</v>
      </c>
      <c r="E90" s="512">
        <v>0.57899212485822715</v>
      </c>
      <c r="F90" s="512">
        <v>0.22089489521036715</v>
      </c>
      <c r="G90" s="513">
        <v>0.8250398443426944</v>
      </c>
      <c r="H90" s="513">
        <v>0.97996825300000001</v>
      </c>
      <c r="I90" s="512">
        <v>8.8232625354900007E-2</v>
      </c>
      <c r="J90" s="512">
        <v>0.68343250700000002</v>
      </c>
      <c r="K90" s="512">
        <v>6.4100000000000004E-2</v>
      </c>
      <c r="L90" s="512">
        <v>0.21850684001661214</v>
      </c>
      <c r="M90" s="512">
        <v>7.9457909536029825E-2</v>
      </c>
      <c r="N90" s="513">
        <v>1.7295163968284217</v>
      </c>
      <c r="O90" s="513">
        <v>5.5373739749755284</v>
      </c>
      <c r="P90" s="513">
        <v>12.351530214414623</v>
      </c>
      <c r="Q90" s="513">
        <v>13.422569017122045</v>
      </c>
      <c r="R90" s="513" t="s">
        <v>80</v>
      </c>
      <c r="S90" s="513">
        <v>15.289643140000001</v>
      </c>
      <c r="T90" s="512">
        <v>0.15221849660983588</v>
      </c>
      <c r="U90" s="512">
        <v>2.7304164693991221E-2</v>
      </c>
      <c r="V90" s="512">
        <v>-6.0251026375366364E-3</v>
      </c>
      <c r="W90" s="512">
        <v>-1.3103944020907228E-2</v>
      </c>
      <c r="X90" s="512" t="s">
        <v>80</v>
      </c>
      <c r="Y90" s="512">
        <v>0.74476751525352403</v>
      </c>
      <c r="Z90" s="512">
        <v>0.74476751525352403</v>
      </c>
      <c r="AA90" s="514">
        <v>0.41216607778207126</v>
      </c>
    </row>
    <row r="91" spans="1:27" ht="14">
      <c r="A91" s="125" t="s">
        <v>724</v>
      </c>
      <c r="B91" s="296">
        <v>21</v>
      </c>
      <c r="C91" s="512">
        <v>8.5724285710000001E-2</v>
      </c>
      <c r="D91" s="512">
        <v>6.8344413085163175E-2</v>
      </c>
      <c r="E91" s="512">
        <v>0.10895423734411661</v>
      </c>
      <c r="F91" s="512">
        <v>0.19644394413311603</v>
      </c>
      <c r="G91" s="513">
        <v>0.8323467894508807</v>
      </c>
      <c r="H91" s="513">
        <v>1.026899078</v>
      </c>
      <c r="I91" s="512">
        <v>9.0264730077399991E-2</v>
      </c>
      <c r="J91" s="512">
        <v>0.51675340199999997</v>
      </c>
      <c r="K91" s="512">
        <v>5.7800000000000004E-2</v>
      </c>
      <c r="L91" s="512">
        <v>0.27905061935740655</v>
      </c>
      <c r="M91" s="512">
        <v>7.7173145592315973E-2</v>
      </c>
      <c r="N91" s="513">
        <v>1.9438034247568625</v>
      </c>
      <c r="O91" s="513">
        <v>1.5760401872467884</v>
      </c>
      <c r="P91" s="513">
        <v>11.794225725241436</v>
      </c>
      <c r="Q91" s="513">
        <v>21.822021474964121</v>
      </c>
      <c r="R91" s="513">
        <v>4.8854504792465905</v>
      </c>
      <c r="S91" s="513">
        <v>24.83280336</v>
      </c>
      <c r="T91" s="512">
        <v>7.0722194977857464E-2</v>
      </c>
      <c r="U91" s="512">
        <v>5.6130368694257853E-2</v>
      </c>
      <c r="V91" s="512">
        <v>3.4716455347616589E-2</v>
      </c>
      <c r="W91" s="512">
        <v>1.0095105897567116</v>
      </c>
      <c r="X91" s="512">
        <v>0.1732466371886561</v>
      </c>
      <c r="Y91" s="512">
        <v>0.59783163336154532</v>
      </c>
      <c r="Z91" s="512">
        <v>0.59783163336154532</v>
      </c>
      <c r="AA91" s="514">
        <v>6.8305927345044565E-2</v>
      </c>
    </row>
    <row r="92" spans="1:27" ht="14">
      <c r="A92" s="125" t="s">
        <v>725</v>
      </c>
      <c r="B92" s="296">
        <v>4</v>
      </c>
      <c r="C92" s="512">
        <v>2.23E-2</v>
      </c>
      <c r="D92" s="512">
        <v>0.38313530147727365</v>
      </c>
      <c r="E92" s="512">
        <v>0.15062156493399784</v>
      </c>
      <c r="F92" s="512">
        <v>0.23259321829371304</v>
      </c>
      <c r="G92" s="513">
        <v>0.82680427657044109</v>
      </c>
      <c r="H92" s="513">
        <v>0.99185610700000004</v>
      </c>
      <c r="I92" s="512">
        <v>8.8747369433099993E-2</v>
      </c>
      <c r="J92" s="512">
        <v>0.265599529</v>
      </c>
      <c r="K92" s="512">
        <v>5.0799999999999998E-2</v>
      </c>
      <c r="L92" s="512">
        <v>0.22113827756660989</v>
      </c>
      <c r="M92" s="512">
        <v>7.7547297393384493E-2</v>
      </c>
      <c r="N92" s="513">
        <v>0.47509810066637165</v>
      </c>
      <c r="O92" s="513">
        <v>6.2760962190032874</v>
      </c>
      <c r="P92" s="513">
        <v>12.558833786429959</v>
      </c>
      <c r="Q92" s="513">
        <v>16.403978960543967</v>
      </c>
      <c r="R92" s="513">
        <v>5.7917933026902615</v>
      </c>
      <c r="S92" s="513">
        <v>19.927687089999999</v>
      </c>
      <c r="T92" s="512">
        <v>1.012760038233488E-2</v>
      </c>
      <c r="U92" s="512">
        <v>0.1988219112081627</v>
      </c>
      <c r="V92" s="512">
        <v>9.4309271620960033E-2</v>
      </c>
      <c r="W92" s="512">
        <v>0.3189368237221375</v>
      </c>
      <c r="X92" s="512">
        <v>0.31992256328814483</v>
      </c>
      <c r="Y92" s="512">
        <v>0.42724562146779754</v>
      </c>
      <c r="Z92" s="512">
        <v>0.42724562146779754</v>
      </c>
      <c r="AA92" s="514">
        <v>0.38259596858170858</v>
      </c>
    </row>
    <row r="93" spans="1:27" ht="14">
      <c r="A93" s="125" t="s">
        <v>726</v>
      </c>
      <c r="B93" s="296">
        <v>24</v>
      </c>
      <c r="C93" s="512">
        <v>0.1022627778</v>
      </c>
      <c r="D93" s="512">
        <v>6.9683456617177703E-2</v>
      </c>
      <c r="E93" s="512">
        <v>9.2994405161781868E-2</v>
      </c>
      <c r="F93" s="512">
        <v>0.24091420495127222</v>
      </c>
      <c r="G93" s="513">
        <v>0.96465362565367474</v>
      </c>
      <c r="H93" s="513">
        <v>1.104813204</v>
      </c>
      <c r="I93" s="512">
        <v>9.3638411733200005E-2</v>
      </c>
      <c r="J93" s="512">
        <v>0.32180094199999998</v>
      </c>
      <c r="K93" s="512">
        <v>5.5300000000000002E-2</v>
      </c>
      <c r="L93" s="512">
        <v>0.18643277958512136</v>
      </c>
      <c r="M93" s="512">
        <v>8.3913441891136392E-2</v>
      </c>
      <c r="N93" s="513">
        <v>1.6281746952724945</v>
      </c>
      <c r="O93" s="513">
        <v>1.8533738985390344</v>
      </c>
      <c r="P93" s="513">
        <v>11.329962641638978</v>
      </c>
      <c r="Q93" s="513">
        <v>25.314404890062036</v>
      </c>
      <c r="R93" s="513">
        <v>3.2266705489891581</v>
      </c>
      <c r="S93" s="513">
        <v>335.51513019999999</v>
      </c>
      <c r="T93" s="512">
        <v>7.0440298603836299E-2</v>
      </c>
      <c r="U93" s="512">
        <v>0.14730258749801634</v>
      </c>
      <c r="V93" s="512">
        <v>9.0853693674562669E-2</v>
      </c>
      <c r="W93" s="512">
        <v>1.6422339837953763</v>
      </c>
      <c r="X93" s="512">
        <v>9.3236257226682662E-2</v>
      </c>
      <c r="Y93" s="512">
        <v>0.23428414208931425</v>
      </c>
      <c r="Z93" s="512">
        <v>0.23428414208931425</v>
      </c>
      <c r="AA93" s="514">
        <v>7.161627256450262E-2</v>
      </c>
    </row>
    <row r="94" spans="1:27" ht="14">
      <c r="A94" s="125" t="s">
        <v>727</v>
      </c>
      <c r="B94" s="296">
        <v>14</v>
      </c>
      <c r="C94" s="512">
        <v>2.3622142860000001E-2</v>
      </c>
      <c r="D94" s="512">
        <v>0.23277003858979722</v>
      </c>
      <c r="E94" s="512">
        <v>6.0541913857707054E-2</v>
      </c>
      <c r="F94" s="512">
        <v>0.10640099363124654</v>
      </c>
      <c r="G94" s="513">
        <v>0.2501807366180015</v>
      </c>
      <c r="H94" s="513">
        <v>0.393437747</v>
      </c>
      <c r="I94" s="512">
        <v>6.2835854445099995E-2</v>
      </c>
      <c r="J94" s="512">
        <v>0.18214476399999999</v>
      </c>
      <c r="K94" s="512">
        <v>5.0799999999999998E-2</v>
      </c>
      <c r="L94" s="512">
        <v>0.43837816797525603</v>
      </c>
      <c r="M94" s="512">
        <v>5.1992195890154469E-2</v>
      </c>
      <c r="N94" s="513">
        <v>0.29371422898224059</v>
      </c>
      <c r="O94" s="513">
        <v>5.2386033733076012</v>
      </c>
      <c r="P94" s="513">
        <v>13.439817358637111</v>
      </c>
      <c r="Q94" s="513">
        <v>22.708466614939166</v>
      </c>
      <c r="R94" s="513">
        <v>1.8234183995388085</v>
      </c>
      <c r="S94" s="513">
        <v>18.717166150000001</v>
      </c>
      <c r="T94" s="512">
        <v>6.0863152512305625E-2</v>
      </c>
      <c r="U94" s="512">
        <v>0.46439281293870399</v>
      </c>
      <c r="V94" s="512">
        <v>0.30653922157705915</v>
      </c>
      <c r="W94" s="512">
        <v>1.5320810969483256</v>
      </c>
      <c r="X94" s="512">
        <v>0.10812006094726512</v>
      </c>
      <c r="Y94" s="512">
        <v>0.63228137222703251</v>
      </c>
      <c r="Z94" s="512">
        <v>0.63228137222703251</v>
      </c>
      <c r="AA94" s="514">
        <v>0.23068943676986509</v>
      </c>
    </row>
    <row r="95" spans="1:27" ht="14">
      <c r="A95" s="125" t="s">
        <v>728</v>
      </c>
      <c r="B95" s="296">
        <v>15</v>
      </c>
      <c r="C95" s="512">
        <v>0.1164666667</v>
      </c>
      <c r="D95" s="512">
        <v>0.33106423551087982</v>
      </c>
      <c r="E95" s="512">
        <v>6.9592373211453354E-2</v>
      </c>
      <c r="F95" s="512">
        <v>0.16358856638156224</v>
      </c>
      <c r="G95" s="513">
        <v>0.47321201737160523</v>
      </c>
      <c r="H95" s="513">
        <v>0.67856719700000001</v>
      </c>
      <c r="I95" s="512">
        <v>7.5181959630099993E-2</v>
      </c>
      <c r="J95" s="512">
        <v>0.29167780100000001</v>
      </c>
      <c r="K95" s="512">
        <v>5.0799999999999998E-2</v>
      </c>
      <c r="L95" s="512">
        <v>0.36963856764413655</v>
      </c>
      <c r="M95" s="512">
        <v>6.1475037186992133E-2</v>
      </c>
      <c r="N95" s="513">
        <v>0.23750271221398803</v>
      </c>
      <c r="O95" s="513">
        <v>7.5093192749480862</v>
      </c>
      <c r="P95" s="513">
        <v>15.027217298270639</v>
      </c>
      <c r="Q95" s="513">
        <v>22.558596050932096</v>
      </c>
      <c r="R95" s="513">
        <v>2.0547679174434674</v>
      </c>
      <c r="S95" s="513">
        <v>23.134377090000001</v>
      </c>
      <c r="T95" s="512">
        <v>0.10763973741455986</v>
      </c>
      <c r="U95" s="512">
        <v>0.55872847488709976</v>
      </c>
      <c r="V95" s="512">
        <v>0.4184202999074465</v>
      </c>
      <c r="W95" s="512">
        <v>1.5664814339057058</v>
      </c>
      <c r="X95" s="512">
        <v>0.15933623251563078</v>
      </c>
      <c r="Y95" s="512">
        <v>0.57826181089477313</v>
      </c>
      <c r="Z95" s="512">
        <v>0.37933536416241576</v>
      </c>
      <c r="AA95" s="514">
        <v>0.33063785757080549</v>
      </c>
    </row>
    <row r="96" spans="1:27" ht="14">
      <c r="A96" s="125" t="s">
        <v>867</v>
      </c>
      <c r="B96" s="296">
        <v>6062</v>
      </c>
      <c r="C96" s="512">
        <v>9.9662820360000015E-2</v>
      </c>
      <c r="D96" s="512">
        <v>0.12082027487417142</v>
      </c>
      <c r="E96" s="512">
        <v>8.7282709945582834E-2</v>
      </c>
      <c r="F96" s="512">
        <v>0.19324455633307253</v>
      </c>
      <c r="G96" s="513">
        <v>0.81675187642856839</v>
      </c>
      <c r="H96" s="513">
        <v>1.0027796680000001</v>
      </c>
      <c r="I96" s="512">
        <v>8.9220359624400003E-2</v>
      </c>
      <c r="J96" s="512">
        <v>0.52532639199999998</v>
      </c>
      <c r="K96" s="512">
        <v>5.7800000000000004E-2</v>
      </c>
      <c r="L96" s="512">
        <v>0.28151279078230818</v>
      </c>
      <c r="M96" s="512">
        <v>7.6307266672347052E-2</v>
      </c>
      <c r="N96" s="513">
        <v>0.8431269668834348</v>
      </c>
      <c r="O96" s="513">
        <v>3.6461555004355399</v>
      </c>
      <c r="P96" s="513">
        <v>18.597580056961124</v>
      </c>
      <c r="Q96" s="513">
        <v>28.26574274666995</v>
      </c>
      <c r="R96" s="513">
        <v>4.308601916726718</v>
      </c>
      <c r="S96" s="513">
        <v>48.856127440000002</v>
      </c>
      <c r="T96" s="512">
        <v>-0.21701985477065053</v>
      </c>
      <c r="U96" s="512">
        <v>5.8751429774844113E-2</v>
      </c>
      <c r="V96" s="512">
        <v>4.2148320413931871E-2</v>
      </c>
      <c r="W96" s="512">
        <v>0.47727231933717679</v>
      </c>
      <c r="X96" s="512">
        <v>0.15933623251563078</v>
      </c>
      <c r="Y96" s="512">
        <v>0.3793353641624157</v>
      </c>
      <c r="Z96" s="512">
        <v>0.37933536416241576</v>
      </c>
      <c r="AA96" s="514">
        <v>0.12264077943971394</v>
      </c>
    </row>
    <row r="97" spans="1:27" ht="14">
      <c r="A97" s="125" t="s">
        <v>908</v>
      </c>
      <c r="B97" s="296">
        <v>4935</v>
      </c>
      <c r="C97" s="512">
        <v>0.10246298224008107</v>
      </c>
      <c r="D97" s="512">
        <v>0.11934234745453784</v>
      </c>
      <c r="E97" s="512">
        <v>0.15008472975146017</v>
      </c>
      <c r="F97" s="512">
        <v>0.19335597694893408</v>
      </c>
      <c r="G97" s="513">
        <v>0.97679306437065361</v>
      </c>
      <c r="H97" s="513">
        <v>1.0857816776984806</v>
      </c>
      <c r="I97" s="512">
        <v>9.2814346644344209E-2</v>
      </c>
      <c r="J97" s="512">
        <v>0.57396285471894626</v>
      </c>
      <c r="K97" s="512">
        <v>5.7800000000000004E-2</v>
      </c>
      <c r="L97" s="512">
        <v>0.16170905004468053</v>
      </c>
      <c r="M97" s="512">
        <v>8.4815514137406539E-2</v>
      </c>
      <c r="N97" s="513">
        <v>1.5606598104159137</v>
      </c>
      <c r="O97" s="513">
        <v>2.9877222862024149</v>
      </c>
      <c r="P97" s="513">
        <v>15.831102273722884</v>
      </c>
      <c r="Q97" s="513">
        <v>24.411761199614997</v>
      </c>
      <c r="R97" s="513">
        <v>5.0970317355598365</v>
      </c>
      <c r="S97" s="513">
        <v>53.282762874549164</v>
      </c>
      <c r="T97" s="512">
        <v>8.2522039416223048E-2</v>
      </c>
      <c r="U97" s="512">
        <v>6.0781593174589768E-2</v>
      </c>
      <c r="V97" s="512">
        <v>4.3473903201840802E-2</v>
      </c>
      <c r="W97" s="512">
        <v>0.50790118641989512</v>
      </c>
      <c r="X97" s="512">
        <v>0.16407375407096406</v>
      </c>
      <c r="Y97" s="512">
        <v>0.39682647940453203</v>
      </c>
      <c r="Z97" s="512">
        <v>0.39682647940453197</v>
      </c>
      <c r="AA97" s="514">
        <v>0.1213209947335242</v>
      </c>
    </row>
  </sheetData>
  <phoneticPr fontId="8"/>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C6F7-3BDC-F643-ACBA-40077CC84E6E}">
  <dimension ref="A1:T97"/>
  <sheetViews>
    <sheetView workbookViewId="0">
      <selection activeCell="G47" sqref="G47"/>
    </sheetView>
  </sheetViews>
  <sheetFormatPr baseColWidth="10" defaultRowHeight="13"/>
  <cols>
    <col min="1" max="1" width="41" customWidth="1"/>
    <col min="3" max="18" width="14.83203125" customWidth="1"/>
  </cols>
  <sheetData>
    <row r="1" spans="1:20" s="2" customFormat="1" ht="16">
      <c r="A1" s="374"/>
      <c r="B1" s="126"/>
      <c r="C1" s="696" t="s">
        <v>831</v>
      </c>
      <c r="D1" s="696"/>
      <c r="E1" s="696"/>
      <c r="F1" s="696" t="s">
        <v>832</v>
      </c>
      <c r="G1" s="696"/>
      <c r="H1" s="696"/>
      <c r="I1" s="697" t="s">
        <v>833</v>
      </c>
      <c r="J1" s="697"/>
      <c r="K1" s="697"/>
      <c r="L1" s="696" t="s">
        <v>542</v>
      </c>
      <c r="M1" s="696"/>
      <c r="N1" s="696"/>
      <c r="O1" s="126" t="s">
        <v>442</v>
      </c>
      <c r="P1" s="696" t="s">
        <v>834</v>
      </c>
      <c r="Q1" s="696"/>
      <c r="R1" s="696"/>
      <c r="S1" s="515"/>
      <c r="T1" s="515"/>
    </row>
    <row r="2" spans="1:20" ht="17">
      <c r="A2" s="372" t="s">
        <v>835</v>
      </c>
      <c r="B2" s="373" t="s">
        <v>836</v>
      </c>
      <c r="C2" s="373" t="s">
        <v>837</v>
      </c>
      <c r="D2" s="373" t="s">
        <v>746</v>
      </c>
      <c r="E2" s="373" t="s">
        <v>747</v>
      </c>
      <c r="F2" s="373" t="s">
        <v>837</v>
      </c>
      <c r="G2" s="373" t="s">
        <v>746</v>
      </c>
      <c r="H2" s="373" t="s">
        <v>747</v>
      </c>
      <c r="I2" s="373" t="s">
        <v>837</v>
      </c>
      <c r="J2" s="373" t="s">
        <v>746</v>
      </c>
      <c r="K2" s="373" t="s">
        <v>747</v>
      </c>
      <c r="L2" s="373" t="s">
        <v>837</v>
      </c>
      <c r="M2" s="373" t="s">
        <v>746</v>
      </c>
      <c r="N2" s="373" t="s">
        <v>747</v>
      </c>
      <c r="O2" s="373" t="s">
        <v>838</v>
      </c>
      <c r="P2" s="373" t="s">
        <v>837</v>
      </c>
      <c r="Q2" s="373" t="s">
        <v>746</v>
      </c>
      <c r="R2" s="373" t="s">
        <v>747</v>
      </c>
    </row>
    <row r="3" spans="1:20">
      <c r="A3" s="516" t="s">
        <v>79</v>
      </c>
      <c r="B3" s="517">
        <v>417</v>
      </c>
      <c r="C3" s="518">
        <v>1.5599999999999999E-2</v>
      </c>
      <c r="D3" s="518">
        <v>6.9099999999999995E-2</v>
      </c>
      <c r="E3" s="518">
        <v>0.157</v>
      </c>
      <c r="F3" s="518">
        <v>-3.453947368421053E-2</v>
      </c>
      <c r="G3" s="518">
        <v>3.6944274974013452E-2</v>
      </c>
      <c r="H3" s="518">
        <v>0.1051159366948841</v>
      </c>
      <c r="I3" s="519">
        <v>1.2057086614173229</v>
      </c>
      <c r="J3" s="519">
        <v>2.9656724817107478</v>
      </c>
      <c r="K3" s="519">
        <v>6.3820224719101128</v>
      </c>
      <c r="L3" s="520">
        <v>0.101457612564645</v>
      </c>
      <c r="M3" s="520">
        <v>0.1077848942326783</v>
      </c>
      <c r="N3" s="520">
        <v>0.11005604522153591</v>
      </c>
      <c r="O3" s="519">
        <v>1.0906959758795951</v>
      </c>
      <c r="P3" s="520">
        <v>1.5324421258558849E-2</v>
      </c>
      <c r="Q3" s="520">
        <v>0.1050295857988166</v>
      </c>
      <c r="R3" s="520">
        <v>0.31524975190208399</v>
      </c>
      <c r="S3" s="520">
        <v>9.1552857865452725E-2</v>
      </c>
      <c r="T3" s="520">
        <v>0.28106528422796612</v>
      </c>
    </row>
    <row r="4" spans="1:20">
      <c r="A4" s="516" t="s">
        <v>645</v>
      </c>
      <c r="B4" s="517">
        <v>300</v>
      </c>
      <c r="C4" s="518">
        <v>7.6600000000000001E-2</v>
      </c>
      <c r="D4" s="518">
        <v>0.14799999999999999</v>
      </c>
      <c r="E4" s="518">
        <v>0.25</v>
      </c>
      <c r="F4" s="518">
        <v>-4.4349680170575688E-2</v>
      </c>
      <c r="G4" s="518">
        <v>6.6805963406370003E-2</v>
      </c>
      <c r="H4" s="518">
        <v>0.1338742393509128</v>
      </c>
      <c r="I4" s="519">
        <v>0.68568090078606347</v>
      </c>
      <c r="J4" s="519">
        <v>1.262120209504658</v>
      </c>
      <c r="K4" s="519">
        <v>2.1526429718595068</v>
      </c>
      <c r="L4" s="520">
        <v>8.3708582695856737E-2</v>
      </c>
      <c r="M4" s="520">
        <v>8.9891933152713613E-2</v>
      </c>
      <c r="N4" s="520">
        <v>9.2745281507650185E-2</v>
      </c>
      <c r="O4" s="519">
        <v>0.95106882335041021</v>
      </c>
      <c r="P4" s="520">
        <v>9.4887712561065249E-3</v>
      </c>
      <c r="Q4" s="520">
        <v>7.353692374900625E-2</v>
      </c>
      <c r="R4" s="520">
        <v>0.2128378378378378</v>
      </c>
      <c r="S4" s="520">
        <v>9.7744360902255634E-2</v>
      </c>
      <c r="T4" s="520">
        <v>0.2356830085000429</v>
      </c>
    </row>
    <row r="5" spans="1:20">
      <c r="A5" s="516" t="s">
        <v>646</v>
      </c>
      <c r="B5" s="517">
        <v>151</v>
      </c>
      <c r="C5" s="518">
        <v>5.4399999999999997E-2</v>
      </c>
      <c r="D5" s="518">
        <v>9.7100000000000006E-2</v>
      </c>
      <c r="E5" s="518">
        <v>0.14399999999999999</v>
      </c>
      <c r="F5" s="518">
        <v>2.5615378452589339E-2</v>
      </c>
      <c r="G5" s="518">
        <v>9.6853415948117388E-2</v>
      </c>
      <c r="H5" s="518">
        <v>0.16822916666666671</v>
      </c>
      <c r="I5" s="519">
        <v>0.66394009216589855</v>
      </c>
      <c r="J5" s="519">
        <v>1.1074566786117519</v>
      </c>
      <c r="K5" s="519">
        <v>2.1248306233062331</v>
      </c>
      <c r="L5" s="520">
        <v>7.9692842247289786E-2</v>
      </c>
      <c r="M5" s="520">
        <v>8.5864405901832377E-2</v>
      </c>
      <c r="N5" s="520">
        <v>0.10025693908676959</v>
      </c>
      <c r="O5" s="519">
        <v>1.2435553247526201</v>
      </c>
      <c r="P5" s="520">
        <v>0.17503680882916989</v>
      </c>
      <c r="Q5" s="520">
        <v>0.42710861201538919</v>
      </c>
      <c r="R5" s="520">
        <v>0.60558128695854818</v>
      </c>
      <c r="S5" s="520">
        <v>0.43675793554640169</v>
      </c>
      <c r="T5" s="520">
        <v>0.62652889076339102</v>
      </c>
    </row>
    <row r="6" spans="1:20">
      <c r="A6" s="516" t="s">
        <v>647</v>
      </c>
      <c r="B6" s="517">
        <v>1194</v>
      </c>
      <c r="C6" s="518">
        <v>2.1499999999999998E-2</v>
      </c>
      <c r="D6" s="518">
        <v>6.9800000000000001E-2</v>
      </c>
      <c r="E6" s="518">
        <v>0.13500000000000001</v>
      </c>
      <c r="F6" s="518">
        <v>-1.7258883248730969E-2</v>
      </c>
      <c r="G6" s="518">
        <v>4.0765765765765773E-2</v>
      </c>
      <c r="H6" s="518">
        <v>8.7986213151764872E-2</v>
      </c>
      <c r="I6" s="519">
        <v>0.65214285714285725</v>
      </c>
      <c r="J6" s="519">
        <v>1.259373320656487</v>
      </c>
      <c r="K6" s="519">
        <v>1.921167387594056</v>
      </c>
      <c r="L6" s="520">
        <v>8.4954292043361565E-2</v>
      </c>
      <c r="M6" s="520">
        <v>9.7790357963812066E-2</v>
      </c>
      <c r="N6" s="520">
        <v>0.1019375734072223</v>
      </c>
      <c r="O6" s="519">
        <v>0.69969362969419124</v>
      </c>
      <c r="P6" s="520">
        <v>5.0793650793650787E-2</v>
      </c>
      <c r="Q6" s="520">
        <v>0.2260843765648429</v>
      </c>
      <c r="R6" s="520">
        <v>0.51890941072999119</v>
      </c>
      <c r="S6" s="520">
        <v>0.2344753747323341</v>
      </c>
      <c r="T6" s="520">
        <v>0.51264044943820219</v>
      </c>
    </row>
    <row r="7" spans="1:20">
      <c r="A7" s="516" t="s">
        <v>648</v>
      </c>
      <c r="B7" s="517">
        <v>162</v>
      </c>
      <c r="C7" s="518">
        <v>8.9600000000000009E-3</v>
      </c>
      <c r="D7" s="518">
        <v>5.6099999999999997E-2</v>
      </c>
      <c r="E7" s="518">
        <v>0.183</v>
      </c>
      <c r="F7" s="518">
        <v>-0.22720258652362399</v>
      </c>
      <c r="G7" s="518">
        <v>2.102153974406314E-2</v>
      </c>
      <c r="H7" s="518">
        <v>8.4959681112269231E-2</v>
      </c>
      <c r="I7" s="519">
        <v>0.61188811188811199</v>
      </c>
      <c r="J7" s="519">
        <v>1.317757191773647</v>
      </c>
      <c r="K7" s="519">
        <v>2.915119537801365</v>
      </c>
      <c r="L7" s="520">
        <v>8.9773390193542191E-2</v>
      </c>
      <c r="M7" s="520">
        <v>9.7549306909466615E-2</v>
      </c>
      <c r="N7" s="520">
        <v>0.111895887838483</v>
      </c>
      <c r="O7" s="519">
        <v>1.427983043714252</v>
      </c>
      <c r="P7" s="520">
        <v>1.8491836487228689E-2</v>
      </c>
      <c r="Q7" s="520">
        <v>0.16030003764951201</v>
      </c>
      <c r="R7" s="520">
        <v>0.48195052466709881</v>
      </c>
      <c r="S7" s="520">
        <v>0.13077098293439421</v>
      </c>
      <c r="T7" s="520">
        <v>0.37923897468555962</v>
      </c>
    </row>
    <row r="8" spans="1:20">
      <c r="A8" s="516" t="s">
        <v>649</v>
      </c>
      <c r="B8" s="517">
        <v>780</v>
      </c>
      <c r="C8" s="518">
        <v>1.7399999999999999E-2</v>
      </c>
      <c r="D8" s="518">
        <v>5.8600000000000013E-2</v>
      </c>
      <c r="E8" s="518">
        <v>0.18099999999999999</v>
      </c>
      <c r="F8" s="518">
        <v>2.078257130571879E-2</v>
      </c>
      <c r="G8" s="518">
        <v>5.1914414414414418E-2</v>
      </c>
      <c r="H8" s="518">
        <v>9.1092673076078837E-2</v>
      </c>
      <c r="I8" s="519">
        <v>1.043083900226758</v>
      </c>
      <c r="J8" s="519">
        <v>1.611982881597718</v>
      </c>
      <c r="K8" s="519">
        <v>2.3565970549620769</v>
      </c>
      <c r="L8" s="520">
        <v>0.1000781892761156</v>
      </c>
      <c r="M8" s="520">
        <v>0.1062405419602088</v>
      </c>
      <c r="N8" s="520">
        <v>0.1135535810598545</v>
      </c>
      <c r="O8" s="519">
        <v>1.2539606203111739</v>
      </c>
      <c r="P8" s="520">
        <v>4.6013008913514807E-2</v>
      </c>
      <c r="Q8" s="520">
        <v>0.19239874421305631</v>
      </c>
      <c r="R8" s="520">
        <v>0.44497607655502402</v>
      </c>
      <c r="S8" s="520">
        <v>0.18155644739138019</v>
      </c>
      <c r="T8" s="520">
        <v>0.41995532390171247</v>
      </c>
    </row>
    <row r="9" spans="1:20">
      <c r="A9" s="516" t="s">
        <v>650</v>
      </c>
      <c r="B9" s="517">
        <v>621</v>
      </c>
      <c r="C9" s="518">
        <v>1.8599999999999998E-2</v>
      </c>
      <c r="D9" s="518">
        <v>5.8600000000000013E-2</v>
      </c>
      <c r="E9" s="518">
        <v>0.11600000000000001</v>
      </c>
      <c r="F9" s="518">
        <v>0</v>
      </c>
      <c r="G9" s="518">
        <v>0</v>
      </c>
      <c r="H9" s="518">
        <v>0</v>
      </c>
      <c r="I9" s="519">
        <v>0.14918332863981981</v>
      </c>
      <c r="J9" s="519">
        <v>0.28042282860070672</v>
      </c>
      <c r="K9" s="519">
        <v>0.51229235880398671</v>
      </c>
      <c r="L9" s="520">
        <v>6.5439056651417082E-2</v>
      </c>
      <c r="M9" s="520">
        <v>7.4171629068862668E-2</v>
      </c>
      <c r="N9" s="520">
        <v>0.1000637638890302</v>
      </c>
      <c r="O9" s="519">
        <v>0.74911716890492441</v>
      </c>
      <c r="P9" s="520">
        <v>0.26067096381261728</v>
      </c>
      <c r="Q9" s="520">
        <v>0.50760201000310767</v>
      </c>
      <c r="R9" s="520">
        <v>0.70489065861725697</v>
      </c>
      <c r="S9" s="520">
        <v>0.52342237347132226</v>
      </c>
      <c r="T9" s="520">
        <v>0.71974503894703401</v>
      </c>
    </row>
    <row r="10" spans="1:20">
      <c r="A10" s="516" t="s">
        <v>651</v>
      </c>
      <c r="B10" s="517">
        <v>849</v>
      </c>
      <c r="C10" s="518">
        <v>1.2E-2</v>
      </c>
      <c r="D10" s="518">
        <v>4.8300000000000003E-2</v>
      </c>
      <c r="E10" s="518">
        <v>0.10299999999999999</v>
      </c>
      <c r="F10" s="518">
        <v>0</v>
      </c>
      <c r="G10" s="518">
        <v>0</v>
      </c>
      <c r="H10" s="518">
        <v>1.0508217676734549E-3</v>
      </c>
      <c r="I10" s="519">
        <v>0.15271520221568041</v>
      </c>
      <c r="J10" s="519">
        <v>0.29540481400437629</v>
      </c>
      <c r="K10" s="519">
        <v>0.48489314664701538</v>
      </c>
      <c r="L10" s="520">
        <v>5.4912025246966693E-2</v>
      </c>
      <c r="M10" s="520">
        <v>5.6516976740814379E-2</v>
      </c>
      <c r="N10" s="520">
        <v>5.8320906731856817E-2</v>
      </c>
      <c r="O10" s="519">
        <v>0.51089793657608162</v>
      </c>
      <c r="P10" s="520">
        <v>0.12924550941861601</v>
      </c>
      <c r="Q10" s="520">
        <v>0.36332928378063689</v>
      </c>
      <c r="R10" s="520">
        <v>0.63993014528326952</v>
      </c>
      <c r="S10" s="520">
        <v>0.40390391060361019</v>
      </c>
      <c r="T10" s="520">
        <v>0.64856573799903994</v>
      </c>
    </row>
    <row r="11" spans="1:20">
      <c r="A11" s="516" t="s">
        <v>652</v>
      </c>
      <c r="B11" s="517">
        <v>216</v>
      </c>
      <c r="C11" s="518">
        <v>1.0200000000000001E-2</v>
      </c>
      <c r="D11" s="518">
        <v>4.9400000000000013E-2</v>
      </c>
      <c r="E11" s="518">
        <v>0.1</v>
      </c>
      <c r="F11" s="518">
        <v>1.3551912568306009E-2</v>
      </c>
      <c r="G11" s="518">
        <v>8.9950593388682318E-2</v>
      </c>
      <c r="H11" s="518">
        <v>0.17411300919842321</v>
      </c>
      <c r="I11" s="519">
        <v>0.58605341246290799</v>
      </c>
      <c r="J11" s="519">
        <v>1.16471158411141</v>
      </c>
      <c r="K11" s="519">
        <v>2.1699574138598532</v>
      </c>
      <c r="L11" s="520">
        <v>7.6395298735611294E-2</v>
      </c>
      <c r="M11" s="520">
        <v>8.2085432443010323E-2</v>
      </c>
      <c r="N11" s="520">
        <v>9.5178666558033059E-2</v>
      </c>
      <c r="O11" s="519">
        <v>0.72927647155452557</v>
      </c>
      <c r="P11" s="520">
        <v>3.1380753138075309E-3</v>
      </c>
      <c r="Q11" s="520">
        <v>7.0536952645135736E-2</v>
      </c>
      <c r="R11" s="520">
        <v>0.29382716049382718</v>
      </c>
      <c r="S11" s="520">
        <v>6.2278575424202877E-2</v>
      </c>
      <c r="T11" s="520">
        <v>0.25914833879270011</v>
      </c>
    </row>
    <row r="12" spans="1:20">
      <c r="A12" s="516" t="s">
        <v>653</v>
      </c>
      <c r="B12" s="517">
        <v>101</v>
      </c>
      <c r="C12" s="518">
        <v>3.2599999999999997E-2</v>
      </c>
      <c r="D12" s="518">
        <v>6.1199999999999997E-2</v>
      </c>
      <c r="E12" s="518">
        <v>0.121</v>
      </c>
      <c r="F12" s="518">
        <v>-8.9708737864077667E-2</v>
      </c>
      <c r="G12" s="518">
        <v>7.8109452736318419E-2</v>
      </c>
      <c r="H12" s="518">
        <v>0.1376079367995591</v>
      </c>
      <c r="I12" s="519">
        <v>1.2094046770862461</v>
      </c>
      <c r="J12" s="519">
        <v>1.843188287921919</v>
      </c>
      <c r="K12" s="519">
        <v>2.8984663737159151</v>
      </c>
      <c r="L12" s="520">
        <v>7.4215642157210993E-2</v>
      </c>
      <c r="M12" s="520">
        <v>7.9325651721234347E-2</v>
      </c>
      <c r="N12" s="520">
        <v>8.8363548315069193E-2</v>
      </c>
      <c r="O12" s="519">
        <v>0.42944427133137819</v>
      </c>
      <c r="P12" s="520">
        <v>4.5540470871283734E-3</v>
      </c>
      <c r="Q12" s="520">
        <v>5.4126830905791623E-2</v>
      </c>
      <c r="R12" s="520">
        <v>0.2550823716877843</v>
      </c>
      <c r="S12" s="520">
        <v>6.9020997690833294E-2</v>
      </c>
      <c r="T12" s="520">
        <v>0.31843427664638979</v>
      </c>
    </row>
    <row r="13" spans="1:20">
      <c r="A13" s="516" t="s">
        <v>654</v>
      </c>
      <c r="B13" s="517">
        <v>126</v>
      </c>
      <c r="C13" s="518">
        <v>-5.6100000000000004E-3</v>
      </c>
      <c r="D13" s="518">
        <v>1.6500000000000001E-2</v>
      </c>
      <c r="E13" s="518">
        <v>4.1700000000000001E-2</v>
      </c>
      <c r="F13" s="518">
        <v>-1.848126728689967E-2</v>
      </c>
      <c r="G13" s="518">
        <v>5.2188405317585833E-2</v>
      </c>
      <c r="H13" s="518">
        <v>0.1342235377997219</v>
      </c>
      <c r="I13" s="519">
        <v>0.55378990173630271</v>
      </c>
      <c r="J13" s="519">
        <v>0.89201277955271563</v>
      </c>
      <c r="K13" s="519">
        <v>1.488725457124479</v>
      </c>
      <c r="L13" s="520">
        <v>7.5854316284544449E-2</v>
      </c>
      <c r="M13" s="520">
        <v>8.1436713701912855E-2</v>
      </c>
      <c r="N13" s="520">
        <v>9.2939217340630778E-2</v>
      </c>
      <c r="O13" s="519">
        <v>0.91544093616236866</v>
      </c>
      <c r="P13" s="520">
        <v>2.8128792746483899E-2</v>
      </c>
      <c r="Q13" s="520">
        <v>0.23558897243107771</v>
      </c>
      <c r="R13" s="520">
        <v>0.61463620981387479</v>
      </c>
      <c r="S13" s="520">
        <v>0.27675555555555559</v>
      </c>
      <c r="T13" s="520">
        <v>0.58266641995896939</v>
      </c>
    </row>
    <row r="14" spans="1:20">
      <c r="A14" s="516" t="s">
        <v>655</v>
      </c>
      <c r="B14" s="517">
        <v>606</v>
      </c>
      <c r="C14" s="518">
        <v>1.8499999999999999E-2</v>
      </c>
      <c r="D14" s="518">
        <v>8.2599999999999993E-2</v>
      </c>
      <c r="E14" s="518">
        <v>0.157</v>
      </c>
      <c r="F14" s="518">
        <v>0</v>
      </c>
      <c r="G14" s="518">
        <v>0</v>
      </c>
      <c r="H14" s="518">
        <v>0</v>
      </c>
      <c r="I14" s="519">
        <v>9.0564024703009879E-2</v>
      </c>
      <c r="J14" s="519">
        <v>0.2640449438202247</v>
      </c>
      <c r="K14" s="519">
        <v>0.95993953136810284</v>
      </c>
      <c r="L14" s="520">
        <v>6.4468815870989432E-2</v>
      </c>
      <c r="M14" s="520">
        <v>7.2405161254199282E-2</v>
      </c>
      <c r="N14" s="520">
        <v>7.4032753867181347E-2</v>
      </c>
      <c r="O14" s="519">
        <v>0.83999422391514422</v>
      </c>
      <c r="P14" s="520">
        <v>8.2644628099173556E-3</v>
      </c>
      <c r="Q14" s="520">
        <v>0.1235230934479055</v>
      </c>
      <c r="R14" s="520">
        <v>0.52318264330818487</v>
      </c>
      <c r="S14" s="520">
        <v>0.14216163583252189</v>
      </c>
      <c r="T14" s="520">
        <v>0.535271943995692</v>
      </c>
    </row>
    <row r="15" spans="1:20">
      <c r="A15" s="516" t="s">
        <v>656</v>
      </c>
      <c r="B15" s="517">
        <v>462</v>
      </c>
      <c r="C15" s="518">
        <v>5.1500000000000001E-3</v>
      </c>
      <c r="D15" s="518">
        <v>4.3299999999999998E-2</v>
      </c>
      <c r="E15" s="518">
        <v>0.1</v>
      </c>
      <c r="F15" s="518">
        <v>1.4964191481341879E-2</v>
      </c>
      <c r="G15" s="518">
        <v>6.4017762345483578E-2</v>
      </c>
      <c r="H15" s="518">
        <v>0.1213483146067416</v>
      </c>
      <c r="I15" s="519">
        <v>0.88947833775419982</v>
      </c>
      <c r="J15" s="519">
        <v>1.3754014129736669</v>
      </c>
      <c r="K15" s="519">
        <v>2.2186878727634198</v>
      </c>
      <c r="L15" s="520">
        <v>8.6997612120892492E-2</v>
      </c>
      <c r="M15" s="520">
        <v>9.3215605380769215E-2</v>
      </c>
      <c r="N15" s="520">
        <v>0.1090872345750292</v>
      </c>
      <c r="O15" s="519">
        <v>0.94609259834722259</v>
      </c>
      <c r="P15" s="520">
        <v>5.4453355846348681E-2</v>
      </c>
      <c r="Q15" s="520">
        <v>0.172106824925816</v>
      </c>
      <c r="R15" s="520">
        <v>0.38397556093220298</v>
      </c>
      <c r="S15" s="520">
        <v>0.17347670250896061</v>
      </c>
      <c r="T15" s="520">
        <v>0.3712599755647405</v>
      </c>
    </row>
    <row r="16" spans="1:20">
      <c r="A16" s="516" t="s">
        <v>657</v>
      </c>
      <c r="B16" s="517">
        <v>974</v>
      </c>
      <c r="C16" s="518">
        <v>2.5899999999999999E-2</v>
      </c>
      <c r="D16" s="518">
        <v>6.5099999999999991E-2</v>
      </c>
      <c r="E16" s="518">
        <v>0.11799999999999999</v>
      </c>
      <c r="F16" s="518">
        <v>-1.862673676224222E-3</v>
      </c>
      <c r="G16" s="518">
        <v>5.923682616596003E-2</v>
      </c>
      <c r="H16" s="518">
        <v>0.13043478260869559</v>
      </c>
      <c r="I16" s="519">
        <v>1.0161901481226321</v>
      </c>
      <c r="J16" s="519">
        <v>2.5830508474576268</v>
      </c>
      <c r="K16" s="519">
        <v>5.7981927710843371</v>
      </c>
      <c r="L16" s="520">
        <v>8.690215301261088E-2</v>
      </c>
      <c r="M16" s="520">
        <v>9.3657747272054753E-2</v>
      </c>
      <c r="N16" s="520">
        <v>9.6058109389800014E-2</v>
      </c>
      <c r="O16" s="519">
        <v>0.93201689517088748</v>
      </c>
      <c r="P16" s="520">
        <v>1.5746221458193981E-2</v>
      </c>
      <c r="Q16" s="520">
        <v>0.11942749882684189</v>
      </c>
      <c r="R16" s="520">
        <v>0.32297063903281509</v>
      </c>
      <c r="S16" s="520">
        <v>0.1105722599418041</v>
      </c>
      <c r="T16" s="520">
        <v>0.30574707223514203</v>
      </c>
    </row>
    <row r="17" spans="1:20">
      <c r="A17" s="516" t="s">
        <v>658</v>
      </c>
      <c r="B17" s="517">
        <v>45</v>
      </c>
      <c r="C17" s="518">
        <v>-0.02</v>
      </c>
      <c r="D17" s="518">
        <v>1.29E-2</v>
      </c>
      <c r="E17" s="518">
        <v>3.2599999999999997E-2</v>
      </c>
      <c r="F17" s="518">
        <v>-4.8480422448177067E-2</v>
      </c>
      <c r="G17" s="518">
        <v>4.015813566375364E-2</v>
      </c>
      <c r="H17" s="518">
        <v>0.2024825847361216</v>
      </c>
      <c r="I17" s="519">
        <v>0.30526841195321153</v>
      </c>
      <c r="J17" s="519">
        <v>0.68577529930374326</v>
      </c>
      <c r="K17" s="519">
        <v>1.369561989606533</v>
      </c>
      <c r="L17" s="520">
        <v>7.1627194487432405E-2</v>
      </c>
      <c r="M17" s="520">
        <v>7.6462327949201866E-2</v>
      </c>
      <c r="N17" s="520">
        <v>8.8748400825732071E-2</v>
      </c>
      <c r="O17" s="519">
        <v>0.89050531782685061</v>
      </c>
      <c r="P17" s="520">
        <v>3.1720100741950863E-2</v>
      </c>
      <c r="Q17" s="520">
        <v>0.33834387776527591</v>
      </c>
      <c r="R17" s="520">
        <v>0.6772972510062516</v>
      </c>
      <c r="S17" s="520">
        <v>0.37973593570608499</v>
      </c>
      <c r="T17" s="520">
        <v>0.6462093862815883</v>
      </c>
    </row>
    <row r="18" spans="1:20">
      <c r="A18" s="516" t="s">
        <v>619</v>
      </c>
      <c r="B18" s="517">
        <v>897</v>
      </c>
      <c r="C18" s="518">
        <v>4.0199999999999993E-2</v>
      </c>
      <c r="D18" s="518">
        <v>8.5000000000000006E-2</v>
      </c>
      <c r="E18" s="518">
        <v>0.157</v>
      </c>
      <c r="F18" s="518">
        <v>-1.8405606795250049E-4</v>
      </c>
      <c r="G18" s="518">
        <v>4.8543689320388363E-2</v>
      </c>
      <c r="H18" s="518">
        <v>0.1015455950540958</v>
      </c>
      <c r="I18" s="519">
        <v>0.73827446438911404</v>
      </c>
      <c r="J18" s="519">
        <v>1.206098557037844</v>
      </c>
      <c r="K18" s="519">
        <v>1.754530477759473</v>
      </c>
      <c r="L18" s="520">
        <v>8.895032145916501E-2</v>
      </c>
      <c r="M18" s="520">
        <v>9.2536141518092113E-2</v>
      </c>
      <c r="N18" s="520">
        <v>0.1079171103243796</v>
      </c>
      <c r="O18" s="519">
        <v>1.1720761115820699</v>
      </c>
      <c r="P18" s="520">
        <v>2.55206452389551E-2</v>
      </c>
      <c r="Q18" s="520">
        <v>0.17226590421729809</v>
      </c>
      <c r="R18" s="520">
        <v>0.38160919540229887</v>
      </c>
      <c r="S18" s="520">
        <v>0.14996591683708249</v>
      </c>
      <c r="T18" s="520">
        <v>0.36321839080459772</v>
      </c>
    </row>
    <row r="19" spans="1:20">
      <c r="A19" s="516" t="s">
        <v>659</v>
      </c>
      <c r="B19" s="517">
        <v>64</v>
      </c>
      <c r="C19" s="518">
        <v>9.6500000000000006E-3</v>
      </c>
      <c r="D19" s="518">
        <v>4.9299999999999997E-2</v>
      </c>
      <c r="E19" s="518">
        <v>9.9399999999999988E-2</v>
      </c>
      <c r="F19" s="518">
        <v>4.5323741007194253E-2</v>
      </c>
      <c r="G19" s="518">
        <v>7.8651685393258453E-2</v>
      </c>
      <c r="H19" s="518">
        <v>0.1051007869486784</v>
      </c>
      <c r="I19" s="519">
        <v>0.86835020460908896</v>
      </c>
      <c r="J19" s="519">
        <v>1.1866714480150611</v>
      </c>
      <c r="K19" s="519">
        <v>1.7408286941978119</v>
      </c>
      <c r="L19" s="520">
        <v>8.2662667789960939E-2</v>
      </c>
      <c r="M19" s="520">
        <v>8.8013322853766965E-2</v>
      </c>
      <c r="N19" s="520">
        <v>0.1066171485616705</v>
      </c>
      <c r="O19" s="519">
        <v>1.0295236887462309</v>
      </c>
      <c r="P19" s="520">
        <v>7.6485910490172865E-2</v>
      </c>
      <c r="Q19" s="520">
        <v>0.25058438522674148</v>
      </c>
      <c r="R19" s="520">
        <v>0.48538219048498332</v>
      </c>
      <c r="S19" s="520">
        <v>0.2523215812603154</v>
      </c>
      <c r="T19" s="520">
        <v>0.45016568952332398</v>
      </c>
    </row>
    <row r="20" spans="1:20">
      <c r="A20" s="516" t="s">
        <v>620</v>
      </c>
      <c r="B20" s="517">
        <v>951</v>
      </c>
      <c r="C20" s="518">
        <v>2.7E-2</v>
      </c>
      <c r="D20" s="518">
        <v>8.48E-2</v>
      </c>
      <c r="E20" s="518">
        <v>0.17699999999999999</v>
      </c>
      <c r="F20" s="518">
        <v>0</v>
      </c>
      <c r="G20" s="518">
        <v>6.3953488372093026E-2</v>
      </c>
      <c r="H20" s="518">
        <v>0.12948430493273541</v>
      </c>
      <c r="I20" s="519">
        <v>0.64945652173913027</v>
      </c>
      <c r="J20" s="519">
        <v>1.07919492711571</v>
      </c>
      <c r="K20" s="519">
        <v>1.6585710884143749</v>
      </c>
      <c r="L20" s="520">
        <v>8.9552646981907763E-2</v>
      </c>
      <c r="M20" s="520">
        <v>9.3705233677658303E-2</v>
      </c>
      <c r="N20" s="520">
        <v>0.1107985779148255</v>
      </c>
      <c r="O20" s="519">
        <v>1.016562156450707</v>
      </c>
      <c r="P20" s="520">
        <v>2.142588648039093E-2</v>
      </c>
      <c r="Q20" s="520">
        <v>0.13870029097963141</v>
      </c>
      <c r="R20" s="520">
        <v>0.32732732732732728</v>
      </c>
      <c r="S20" s="520">
        <v>0.11871435977190251</v>
      </c>
      <c r="T20" s="520">
        <v>0.28119814863330722</v>
      </c>
    </row>
    <row r="21" spans="1:20">
      <c r="A21" s="516" t="s">
        <v>660</v>
      </c>
      <c r="B21" s="517">
        <v>216</v>
      </c>
      <c r="C21" s="518">
        <v>-0.02</v>
      </c>
      <c r="D21" s="518">
        <v>3.6600000000000001E-2</v>
      </c>
      <c r="E21" s="518">
        <v>0.16400000000000001</v>
      </c>
      <c r="F21" s="518">
        <v>-9.7002141327623123E-2</v>
      </c>
      <c r="G21" s="518">
        <v>9.229466553767994E-2</v>
      </c>
      <c r="H21" s="518">
        <v>0.19970549405910429</v>
      </c>
      <c r="I21" s="519">
        <v>0</v>
      </c>
      <c r="J21" s="519">
        <v>0.6295336787564767</v>
      </c>
      <c r="K21" s="519">
        <v>1.4210273643783</v>
      </c>
      <c r="L21" s="520">
        <v>9.2726782303766811E-2</v>
      </c>
      <c r="M21" s="520">
        <v>9.4909121991031312E-2</v>
      </c>
      <c r="N21" s="520">
        <v>0.1157205710770768</v>
      </c>
      <c r="O21" s="519">
        <v>1.112655079401575</v>
      </c>
      <c r="P21" s="520">
        <v>2.8508344751998309E-4</v>
      </c>
      <c r="Q21" s="520">
        <v>5.4790131368151238E-2</v>
      </c>
      <c r="R21" s="520">
        <v>0.26614481409001961</v>
      </c>
      <c r="S21" s="520">
        <v>5.5174470623322397E-2</v>
      </c>
      <c r="T21" s="520">
        <v>0.26183239253148072</v>
      </c>
    </row>
    <row r="22" spans="1:20">
      <c r="A22" s="516" t="s">
        <v>475</v>
      </c>
      <c r="B22" s="517">
        <v>1182</v>
      </c>
      <c r="C22" s="518">
        <v>2.9100000000000001E-2</v>
      </c>
      <c r="D22" s="518">
        <v>7.9699999999999993E-2</v>
      </c>
      <c r="E22" s="518">
        <v>0.14299999999999999</v>
      </c>
      <c r="F22" s="518">
        <v>3.3168316831683172E-3</v>
      </c>
      <c r="G22" s="518">
        <v>4.6666666666666662E-2</v>
      </c>
      <c r="H22" s="518">
        <v>0.1001683501683502</v>
      </c>
      <c r="I22" s="519">
        <v>1.428571428571429</v>
      </c>
      <c r="J22" s="519">
        <v>3.073684210526316</v>
      </c>
      <c r="K22" s="519">
        <v>6.375377187688593</v>
      </c>
      <c r="L22" s="520">
        <v>9.4015467723824381E-2</v>
      </c>
      <c r="M22" s="520">
        <v>9.7360651253099575E-2</v>
      </c>
      <c r="N22" s="520">
        <v>0.1099440562463375</v>
      </c>
      <c r="O22" s="519">
        <v>0.99519891158181273</v>
      </c>
      <c r="P22" s="520">
        <v>1.083707025411061E-2</v>
      </c>
      <c r="Q22" s="520">
        <v>7.706650093225606E-2</v>
      </c>
      <c r="R22" s="520">
        <v>0.24537381757887741</v>
      </c>
      <c r="S22" s="520">
        <v>7.2695275483958322E-2</v>
      </c>
      <c r="T22" s="520">
        <v>0.22466742683390351</v>
      </c>
    </row>
    <row r="23" spans="1:20">
      <c r="A23" s="516" t="s">
        <v>661</v>
      </c>
      <c r="B23" s="517">
        <v>342</v>
      </c>
      <c r="C23" s="518">
        <v>2.6800000000000001E-2</v>
      </c>
      <c r="D23" s="518">
        <v>7.3399999999999993E-2</v>
      </c>
      <c r="E23" s="518">
        <v>0.21299999999999999</v>
      </c>
      <c r="F23" s="518">
        <v>-5.1162790697674418E-2</v>
      </c>
      <c r="G23" s="518">
        <v>3.3633498424133268E-2</v>
      </c>
      <c r="H23" s="518">
        <v>8.521400778210117E-2</v>
      </c>
      <c r="I23" s="519">
        <v>0.86556136240764103</v>
      </c>
      <c r="J23" s="519">
        <v>1.655909640984268</v>
      </c>
      <c r="K23" s="519">
        <v>2.9894676092915882</v>
      </c>
      <c r="L23" s="520">
        <v>0.10464661294552979</v>
      </c>
      <c r="M23" s="520">
        <v>0.1085772923609996</v>
      </c>
      <c r="N23" s="520">
        <v>0.1104774522621956</v>
      </c>
      <c r="O23" s="519">
        <v>1.234262241333496</v>
      </c>
      <c r="P23" s="520">
        <v>1.6001777975330589E-2</v>
      </c>
      <c r="Q23" s="520">
        <v>0.1050779399490176</v>
      </c>
      <c r="R23" s="520">
        <v>0.29679762297788048</v>
      </c>
      <c r="S23" s="520">
        <v>9.4281298299845426E-2</v>
      </c>
      <c r="T23" s="520">
        <v>0.26586274493279588</v>
      </c>
    </row>
    <row r="24" spans="1:20">
      <c r="A24" s="516" t="s">
        <v>662</v>
      </c>
      <c r="B24" s="517">
        <v>804</v>
      </c>
      <c r="C24" s="518">
        <v>1.44E-2</v>
      </c>
      <c r="D24" s="518">
        <v>5.3499999999999999E-2</v>
      </c>
      <c r="E24" s="518">
        <v>0.125</v>
      </c>
      <c r="F24" s="518">
        <v>7.3493975903614461E-3</v>
      </c>
      <c r="G24" s="518">
        <v>7.145514311528417E-2</v>
      </c>
      <c r="H24" s="518">
        <v>0.1252873563218391</v>
      </c>
      <c r="I24" s="519">
        <v>0.66070588235294125</v>
      </c>
      <c r="J24" s="519">
        <v>1.107250755287009</v>
      </c>
      <c r="K24" s="519">
        <v>1.7921333680646001</v>
      </c>
      <c r="L24" s="520">
        <v>7.9438988829809043E-2</v>
      </c>
      <c r="M24" s="520">
        <v>8.3335473532440044E-2</v>
      </c>
      <c r="N24" s="520">
        <v>9.7346708045557007E-2</v>
      </c>
      <c r="O24" s="519">
        <v>0.99888633135316984</v>
      </c>
      <c r="P24" s="520">
        <v>3.3573141486810551E-2</v>
      </c>
      <c r="Q24" s="520">
        <v>0.17845911949685531</v>
      </c>
      <c r="R24" s="520">
        <v>0.40052635004796622</v>
      </c>
      <c r="S24" s="520">
        <v>0.18165266106442579</v>
      </c>
      <c r="T24" s="520">
        <v>0.38830376940133038</v>
      </c>
    </row>
    <row r="25" spans="1:20">
      <c r="A25" s="516" t="s">
        <v>663</v>
      </c>
      <c r="B25" s="517">
        <v>335</v>
      </c>
      <c r="C25" s="518">
        <v>1.29E-2</v>
      </c>
      <c r="D25" s="518">
        <v>5.6399999999999999E-2</v>
      </c>
      <c r="E25" s="518">
        <v>9.3000000000000013E-2</v>
      </c>
      <c r="F25" s="518">
        <v>2.2937293729372931E-2</v>
      </c>
      <c r="G25" s="518">
        <v>9.683426443202979E-2</v>
      </c>
      <c r="H25" s="518">
        <v>0.18865030674846631</v>
      </c>
      <c r="I25" s="519">
        <v>0.22022818529037311</v>
      </c>
      <c r="J25" s="519">
        <v>0.68653180122776469</v>
      </c>
      <c r="K25" s="519">
        <v>1.6636616948041301</v>
      </c>
      <c r="L25" s="520">
        <v>7.7331394355799166E-2</v>
      </c>
      <c r="M25" s="520">
        <v>8.5529888170259277E-2</v>
      </c>
      <c r="N25" s="520">
        <v>0.1007893433303033</v>
      </c>
      <c r="O25" s="519">
        <v>0.81789349509197817</v>
      </c>
      <c r="P25" s="520">
        <v>7.4019667850002038E-2</v>
      </c>
      <c r="Q25" s="520">
        <v>0.32842258452323198</v>
      </c>
      <c r="R25" s="520">
        <v>0.60112732095490717</v>
      </c>
      <c r="S25" s="520">
        <v>0.30847457627118652</v>
      </c>
      <c r="T25" s="520">
        <v>0.58820798514391825</v>
      </c>
    </row>
    <row r="26" spans="1:20">
      <c r="A26" s="516" t="s">
        <v>664</v>
      </c>
      <c r="B26" s="517">
        <v>1223</v>
      </c>
      <c r="C26" s="518">
        <v>-2.0199999999999999E-2</v>
      </c>
      <c r="D26" s="518">
        <v>0.17100000000000001</v>
      </c>
      <c r="E26" s="518">
        <v>0.53900000000000003</v>
      </c>
      <c r="F26" s="518">
        <v>-11.811023622047241</v>
      </c>
      <c r="G26" s="518">
        <v>-1.879581151832461</v>
      </c>
      <c r="H26" s="518">
        <v>-0.1042598509052183</v>
      </c>
      <c r="I26" s="519">
        <v>8.1109467465619706E-4</v>
      </c>
      <c r="J26" s="519">
        <v>0.1742563024311253</v>
      </c>
      <c r="K26" s="519">
        <v>0.75759325557223689</v>
      </c>
      <c r="L26" s="520">
        <v>9.5320481821097522E-2</v>
      </c>
      <c r="M26" s="520">
        <v>9.5701217197924418E-2</v>
      </c>
      <c r="N26" s="520">
        <v>0.10455575905106471</v>
      </c>
      <c r="O26" s="519">
        <v>1.2126139392620221</v>
      </c>
      <c r="P26" s="520">
        <v>3.0925959614335088E-3</v>
      </c>
      <c r="Q26" s="520">
        <v>4.4701188290122117E-2</v>
      </c>
      <c r="R26" s="520">
        <v>0.18327756394967129</v>
      </c>
      <c r="S26" s="520">
        <v>4.0448358752564487E-2</v>
      </c>
      <c r="T26" s="520">
        <v>0.16687404949536841</v>
      </c>
    </row>
    <row r="27" spans="1:20">
      <c r="A27" s="516" t="s">
        <v>665</v>
      </c>
      <c r="B27" s="517">
        <v>1271</v>
      </c>
      <c r="C27" s="518">
        <v>4.9400000000000013E-2</v>
      </c>
      <c r="D27" s="518">
        <v>0.10199999999999999</v>
      </c>
      <c r="E27" s="518">
        <v>0.20200000000000001</v>
      </c>
      <c r="F27" s="518">
        <v>-0.18278615794143749</v>
      </c>
      <c r="G27" s="518">
        <v>5.7959183673469389E-2</v>
      </c>
      <c r="H27" s="518">
        <v>0.15045317220543811</v>
      </c>
      <c r="I27" s="519">
        <v>0.45967426436735048</v>
      </c>
      <c r="J27" s="519">
        <v>0.86850152905198763</v>
      </c>
      <c r="K27" s="519">
        <v>1.4742193173565721</v>
      </c>
      <c r="L27" s="520">
        <v>8.4082582632899638E-2</v>
      </c>
      <c r="M27" s="520">
        <v>9.0669007507709357E-2</v>
      </c>
      <c r="N27" s="520">
        <v>0.10228738264995681</v>
      </c>
      <c r="O27" s="519">
        <v>0.96722210092945193</v>
      </c>
      <c r="P27" s="520">
        <v>4.5569620253164559E-3</v>
      </c>
      <c r="Q27" s="520">
        <v>7.5268817204301092E-2</v>
      </c>
      <c r="R27" s="520">
        <v>0.26350851221317539</v>
      </c>
      <c r="S27" s="520">
        <v>7.8341316186601923E-2</v>
      </c>
      <c r="T27" s="520">
        <v>0.25696257615317658</v>
      </c>
    </row>
    <row r="28" spans="1:20">
      <c r="A28" s="516" t="s">
        <v>666</v>
      </c>
      <c r="B28" s="517">
        <v>272</v>
      </c>
      <c r="C28" s="518">
        <v>3.7000000000000012E-2</v>
      </c>
      <c r="D28" s="518">
        <v>7.7199999999999991E-2</v>
      </c>
      <c r="E28" s="518">
        <v>0.11600000000000001</v>
      </c>
      <c r="F28" s="518">
        <v>-5.617521557379836E-4</v>
      </c>
      <c r="G28" s="518">
        <v>8.4595959595959599E-2</v>
      </c>
      <c r="H28" s="518">
        <v>0.1958586626139818</v>
      </c>
      <c r="I28" s="519">
        <v>0.43598778482499412</v>
      </c>
      <c r="J28" s="519">
        <v>1.1353487554792869</v>
      </c>
      <c r="K28" s="519">
        <v>2.2732026143790849</v>
      </c>
      <c r="L28" s="520">
        <v>7.8350243354502552E-2</v>
      </c>
      <c r="M28" s="520">
        <v>8.409686280235916E-2</v>
      </c>
      <c r="N28" s="520">
        <v>9.4754756961130449E-2</v>
      </c>
      <c r="O28" s="519">
        <v>0.67694483791321214</v>
      </c>
      <c r="P28" s="520">
        <v>1.816443594646271E-2</v>
      </c>
      <c r="Q28" s="520">
        <v>0.1112487402930773</v>
      </c>
      <c r="R28" s="520">
        <v>0.37708565072302558</v>
      </c>
      <c r="S28" s="520">
        <v>0.13119447640132639</v>
      </c>
      <c r="T28" s="520">
        <v>0.38600107194792721</v>
      </c>
    </row>
    <row r="29" spans="1:20">
      <c r="A29" s="516" t="s">
        <v>667</v>
      </c>
      <c r="B29" s="517">
        <v>1101</v>
      </c>
      <c r="C29" s="518">
        <v>5.0999999999999997E-2</v>
      </c>
      <c r="D29" s="518">
        <v>0.124</v>
      </c>
      <c r="E29" s="518">
        <v>0.23899999999999999</v>
      </c>
      <c r="F29" s="518">
        <v>-2.767433369843009E-2</v>
      </c>
      <c r="G29" s="518">
        <v>4.8165680473372788E-2</v>
      </c>
      <c r="H29" s="518">
        <v>0.1019685039370079</v>
      </c>
      <c r="I29" s="519">
        <v>0.76940063091482647</v>
      </c>
      <c r="J29" s="519">
        <v>1.3311756107746919</v>
      </c>
      <c r="K29" s="519">
        <v>2.1369689283449591</v>
      </c>
      <c r="L29" s="520">
        <v>9.7447356313224986E-2</v>
      </c>
      <c r="M29" s="520">
        <v>0.1019452409954584</v>
      </c>
      <c r="N29" s="520">
        <v>0.105929769014109</v>
      </c>
      <c r="O29" s="519">
        <v>1.156612738347347</v>
      </c>
      <c r="P29" s="520">
        <v>1.809905117095377E-2</v>
      </c>
      <c r="Q29" s="520">
        <v>0.1078066914498141</v>
      </c>
      <c r="R29" s="520">
        <v>0.29671468514493887</v>
      </c>
      <c r="S29" s="520">
        <v>0.1031278245332282</v>
      </c>
      <c r="T29" s="520">
        <v>0.2700361010830325</v>
      </c>
    </row>
    <row r="30" spans="1:20">
      <c r="A30" s="516" t="s">
        <v>668</v>
      </c>
      <c r="B30" s="517">
        <v>125</v>
      </c>
      <c r="C30" s="518">
        <v>1.3899999999999999E-2</v>
      </c>
      <c r="D30" s="518">
        <v>6.7299999999999999E-2</v>
      </c>
      <c r="E30" s="518">
        <v>0.187</v>
      </c>
      <c r="F30" s="518">
        <v>-5.6315789473684208E-2</v>
      </c>
      <c r="G30" s="518">
        <v>2.8781130555041331E-2</v>
      </c>
      <c r="H30" s="518">
        <v>7.2457627118644063E-2</v>
      </c>
      <c r="I30" s="519">
        <v>1.0307657758814279</v>
      </c>
      <c r="J30" s="519">
        <v>1.8321748626302199</v>
      </c>
      <c r="K30" s="519">
        <v>2.7325775159197758</v>
      </c>
      <c r="L30" s="520">
        <v>9.392793420273049E-2</v>
      </c>
      <c r="M30" s="520">
        <v>0.10112050238176851</v>
      </c>
      <c r="N30" s="520">
        <v>0.1036247925917843</v>
      </c>
      <c r="O30" s="519">
        <v>1.2510774560982829</v>
      </c>
      <c r="P30" s="520">
        <v>2.6077700904736559E-2</v>
      </c>
      <c r="Q30" s="520">
        <v>0.15564159292035401</v>
      </c>
      <c r="R30" s="520">
        <v>0.33602391629297462</v>
      </c>
      <c r="S30" s="520">
        <v>0.1316793893129771</v>
      </c>
      <c r="T30" s="520">
        <v>0.33923694446743358</v>
      </c>
    </row>
    <row r="31" spans="1:20">
      <c r="A31" s="516" t="s">
        <v>621</v>
      </c>
      <c r="B31" s="517">
        <v>1480</v>
      </c>
      <c r="C31" s="518">
        <v>4.6500000000000007E-2</v>
      </c>
      <c r="D31" s="518">
        <v>0.11899999999999999</v>
      </c>
      <c r="E31" s="518">
        <v>0.222</v>
      </c>
      <c r="F31" s="518">
        <v>-5.1257861635220128E-2</v>
      </c>
      <c r="G31" s="518">
        <v>4.1279955672530823E-2</v>
      </c>
      <c r="H31" s="518">
        <v>0.100197376059445</v>
      </c>
      <c r="I31" s="519">
        <v>0.70457740977972205</v>
      </c>
      <c r="J31" s="519">
        <v>1.2022444096047531</v>
      </c>
      <c r="K31" s="519">
        <v>1.9793038570084669</v>
      </c>
      <c r="L31" s="520">
        <v>0.10538228266227539</v>
      </c>
      <c r="M31" s="520">
        <v>0.11017407969868601</v>
      </c>
      <c r="N31" s="520">
        <v>0.11257285937114089</v>
      </c>
      <c r="O31" s="519">
        <v>1.323902646942076</v>
      </c>
      <c r="P31" s="520">
        <v>1.6625728635847051E-2</v>
      </c>
      <c r="Q31" s="520">
        <v>8.5506027474067853E-2</v>
      </c>
      <c r="R31" s="520">
        <v>0.25051334702258732</v>
      </c>
      <c r="S31" s="520">
        <v>8.8923309106795342E-2</v>
      </c>
      <c r="T31" s="520">
        <v>0.22887323943661969</v>
      </c>
    </row>
    <row r="32" spans="1:20">
      <c r="A32" s="516" t="s">
        <v>669</v>
      </c>
      <c r="B32" s="517">
        <v>1327</v>
      </c>
      <c r="C32" s="518">
        <v>2.8400000000000002E-2</v>
      </c>
      <c r="D32" s="518">
        <v>7.0000000000000021E-2</v>
      </c>
      <c r="E32" s="518">
        <v>0.14299999999999999</v>
      </c>
      <c r="F32" s="518">
        <v>1.9779394779394781E-3</v>
      </c>
      <c r="G32" s="518">
        <v>4.5554942020982883E-2</v>
      </c>
      <c r="H32" s="518">
        <v>9.4005449591280654E-2</v>
      </c>
      <c r="I32" s="519">
        <v>0.89019792648444873</v>
      </c>
      <c r="J32" s="519">
        <v>1.830564784053156</v>
      </c>
      <c r="K32" s="519">
        <v>3.394711293215515</v>
      </c>
      <c r="L32" s="520">
        <v>8.2638117861411897E-2</v>
      </c>
      <c r="M32" s="520">
        <v>8.6431495526057209E-2</v>
      </c>
      <c r="N32" s="520">
        <v>9.9530476660820003E-2</v>
      </c>
      <c r="O32" s="519">
        <v>0.90032984460673959</v>
      </c>
      <c r="P32" s="520">
        <v>3.9991399698989467E-2</v>
      </c>
      <c r="Q32" s="520">
        <v>0.18912797281993199</v>
      </c>
      <c r="R32" s="520">
        <v>0.48338368580060431</v>
      </c>
      <c r="S32" s="520">
        <v>0.19360269360269361</v>
      </c>
      <c r="T32" s="520">
        <v>0.47414599065084501</v>
      </c>
    </row>
    <row r="33" spans="1:20">
      <c r="A33" s="516" t="s">
        <v>476</v>
      </c>
      <c r="B33" s="517">
        <v>748</v>
      </c>
      <c r="C33" s="518">
        <v>1.7999999999999999E-2</v>
      </c>
      <c r="D33" s="518">
        <v>7.4500000000000011E-2</v>
      </c>
      <c r="E33" s="518">
        <v>0.156</v>
      </c>
      <c r="F33" s="518">
        <v>-0.23347398030942329</v>
      </c>
      <c r="G33" s="518">
        <v>1.223443223443224E-3</v>
      </c>
      <c r="H33" s="518">
        <v>0.108656330749354</v>
      </c>
      <c r="I33" s="519">
        <v>0.46750902527075811</v>
      </c>
      <c r="J33" s="519">
        <v>1.018115942028986</v>
      </c>
      <c r="K33" s="519">
        <v>2.4585000741070102</v>
      </c>
      <c r="L33" s="520">
        <v>8.9858279891625509E-2</v>
      </c>
      <c r="M33" s="520">
        <v>9.7745006753797783E-2</v>
      </c>
      <c r="N33" s="520">
        <v>0.1013551584775372</v>
      </c>
      <c r="O33" s="519">
        <v>0.9596119782350816</v>
      </c>
      <c r="P33" s="520">
        <v>1.426533523537803E-3</v>
      </c>
      <c r="Q33" s="520">
        <v>4.7736653359496582E-2</v>
      </c>
      <c r="R33" s="520">
        <v>0.2413793103448276</v>
      </c>
      <c r="S33" s="520">
        <v>5.1053330802808883E-2</v>
      </c>
      <c r="T33" s="520">
        <v>0.26079372001744439</v>
      </c>
    </row>
    <row r="34" spans="1:20">
      <c r="A34" s="516" t="s">
        <v>670</v>
      </c>
      <c r="B34" s="517">
        <v>391</v>
      </c>
      <c r="C34" s="518">
        <v>4.5900000000000003E-2</v>
      </c>
      <c r="D34" s="518">
        <v>9.1600000000000001E-2</v>
      </c>
      <c r="E34" s="518">
        <v>0.192</v>
      </c>
      <c r="F34" s="518">
        <v>-4.2222222222222217E-2</v>
      </c>
      <c r="G34" s="518">
        <v>6.0265577119509701E-2</v>
      </c>
      <c r="H34" s="518">
        <v>0.14162679425837321</v>
      </c>
      <c r="I34" s="519">
        <v>0.39634917766130501</v>
      </c>
      <c r="J34" s="519">
        <v>1.01407379231647</v>
      </c>
      <c r="K34" s="519">
        <v>2.2145140960472172</v>
      </c>
      <c r="L34" s="520">
        <v>8.0624116373436916E-2</v>
      </c>
      <c r="M34" s="520">
        <v>8.5292876880530721E-2</v>
      </c>
      <c r="N34" s="520">
        <v>8.8075802517074059E-2</v>
      </c>
      <c r="O34" s="519">
        <v>0.93719936704911233</v>
      </c>
      <c r="P34" s="520">
        <v>3.8524145415084102E-2</v>
      </c>
      <c r="Q34" s="520">
        <v>0.1856771585330638</v>
      </c>
      <c r="R34" s="520">
        <v>0.41863517060367461</v>
      </c>
      <c r="S34" s="520">
        <v>0.17987594762232939</v>
      </c>
      <c r="T34" s="520">
        <v>0.3918840579710145</v>
      </c>
    </row>
    <row r="35" spans="1:20">
      <c r="A35" s="516" t="s">
        <v>671</v>
      </c>
      <c r="B35" s="517">
        <v>429</v>
      </c>
      <c r="C35" s="518">
        <v>5.7399999999999986E-3</v>
      </c>
      <c r="D35" s="518">
        <v>5.3800000000000001E-2</v>
      </c>
      <c r="E35" s="518">
        <v>9.4399999999999998E-2</v>
      </c>
      <c r="F35" s="518">
        <v>-1.142546245919478E-2</v>
      </c>
      <c r="G35" s="518">
        <v>6.3776493256262043E-2</v>
      </c>
      <c r="H35" s="518">
        <v>0.1445086705202312</v>
      </c>
      <c r="I35" s="519">
        <v>0.55857253685027142</v>
      </c>
      <c r="J35" s="519">
        <v>1.0399673735725941</v>
      </c>
      <c r="K35" s="519">
        <v>1.9070060257217381</v>
      </c>
      <c r="L35" s="520">
        <v>7.3785884847004685E-2</v>
      </c>
      <c r="M35" s="520">
        <v>8.0629491533563524E-2</v>
      </c>
      <c r="N35" s="520">
        <v>8.8564462409781566E-2</v>
      </c>
      <c r="O35" s="519">
        <v>0.71590660115773419</v>
      </c>
      <c r="P35" s="520">
        <v>2.283653846153846E-2</v>
      </c>
      <c r="Q35" s="520">
        <v>0.171759234222054</v>
      </c>
      <c r="R35" s="520">
        <v>0.42016806722689082</v>
      </c>
      <c r="S35" s="520">
        <v>0.19631175953258609</v>
      </c>
      <c r="T35" s="520">
        <v>0.43012208696971133</v>
      </c>
    </row>
    <row r="36" spans="1:20">
      <c r="A36" s="516" t="s">
        <v>672</v>
      </c>
      <c r="B36" s="517">
        <v>1117</v>
      </c>
      <c r="C36" s="518">
        <v>4.7699999999999992E-2</v>
      </c>
      <c r="D36" s="518">
        <v>8.900000000000001E-2</v>
      </c>
      <c r="E36" s="518">
        <v>0.16700000000000001</v>
      </c>
      <c r="F36" s="518">
        <v>0</v>
      </c>
      <c r="G36" s="518">
        <v>0</v>
      </c>
      <c r="H36" s="518">
        <v>0.15827338129496399</v>
      </c>
      <c r="I36" s="519">
        <v>9.3570608495981644E-2</v>
      </c>
      <c r="J36" s="519">
        <v>0.23021032504780109</v>
      </c>
      <c r="K36" s="519">
        <v>0.79070103763693556</v>
      </c>
      <c r="L36" s="520">
        <v>5.6170490852530119E-2</v>
      </c>
      <c r="M36" s="520">
        <v>6.2087984260297317E-2</v>
      </c>
      <c r="N36" s="520">
        <v>6.515170324447403E-2</v>
      </c>
      <c r="O36" s="519">
        <v>0.75860995722429314</v>
      </c>
      <c r="P36" s="520">
        <v>2.014904775048303E-2</v>
      </c>
      <c r="Q36" s="520">
        <v>0.2453962688321164</v>
      </c>
      <c r="R36" s="520">
        <v>0.64019000959978811</v>
      </c>
      <c r="S36" s="520">
        <v>0.26515962145551941</v>
      </c>
      <c r="T36" s="520">
        <v>0.61336304303165357</v>
      </c>
    </row>
    <row r="37" spans="1:20">
      <c r="A37" s="516" t="s">
        <v>673</v>
      </c>
      <c r="B37" s="517">
        <v>1424</v>
      </c>
      <c r="C37" s="518">
        <v>2.4E-2</v>
      </c>
      <c r="D37" s="518">
        <v>5.9200000000000003E-2</v>
      </c>
      <c r="E37" s="518">
        <v>0.11899999999999999</v>
      </c>
      <c r="F37" s="518">
        <v>1.336505190311419E-2</v>
      </c>
      <c r="G37" s="518">
        <v>5.5235468304657892E-2</v>
      </c>
      <c r="H37" s="518">
        <v>0.1042693926638605</v>
      </c>
      <c r="I37" s="519">
        <v>1.008557645744639</v>
      </c>
      <c r="J37" s="519">
        <v>1.689924214882967</v>
      </c>
      <c r="K37" s="519">
        <v>2.5946075207747952</v>
      </c>
      <c r="L37" s="520">
        <v>7.5280045149232269E-2</v>
      </c>
      <c r="M37" s="520">
        <v>8.200679988452543E-2</v>
      </c>
      <c r="N37" s="520">
        <v>9.0504526617075726E-2</v>
      </c>
      <c r="O37" s="519">
        <v>0.60276357515073165</v>
      </c>
      <c r="P37" s="520">
        <v>3.9761257921289227E-2</v>
      </c>
      <c r="Q37" s="520">
        <v>0.19407657115338309</v>
      </c>
      <c r="R37" s="520">
        <v>0.43678160919540232</v>
      </c>
      <c r="S37" s="520">
        <v>0.18660005877167199</v>
      </c>
      <c r="T37" s="520">
        <v>0.41446783278980143</v>
      </c>
    </row>
    <row r="38" spans="1:20">
      <c r="A38" s="516" t="s">
        <v>674</v>
      </c>
      <c r="B38" s="517">
        <v>188</v>
      </c>
      <c r="C38" s="518">
        <v>1.2E-2</v>
      </c>
      <c r="D38" s="518">
        <v>4.6300000000000001E-2</v>
      </c>
      <c r="E38" s="518">
        <v>6.3600000000000004E-2</v>
      </c>
      <c r="F38" s="518">
        <v>4.8977964250420426E-3</v>
      </c>
      <c r="G38" s="518">
        <v>2.397980647875473E-2</v>
      </c>
      <c r="H38" s="518">
        <v>4.9217002237136473E-2</v>
      </c>
      <c r="I38" s="519">
        <v>1.34393434213901</v>
      </c>
      <c r="J38" s="519">
        <v>3.359986837775585</v>
      </c>
      <c r="K38" s="519">
        <v>6.8307166008789233</v>
      </c>
      <c r="L38" s="520">
        <v>6.8569253811786912E-2</v>
      </c>
      <c r="M38" s="520">
        <v>7.2390889216486481E-2</v>
      </c>
      <c r="N38" s="520">
        <v>8.2275722878774146E-2</v>
      </c>
      <c r="O38" s="519">
        <v>0.54662186784622069</v>
      </c>
      <c r="P38" s="520">
        <v>2.7664768104149719E-2</v>
      </c>
      <c r="Q38" s="520">
        <v>0.18414980488320259</v>
      </c>
      <c r="R38" s="520">
        <v>0.39723661485319511</v>
      </c>
      <c r="S38" s="520">
        <v>0.20572376607216919</v>
      </c>
      <c r="T38" s="520">
        <v>0.41491029878774521</v>
      </c>
    </row>
    <row r="39" spans="1:20">
      <c r="A39" s="516" t="s">
        <v>675</v>
      </c>
      <c r="B39" s="517">
        <v>380</v>
      </c>
      <c r="C39" s="518">
        <v>9.360000000000002E-3</v>
      </c>
      <c r="D39" s="518">
        <v>6.13E-2</v>
      </c>
      <c r="E39" s="518">
        <v>0.126</v>
      </c>
      <c r="F39" s="518">
        <v>-8.0409356725146192E-4</v>
      </c>
      <c r="G39" s="518">
        <v>5.0953678474114437E-2</v>
      </c>
      <c r="H39" s="518">
        <v>0.10055401662049861</v>
      </c>
      <c r="I39" s="519">
        <v>1.044223199814772</v>
      </c>
      <c r="J39" s="519">
        <v>1.5292325271376881</v>
      </c>
      <c r="K39" s="519">
        <v>2.3956817648439328</v>
      </c>
      <c r="L39" s="520">
        <v>9.177153609912532E-2</v>
      </c>
      <c r="M39" s="520">
        <v>9.4731227482729705E-2</v>
      </c>
      <c r="N39" s="520">
        <v>0.10977636330423481</v>
      </c>
      <c r="O39" s="519">
        <v>0.88626539459443154</v>
      </c>
      <c r="P39" s="520">
        <v>2.390074803867907E-2</v>
      </c>
      <c r="Q39" s="520">
        <v>0.1435537945748247</v>
      </c>
      <c r="R39" s="520">
        <v>0.34959349593495931</v>
      </c>
      <c r="S39" s="520">
        <v>0.13536701620591041</v>
      </c>
      <c r="T39" s="520">
        <v>0.34190681784802168</v>
      </c>
    </row>
    <row r="40" spans="1:20">
      <c r="A40" s="516" t="s">
        <v>676</v>
      </c>
      <c r="B40" s="517">
        <v>260</v>
      </c>
      <c r="C40" s="518">
        <v>1.14E-2</v>
      </c>
      <c r="D40" s="518">
        <v>8.2200000000000009E-2</v>
      </c>
      <c r="E40" s="518">
        <v>0.19900000000000001</v>
      </c>
      <c r="F40" s="518">
        <v>-1.3139044062865949E-2</v>
      </c>
      <c r="G40" s="518">
        <v>0.20066052589649219</v>
      </c>
      <c r="H40" s="518">
        <v>0.39920556107249261</v>
      </c>
      <c r="I40" s="519">
        <v>0.1228305600286277</v>
      </c>
      <c r="J40" s="519">
        <v>0.19827960726388039</v>
      </c>
      <c r="K40" s="519">
        <v>0.38176100628930809</v>
      </c>
      <c r="L40" s="520">
        <v>7.095630130843826E-2</v>
      </c>
      <c r="M40" s="520">
        <v>7.9761872843402803E-2</v>
      </c>
      <c r="N40" s="520">
        <v>8.7765037839661261E-2</v>
      </c>
      <c r="O40" s="519">
        <v>0.8555765461747501</v>
      </c>
      <c r="P40" s="520">
        <v>9.1422121896162528E-2</v>
      </c>
      <c r="Q40" s="520">
        <v>0.41458044707380087</v>
      </c>
      <c r="R40" s="520">
        <v>0.59031281533804236</v>
      </c>
      <c r="S40" s="520">
        <v>0.35093167701863348</v>
      </c>
      <c r="T40" s="520">
        <v>0.55960264900662249</v>
      </c>
    </row>
    <row r="41" spans="1:20">
      <c r="A41" s="516" t="s">
        <v>677</v>
      </c>
      <c r="B41" s="517">
        <v>850</v>
      </c>
      <c r="C41" s="518">
        <v>6.08E-2</v>
      </c>
      <c r="D41" s="518">
        <v>0.13800000000000001</v>
      </c>
      <c r="E41" s="518">
        <v>0.27900000000000003</v>
      </c>
      <c r="F41" s="518">
        <v>-0.77359132187483581</v>
      </c>
      <c r="G41" s="518">
        <v>-5.3432835820895518E-3</v>
      </c>
      <c r="H41" s="518">
        <v>0.12729234088457389</v>
      </c>
      <c r="I41" s="519">
        <v>0.49829764215483502</v>
      </c>
      <c r="J41" s="519">
        <v>0.94254357650096843</v>
      </c>
      <c r="K41" s="519">
        <v>1.520953629410672</v>
      </c>
      <c r="L41" s="520">
        <v>9.0569898574206123E-2</v>
      </c>
      <c r="M41" s="520">
        <v>9.615781762806723E-2</v>
      </c>
      <c r="N41" s="520">
        <v>9.9868433390035566E-2</v>
      </c>
      <c r="O41" s="519">
        <v>1.051104953276581</v>
      </c>
      <c r="P41" s="520">
        <v>6.7617326102965784E-3</v>
      </c>
      <c r="Q41" s="520">
        <v>6.9988588817040703E-2</v>
      </c>
      <c r="R41" s="520">
        <v>0.20709105560032229</v>
      </c>
      <c r="S41" s="520">
        <v>5.7228572513576118E-2</v>
      </c>
      <c r="T41" s="520">
        <v>0.18075117370892019</v>
      </c>
    </row>
    <row r="42" spans="1:20">
      <c r="A42" s="516" t="s">
        <v>678</v>
      </c>
      <c r="B42" s="517">
        <v>480</v>
      </c>
      <c r="C42" s="518">
        <v>4.1200000000000001E-2</v>
      </c>
      <c r="D42" s="518">
        <v>8.2200000000000009E-2</v>
      </c>
      <c r="E42" s="518">
        <v>0.17699999999999999</v>
      </c>
      <c r="F42" s="518">
        <v>-3.627739874100501E-2</v>
      </c>
      <c r="G42" s="518">
        <v>3.353756524399612E-2</v>
      </c>
      <c r="H42" s="518">
        <v>9.198089407649096E-2</v>
      </c>
      <c r="I42" s="519">
        <v>1.113636363636364</v>
      </c>
      <c r="J42" s="519">
        <v>2.0546311206536649</v>
      </c>
      <c r="K42" s="519">
        <v>4.5736293611236976</v>
      </c>
      <c r="L42" s="520">
        <v>8.0923477565296276E-2</v>
      </c>
      <c r="M42" s="520">
        <v>8.662510345051172E-2</v>
      </c>
      <c r="N42" s="520">
        <v>9.1493695290900026E-2</v>
      </c>
      <c r="O42" s="519">
        <v>0.77385856608048165</v>
      </c>
      <c r="P42" s="520">
        <v>3.0442035029190989E-2</v>
      </c>
      <c r="Q42" s="520">
        <v>0.1535674605009015</v>
      </c>
      <c r="R42" s="520">
        <v>0.38416786588043011</v>
      </c>
      <c r="S42" s="520">
        <v>0.1449073723056781</v>
      </c>
      <c r="T42" s="520">
        <v>0.36413297109964632</v>
      </c>
    </row>
    <row r="43" spans="1:20">
      <c r="A43" s="516" t="s">
        <v>679</v>
      </c>
      <c r="B43" s="517">
        <v>435</v>
      </c>
      <c r="C43" s="518">
        <v>4.3799999999999999E-2</v>
      </c>
      <c r="D43" s="518">
        <v>0.10100000000000001</v>
      </c>
      <c r="E43" s="518">
        <v>0.20699999999999999</v>
      </c>
      <c r="F43" s="518">
        <v>-0.86923076923076914</v>
      </c>
      <c r="G43" s="518">
        <v>-5.4442649434571902E-2</v>
      </c>
      <c r="H43" s="518">
        <v>0.117816091954023</v>
      </c>
      <c r="I43" s="519">
        <v>0.49210770659238628</v>
      </c>
      <c r="J43" s="519">
        <v>0.94396581230696663</v>
      </c>
      <c r="K43" s="519">
        <v>2.026924053848107</v>
      </c>
      <c r="L43" s="520">
        <v>9.6010126338926971E-2</v>
      </c>
      <c r="M43" s="520">
        <v>0.1002772633056202</v>
      </c>
      <c r="N43" s="520">
        <v>0.1065601304141733</v>
      </c>
      <c r="O43" s="519">
        <v>1.2058365211358799</v>
      </c>
      <c r="P43" s="520">
        <v>5.3525357156609804E-3</v>
      </c>
      <c r="Q43" s="520">
        <v>5.1155648941328603E-2</v>
      </c>
      <c r="R43" s="520">
        <v>0.17994505494505489</v>
      </c>
      <c r="S43" s="520">
        <v>4.266597149808829E-2</v>
      </c>
      <c r="T43" s="520">
        <v>0.16226993865030681</v>
      </c>
    </row>
    <row r="44" spans="1:20">
      <c r="A44" s="516" t="s">
        <v>680</v>
      </c>
      <c r="B44" s="517">
        <v>165</v>
      </c>
      <c r="C44" s="518">
        <v>5.0900000000000001E-2</v>
      </c>
      <c r="D44" s="518">
        <v>7.5199999999999989E-2</v>
      </c>
      <c r="E44" s="518">
        <v>0.14199999999999999</v>
      </c>
      <c r="F44" s="518">
        <v>2.0207068903962871E-2</v>
      </c>
      <c r="G44" s="518">
        <v>7.5116088500409739E-2</v>
      </c>
      <c r="H44" s="518">
        <v>0.1424206086085521</v>
      </c>
      <c r="I44" s="519">
        <v>0.79969295410471886</v>
      </c>
      <c r="J44" s="519">
        <v>1.3704231741299979</v>
      </c>
      <c r="K44" s="519">
        <v>2.385464581416743</v>
      </c>
      <c r="L44" s="520">
        <v>8.5789220421310847E-2</v>
      </c>
      <c r="M44" s="520">
        <v>8.9173272466364292E-2</v>
      </c>
      <c r="N44" s="520">
        <v>9.7667927208368824E-2</v>
      </c>
      <c r="O44" s="519">
        <v>0.95841987308814802</v>
      </c>
      <c r="P44" s="520">
        <v>0.14059927560092189</v>
      </c>
      <c r="Q44" s="520">
        <v>0.36824132043255547</v>
      </c>
      <c r="R44" s="520">
        <v>0.59392219068291874</v>
      </c>
      <c r="S44" s="520">
        <v>0.32195121951219507</v>
      </c>
      <c r="T44" s="520">
        <v>0.59810874704491734</v>
      </c>
    </row>
    <row r="45" spans="1:20">
      <c r="A45" s="516" t="s">
        <v>681</v>
      </c>
      <c r="B45" s="517">
        <v>245</v>
      </c>
      <c r="C45" s="518">
        <v>5.3800000000000001E-2</v>
      </c>
      <c r="D45" s="518">
        <v>9.9000000000000005E-2</v>
      </c>
      <c r="E45" s="518">
        <v>0.14699999999999999</v>
      </c>
      <c r="F45" s="518">
        <v>3.7134388457021418E-2</v>
      </c>
      <c r="G45" s="518">
        <v>0.1006655574043261</v>
      </c>
      <c r="H45" s="518">
        <v>0.17086115391200141</v>
      </c>
      <c r="I45" s="519">
        <v>0.72408650260999263</v>
      </c>
      <c r="J45" s="519">
        <v>1.1764705882352939</v>
      </c>
      <c r="K45" s="519">
        <v>1.752728481832682</v>
      </c>
      <c r="L45" s="520">
        <v>7.0258996751864519E-2</v>
      </c>
      <c r="M45" s="520">
        <v>7.6134341272336661E-2</v>
      </c>
      <c r="N45" s="520">
        <v>8.6378885001701294E-2</v>
      </c>
      <c r="O45" s="519">
        <v>0.65992919004803585</v>
      </c>
      <c r="P45" s="520">
        <v>3.6570598207798503E-2</v>
      </c>
      <c r="Q45" s="520">
        <v>0.1714697406340058</v>
      </c>
      <c r="R45" s="520">
        <v>0.39570552147239257</v>
      </c>
      <c r="S45" s="520">
        <v>0.15394294636924391</v>
      </c>
      <c r="T45" s="520">
        <v>0.3725906564672215</v>
      </c>
    </row>
    <row r="46" spans="1:20">
      <c r="A46" s="516" t="s">
        <v>682</v>
      </c>
      <c r="B46" s="517">
        <v>660</v>
      </c>
      <c r="C46" s="518">
        <v>3.6499999999999998E-2</v>
      </c>
      <c r="D46" s="518">
        <v>7.9100000000000004E-2</v>
      </c>
      <c r="E46" s="518">
        <v>0.151</v>
      </c>
      <c r="F46" s="518">
        <v>-5.4263565891472867E-3</v>
      </c>
      <c r="G46" s="518">
        <v>9.417582417582418E-2</v>
      </c>
      <c r="H46" s="518">
        <v>0.19881994585948029</v>
      </c>
      <c r="I46" s="519">
        <v>0.26565874730021599</v>
      </c>
      <c r="J46" s="519">
        <v>0.58833104153933236</v>
      </c>
      <c r="K46" s="519">
        <v>1.45124716553288</v>
      </c>
      <c r="L46" s="520">
        <v>8.104568360647274E-2</v>
      </c>
      <c r="M46" s="520">
        <v>8.6253113218549005E-2</v>
      </c>
      <c r="N46" s="520">
        <v>9.9918474771451785E-2</v>
      </c>
      <c r="O46" s="519">
        <v>0.84481895565552834</v>
      </c>
      <c r="P46" s="520">
        <v>2.151612394129097E-2</v>
      </c>
      <c r="Q46" s="520">
        <v>0.19620470040528881</v>
      </c>
      <c r="R46" s="520">
        <v>0.48939170565989359</v>
      </c>
      <c r="S46" s="520">
        <v>0.21422882930714099</v>
      </c>
      <c r="T46" s="520">
        <v>0.49772382397572068</v>
      </c>
    </row>
    <row r="47" spans="1:20">
      <c r="A47" s="516" t="s">
        <v>683</v>
      </c>
      <c r="B47" s="517">
        <v>554</v>
      </c>
      <c r="C47" s="518">
        <v>1.78E-2</v>
      </c>
      <c r="D47" s="518">
        <v>6.7400000000000002E-2</v>
      </c>
      <c r="E47" s="518">
        <v>0.13200000000000001</v>
      </c>
      <c r="F47" s="518">
        <v>-2.1048387096774191E-2</v>
      </c>
      <c r="G47" s="518">
        <v>5.6153846153846151E-2</v>
      </c>
      <c r="H47" s="518">
        <v>0.12669008038604099</v>
      </c>
      <c r="I47" s="519">
        <v>0.80447643091299603</v>
      </c>
      <c r="J47" s="519">
        <v>1.500524658971669</v>
      </c>
      <c r="K47" s="519">
        <v>2.4924496644295311</v>
      </c>
      <c r="L47" s="520">
        <v>7.5097518304404892E-2</v>
      </c>
      <c r="M47" s="520">
        <v>8.0444497308523613E-2</v>
      </c>
      <c r="N47" s="520">
        <v>8.6329786003305597E-2</v>
      </c>
      <c r="O47" s="519">
        <v>0.77622080044649433</v>
      </c>
      <c r="P47" s="520">
        <v>5.9017483583164772E-3</v>
      </c>
      <c r="Q47" s="520">
        <v>7.7609518658734444E-2</v>
      </c>
      <c r="R47" s="520">
        <v>0.25847457627118647</v>
      </c>
      <c r="S47" s="520">
        <v>0.1096886819901076</v>
      </c>
      <c r="T47" s="520">
        <v>0.25810502814084368</v>
      </c>
    </row>
    <row r="48" spans="1:20">
      <c r="A48" s="516" t="s">
        <v>684</v>
      </c>
      <c r="B48" s="517">
        <v>85</v>
      </c>
      <c r="C48" s="518">
        <v>3.1099999999999999E-2</v>
      </c>
      <c r="D48" s="518">
        <v>5.9499999999999997E-2</v>
      </c>
      <c r="E48" s="518">
        <v>0.128</v>
      </c>
      <c r="F48" s="518">
        <v>3.5518412118046488E-2</v>
      </c>
      <c r="G48" s="518">
        <v>9.2613235446259559E-2</v>
      </c>
      <c r="H48" s="518">
        <v>0.1409657583443234</v>
      </c>
      <c r="I48" s="519">
        <v>1.422937009381581</v>
      </c>
      <c r="J48" s="519">
        <v>2.403743315508021</v>
      </c>
      <c r="K48" s="519">
        <v>4.2905444493379266</v>
      </c>
      <c r="L48" s="520">
        <v>8.9945744845907005E-2</v>
      </c>
      <c r="M48" s="520">
        <v>9.9501237472539153E-2</v>
      </c>
      <c r="N48" s="520">
        <v>0.1186627776648875</v>
      </c>
      <c r="O48" s="519">
        <v>0.96995792850174911</v>
      </c>
      <c r="P48" s="520">
        <v>9.6923725242309341E-3</v>
      </c>
      <c r="Q48" s="520">
        <v>8.6993970714900948E-2</v>
      </c>
      <c r="R48" s="520">
        <v>0.27022739291380221</v>
      </c>
      <c r="S48" s="520">
        <v>0.10658325537885879</v>
      </c>
      <c r="T48" s="520">
        <v>0.29781484867361879</v>
      </c>
    </row>
    <row r="49" spans="1:20">
      <c r="A49" s="516" t="s">
        <v>685</v>
      </c>
      <c r="B49" s="517">
        <v>199</v>
      </c>
      <c r="C49" s="518">
        <v>4.6199999999999998E-2</v>
      </c>
      <c r="D49" s="518">
        <v>9.6999999999999989E-2</v>
      </c>
      <c r="E49" s="518">
        <v>0.17100000000000001</v>
      </c>
      <c r="F49" s="518">
        <v>4.9337121212121207E-2</v>
      </c>
      <c r="G49" s="518">
        <v>0.10110192837465561</v>
      </c>
      <c r="H49" s="518">
        <v>0.17882478918484809</v>
      </c>
      <c r="I49" s="519">
        <v>1.086439333862014</v>
      </c>
      <c r="J49" s="519">
        <v>1.928316104724181</v>
      </c>
      <c r="K49" s="519">
        <v>3.2315053367684952</v>
      </c>
      <c r="L49" s="520">
        <v>7.6104421453800669E-2</v>
      </c>
      <c r="M49" s="520">
        <v>7.9743855579877121E-2</v>
      </c>
      <c r="N49" s="520">
        <v>9.3560111260202E-2</v>
      </c>
      <c r="O49" s="519">
        <v>0.51892701595233637</v>
      </c>
      <c r="P49" s="520">
        <v>4.0890960011727223E-4</v>
      </c>
      <c r="Q49" s="520">
        <v>4.377880184331797E-2</v>
      </c>
      <c r="R49" s="520">
        <v>0.21769831730769229</v>
      </c>
      <c r="S49" s="520">
        <v>6.2062529164722359E-2</v>
      </c>
      <c r="T49" s="520">
        <v>0.27057022579410639</v>
      </c>
    </row>
    <row r="50" spans="1:20">
      <c r="A50" s="516" t="s">
        <v>686</v>
      </c>
      <c r="B50" s="517">
        <v>137</v>
      </c>
      <c r="C50" s="518">
        <v>2.12E-2</v>
      </c>
      <c r="D50" s="518">
        <v>6.0100000000000001E-2</v>
      </c>
      <c r="E50" s="518">
        <v>0.14499999999999999</v>
      </c>
      <c r="F50" s="518">
        <v>2.086313781592752E-2</v>
      </c>
      <c r="G50" s="518">
        <v>0.1194070115488869</v>
      </c>
      <c r="H50" s="518">
        <v>0.2257448261899514</v>
      </c>
      <c r="I50" s="519">
        <v>0.73860224342897018</v>
      </c>
      <c r="J50" s="519">
        <v>1.377923053215087</v>
      </c>
      <c r="K50" s="519">
        <v>2.985028553789165</v>
      </c>
      <c r="L50" s="520">
        <v>7.9165765326205728E-2</v>
      </c>
      <c r="M50" s="520">
        <v>8.5731609565131622E-2</v>
      </c>
      <c r="N50" s="520">
        <v>0.1263594999187625</v>
      </c>
      <c r="O50" s="519">
        <v>0.83093938513029175</v>
      </c>
      <c r="P50" s="520">
        <v>5.6886084420861424E-3</v>
      </c>
      <c r="Q50" s="520">
        <v>0.10275689223057639</v>
      </c>
      <c r="R50" s="520">
        <v>0.4105247564558776</v>
      </c>
      <c r="S50" s="520">
        <v>9.1009232460552605E-2</v>
      </c>
      <c r="T50" s="520">
        <v>0.42728174436393601</v>
      </c>
    </row>
    <row r="51" spans="1:20">
      <c r="A51" s="516" t="s">
        <v>687</v>
      </c>
      <c r="B51" s="517">
        <v>240</v>
      </c>
      <c r="C51" s="518">
        <v>4.5199999999999997E-2</v>
      </c>
      <c r="D51" s="518">
        <v>7.5399999999999995E-2</v>
      </c>
      <c r="E51" s="518">
        <v>0.11899999999999999</v>
      </c>
      <c r="F51" s="518">
        <v>6.2626702326960174E-2</v>
      </c>
      <c r="G51" s="518">
        <v>0.1299962337386428</v>
      </c>
      <c r="H51" s="518">
        <v>0.20255586687623861</v>
      </c>
      <c r="I51" s="519">
        <v>0.95058139534883723</v>
      </c>
      <c r="J51" s="519">
        <v>1.620302767282626</v>
      </c>
      <c r="K51" s="519">
        <v>3.0228716645489211</v>
      </c>
      <c r="L51" s="520">
        <v>7.4391937359439594E-2</v>
      </c>
      <c r="M51" s="520">
        <v>8.6577432331512966E-2</v>
      </c>
      <c r="N51" s="520">
        <v>0.1228894994714055</v>
      </c>
      <c r="O51" s="519">
        <v>0.48685831602480789</v>
      </c>
      <c r="P51" s="520">
        <v>1.1190580450542501E-3</v>
      </c>
      <c r="Q51" s="520">
        <v>2.9058888277380301E-2</v>
      </c>
      <c r="R51" s="520">
        <v>0.13959059421781361</v>
      </c>
      <c r="S51" s="520">
        <v>3.0898340644669078E-2</v>
      </c>
      <c r="T51" s="520">
        <v>0.15476870359794409</v>
      </c>
    </row>
    <row r="52" spans="1:20">
      <c r="A52" s="516" t="s">
        <v>688</v>
      </c>
      <c r="B52" s="517">
        <v>1291</v>
      </c>
      <c r="C52" s="518">
        <v>3.1399999999999997E-2</v>
      </c>
      <c r="D52" s="518">
        <v>9.06E-2</v>
      </c>
      <c r="E52" s="518">
        <v>0.17799999999999999</v>
      </c>
      <c r="F52" s="518">
        <v>0</v>
      </c>
      <c r="G52" s="518">
        <v>0.20588235294117649</v>
      </c>
      <c r="H52" s="518">
        <v>0.66806722689075637</v>
      </c>
      <c r="I52" s="519">
        <v>7.2689201316183073E-3</v>
      </c>
      <c r="J52" s="519">
        <v>0.12622061482820979</v>
      </c>
      <c r="K52" s="519">
        <v>0.64749813293502601</v>
      </c>
      <c r="L52" s="520">
        <v>6.7928365581165315E-2</v>
      </c>
      <c r="M52" s="520">
        <v>7.0598708311693667E-2</v>
      </c>
      <c r="N52" s="520">
        <v>7.8835709845253843E-2</v>
      </c>
      <c r="O52" s="519">
        <v>0.63265507547703526</v>
      </c>
      <c r="P52" s="520">
        <v>0</v>
      </c>
      <c r="Q52" s="520">
        <v>1.248581157775255E-2</v>
      </c>
      <c r="R52" s="520">
        <v>0.1418789221456607</v>
      </c>
      <c r="S52" s="520">
        <v>9.4007206775965028E-3</v>
      </c>
      <c r="T52" s="520">
        <v>0.1041009463722397</v>
      </c>
    </row>
    <row r="53" spans="1:20">
      <c r="A53" s="516" t="s">
        <v>689</v>
      </c>
      <c r="B53" s="517">
        <v>1548</v>
      </c>
      <c r="C53" s="518">
        <v>2.69E-2</v>
      </c>
      <c r="D53" s="518">
        <v>7.6200000000000018E-2</v>
      </c>
      <c r="E53" s="518">
        <v>0.16</v>
      </c>
      <c r="F53" s="518">
        <v>2.226134585289515E-3</v>
      </c>
      <c r="G53" s="518">
        <v>6.6044776119402987E-2</v>
      </c>
      <c r="H53" s="518">
        <v>0.12469733656174339</v>
      </c>
      <c r="I53" s="519">
        <v>0.81524926686217025</v>
      </c>
      <c r="J53" s="519">
        <v>1.2880972972681239</v>
      </c>
      <c r="K53" s="519">
        <v>1.935312767951505</v>
      </c>
      <c r="L53" s="520">
        <v>9.3661500295883368E-2</v>
      </c>
      <c r="M53" s="520">
        <v>9.848919641326509E-2</v>
      </c>
      <c r="N53" s="520">
        <v>0.1002093455137177</v>
      </c>
      <c r="O53" s="519">
        <v>1.119459631634788</v>
      </c>
      <c r="P53" s="520">
        <v>1.513374002815579E-2</v>
      </c>
      <c r="Q53" s="520">
        <v>0.10360178065560501</v>
      </c>
      <c r="R53" s="520">
        <v>0.27623762376237632</v>
      </c>
      <c r="S53" s="520">
        <v>9.3269915563103128E-2</v>
      </c>
      <c r="T53" s="520">
        <v>0.24583333333333329</v>
      </c>
    </row>
    <row r="54" spans="1:20">
      <c r="A54" s="516" t="s">
        <v>622</v>
      </c>
      <c r="B54" s="517">
        <v>1832</v>
      </c>
      <c r="C54" s="518">
        <v>3.5999999999999997E-2</v>
      </c>
      <c r="D54" s="518">
        <v>9.7100000000000006E-2</v>
      </c>
      <c r="E54" s="518">
        <v>0.186</v>
      </c>
      <c r="F54" s="518">
        <v>-6.9300911854103333</v>
      </c>
      <c r="G54" s="518">
        <v>7.8952608522500998E-3</v>
      </c>
      <c r="H54" s="518">
        <v>8.0913796984019806E-2</v>
      </c>
      <c r="I54" s="519">
        <v>0</v>
      </c>
      <c r="J54" s="519">
        <v>0</v>
      </c>
      <c r="K54" s="519">
        <v>0.56412339095580311</v>
      </c>
      <c r="L54" s="520">
        <v>8.8337576803887527E-2</v>
      </c>
      <c r="M54" s="520">
        <v>8.8416722071187309E-2</v>
      </c>
      <c r="N54" s="520">
        <v>9.0938376816686539E-2</v>
      </c>
      <c r="O54" s="519">
        <v>1.0572607235156171</v>
      </c>
      <c r="P54" s="520">
        <v>0</v>
      </c>
      <c r="Q54" s="520">
        <v>4.7753418710657688E-3</v>
      </c>
      <c r="R54" s="520">
        <v>0.14253897550111361</v>
      </c>
      <c r="S54" s="520">
        <v>3.8133766621348281E-3</v>
      </c>
      <c r="T54" s="520">
        <v>0.11345939933259171</v>
      </c>
    </row>
    <row r="55" spans="1:20">
      <c r="A55" s="516" t="s">
        <v>690</v>
      </c>
      <c r="B55" s="517">
        <v>140</v>
      </c>
      <c r="C55" s="518">
        <v>1.38E-2</v>
      </c>
      <c r="D55" s="518">
        <v>4.3200000000000002E-2</v>
      </c>
      <c r="E55" s="518">
        <v>0.11899999999999999</v>
      </c>
      <c r="F55" s="518">
        <v>-4.0404040404040404E-3</v>
      </c>
      <c r="G55" s="518">
        <v>5.318918918918919E-2</v>
      </c>
      <c r="H55" s="518">
        <v>9.0573012939001857E-2</v>
      </c>
      <c r="I55" s="519">
        <v>0.98837209302325579</v>
      </c>
      <c r="J55" s="519">
        <v>1.5972778222578059</v>
      </c>
      <c r="K55" s="519">
        <v>2.6552464146849419</v>
      </c>
      <c r="L55" s="520">
        <v>8.1371470425124506E-2</v>
      </c>
      <c r="M55" s="520">
        <v>8.6098095732352276E-2</v>
      </c>
      <c r="N55" s="520">
        <v>9.8704216404554623E-2</v>
      </c>
      <c r="O55" s="519">
        <v>0.68949991763382212</v>
      </c>
      <c r="P55" s="520">
        <v>1.6248658143846979E-2</v>
      </c>
      <c r="Q55" s="520">
        <v>0.14529914529914531</v>
      </c>
      <c r="R55" s="520">
        <v>0.39481037010703263</v>
      </c>
      <c r="S55" s="520">
        <v>0</v>
      </c>
      <c r="T55" s="520">
        <v>0</v>
      </c>
    </row>
    <row r="56" spans="1:20">
      <c r="A56" s="516" t="s">
        <v>691</v>
      </c>
      <c r="B56" s="517">
        <v>36</v>
      </c>
      <c r="C56" s="518">
        <v>-5.1799999999999999E-2</v>
      </c>
      <c r="D56" s="518">
        <v>-1.46E-2</v>
      </c>
      <c r="E56" s="518">
        <v>5.1800000000000006E-3</v>
      </c>
      <c r="F56" s="518">
        <v>5.8972113532263129E-2</v>
      </c>
      <c r="G56" s="518">
        <v>0.10341957528254971</v>
      </c>
      <c r="H56" s="518">
        <v>0.17195505392777061</v>
      </c>
      <c r="I56" s="519">
        <v>0.8546252384846007</v>
      </c>
      <c r="J56" s="519">
        <v>1.515300911624154</v>
      </c>
      <c r="K56" s="519">
        <v>2.0551615948289208</v>
      </c>
      <c r="L56" s="520">
        <v>8.4825968623111814E-2</v>
      </c>
      <c r="M56" s="520">
        <v>9.3370236322068867E-2</v>
      </c>
      <c r="N56" s="520">
        <v>0.1120212489728603</v>
      </c>
      <c r="O56" s="519">
        <v>0.84258731265758235</v>
      </c>
      <c r="P56" s="520">
        <v>0.1057340989616319</v>
      </c>
      <c r="Q56" s="520">
        <v>0.32592995890266607</v>
      </c>
      <c r="R56" s="520">
        <v>0.4708444648550989</v>
      </c>
      <c r="S56" s="520">
        <v>0.105760780132343</v>
      </c>
      <c r="T56" s="520">
        <v>0.33667798703303492</v>
      </c>
    </row>
    <row r="57" spans="1:20">
      <c r="A57" s="516" t="s">
        <v>623</v>
      </c>
      <c r="B57" s="517">
        <v>548</v>
      </c>
      <c r="C57" s="518">
        <v>-3.5300000000000002E-3</v>
      </c>
      <c r="D57" s="518">
        <v>7.1900000000000019E-2</v>
      </c>
      <c r="E57" s="518">
        <v>0.20799999999999999</v>
      </c>
      <c r="F57" s="518">
        <v>-0.27911646586345379</v>
      </c>
      <c r="G57" s="518">
        <v>0.14323330887369659</v>
      </c>
      <c r="H57" s="518">
        <v>0.3492329149232915</v>
      </c>
      <c r="I57" s="519">
        <v>9.2247596153846159E-2</v>
      </c>
      <c r="J57" s="519">
        <v>0.42376371055291429</v>
      </c>
      <c r="K57" s="519">
        <v>0.76153059576987248</v>
      </c>
      <c r="L57" s="520">
        <v>8.5857935335107494E-2</v>
      </c>
      <c r="M57" s="520">
        <v>8.744674570503419E-2</v>
      </c>
      <c r="N57" s="520">
        <v>9.4492620158176083E-2</v>
      </c>
      <c r="O57" s="519">
        <v>0.93525402232113453</v>
      </c>
      <c r="P57" s="520">
        <v>0</v>
      </c>
      <c r="Q57" s="520">
        <v>0.1134769645933109</v>
      </c>
      <c r="R57" s="520">
        <v>0.37528499772001822</v>
      </c>
      <c r="S57" s="520">
        <v>0.29928173316853612</v>
      </c>
      <c r="T57" s="520">
        <v>0.4267425320056899</v>
      </c>
    </row>
    <row r="58" spans="1:20">
      <c r="A58" s="516" t="s">
        <v>692</v>
      </c>
      <c r="B58" s="517">
        <v>179</v>
      </c>
      <c r="C58" s="518">
        <v>-2.7199999999999998E-2</v>
      </c>
      <c r="D58" s="518">
        <v>4.4900000000000002E-2</v>
      </c>
      <c r="E58" s="518">
        <v>0.11899999999999999</v>
      </c>
      <c r="F58" s="518">
        <v>2.4124360487996849E-2</v>
      </c>
      <c r="G58" s="518">
        <v>0.115933044017359</v>
      </c>
      <c r="H58" s="518">
        <v>0.31354300385109118</v>
      </c>
      <c r="I58" s="519">
        <v>0.32193272126811379</v>
      </c>
      <c r="J58" s="519">
        <v>0.82929030802211445</v>
      </c>
      <c r="K58" s="519">
        <v>1.9625246548323469</v>
      </c>
      <c r="L58" s="520">
        <v>7.0312650581640962E-2</v>
      </c>
      <c r="M58" s="520">
        <v>7.5279452862586693E-2</v>
      </c>
      <c r="N58" s="520">
        <v>8.6925793150543273E-2</v>
      </c>
      <c r="O58" s="519">
        <v>0.67869934617449235</v>
      </c>
      <c r="P58" s="520">
        <v>8.2568807339449546E-2</v>
      </c>
      <c r="Q58" s="520">
        <v>0.31243983313723389</v>
      </c>
      <c r="R58" s="520">
        <v>0.5140845070422535</v>
      </c>
      <c r="S58" s="520">
        <v>8.250559784674974E-2</v>
      </c>
      <c r="T58" s="520">
        <v>0.34406153885836188</v>
      </c>
    </row>
    <row r="59" spans="1:20">
      <c r="A59" s="516" t="s">
        <v>693</v>
      </c>
      <c r="B59" s="517">
        <v>437</v>
      </c>
      <c r="C59" s="518">
        <v>-3.3000000000000002E-2</v>
      </c>
      <c r="D59" s="518">
        <v>4.2799999999999998E-2</v>
      </c>
      <c r="E59" s="518">
        <v>0.11799999999999999</v>
      </c>
      <c r="F59" s="518">
        <v>6.0550458715596328E-3</v>
      </c>
      <c r="G59" s="518">
        <v>4.1036340444913673E-2</v>
      </c>
      <c r="H59" s="518">
        <v>0.11689760530110629</v>
      </c>
      <c r="I59" s="519">
        <v>0.86146095717884152</v>
      </c>
      <c r="J59" s="519">
        <v>1.708557535774593</v>
      </c>
      <c r="K59" s="519">
        <v>3.2689836572826829</v>
      </c>
      <c r="L59" s="520">
        <v>7.9723695247100379E-2</v>
      </c>
      <c r="M59" s="520">
        <v>8.6144672546024731E-2</v>
      </c>
      <c r="N59" s="520">
        <v>9.8847528031704712E-2</v>
      </c>
      <c r="O59" s="519">
        <v>0.91158846103648461</v>
      </c>
      <c r="P59" s="520">
        <v>5.9929494712103418E-2</v>
      </c>
      <c r="Q59" s="520">
        <v>0.2096472666977118</v>
      </c>
      <c r="R59" s="520">
        <v>0.51386652033194036</v>
      </c>
      <c r="S59" s="520">
        <v>0.33495145631067957</v>
      </c>
      <c r="T59" s="520">
        <v>0.47313006968370391</v>
      </c>
    </row>
    <row r="60" spans="1:20">
      <c r="A60" s="516" t="s">
        <v>694</v>
      </c>
      <c r="B60" s="517">
        <v>438</v>
      </c>
      <c r="C60" s="518">
        <v>1.38E-2</v>
      </c>
      <c r="D60" s="518">
        <v>5.1100000000000013E-2</v>
      </c>
      <c r="E60" s="518">
        <v>8.6400000000000005E-2</v>
      </c>
      <c r="F60" s="518">
        <v>1.7097966728280959E-2</v>
      </c>
      <c r="G60" s="518">
        <v>5.6262425447316113E-2</v>
      </c>
      <c r="H60" s="518">
        <v>9.3180240526519492E-2</v>
      </c>
      <c r="I60" s="519">
        <v>0.95643153526970948</v>
      </c>
      <c r="J60" s="519">
        <v>1.3993541442411199</v>
      </c>
      <c r="K60" s="519">
        <v>1.8550281804059521</v>
      </c>
      <c r="L60" s="520">
        <v>7.6073415689946744E-2</v>
      </c>
      <c r="M60" s="520">
        <v>8.549372239286479E-2</v>
      </c>
      <c r="N60" s="520">
        <v>9.0373690351162272E-2</v>
      </c>
      <c r="O60" s="519">
        <v>0.74826073592577058</v>
      </c>
      <c r="P60" s="520">
        <v>5.817174515235457E-2</v>
      </c>
      <c r="Q60" s="520">
        <v>0.236328125</v>
      </c>
      <c r="R60" s="520">
        <v>0.44146088271888989</v>
      </c>
      <c r="S60" s="520">
        <v>0.23349736237183999</v>
      </c>
      <c r="T60" s="520">
        <v>0.50152953309909631</v>
      </c>
    </row>
    <row r="61" spans="1:20">
      <c r="A61" s="516" t="s">
        <v>695</v>
      </c>
      <c r="B61" s="517">
        <v>269</v>
      </c>
      <c r="C61" s="518">
        <v>1.83E-2</v>
      </c>
      <c r="D61" s="518">
        <v>6.0100000000000001E-2</v>
      </c>
      <c r="E61" s="518">
        <v>0.1</v>
      </c>
      <c r="F61" s="518">
        <v>-1.086271567891973E-2</v>
      </c>
      <c r="G61" s="518">
        <v>3.4665991902834009E-2</v>
      </c>
      <c r="H61" s="518">
        <v>8.5666666666666669E-2</v>
      </c>
      <c r="I61" s="519">
        <v>0.62732047152082826</v>
      </c>
      <c r="J61" s="519">
        <v>1.0322139930028731</v>
      </c>
      <c r="K61" s="519">
        <v>1.501366709825924</v>
      </c>
      <c r="L61" s="520">
        <v>7.5697219277933325E-2</v>
      </c>
      <c r="M61" s="520">
        <v>8.1342459219182969E-2</v>
      </c>
      <c r="N61" s="520">
        <v>9.2631509902622783E-2</v>
      </c>
      <c r="O61" s="519">
        <v>0.85105648322921557</v>
      </c>
      <c r="P61" s="520">
        <v>0.1096634093376764</v>
      </c>
      <c r="Q61" s="520">
        <v>0.29933481152993352</v>
      </c>
      <c r="R61" s="520">
        <v>0.56265491652777666</v>
      </c>
      <c r="S61" s="520">
        <v>0.21713940856970429</v>
      </c>
      <c r="T61" s="520">
        <v>0.4521004491920656</v>
      </c>
    </row>
    <row r="62" spans="1:20">
      <c r="A62" s="516" t="s">
        <v>696</v>
      </c>
      <c r="B62" s="517">
        <v>492</v>
      </c>
      <c r="C62" s="518">
        <v>-1.06E-2</v>
      </c>
      <c r="D62" s="518">
        <v>3.44E-2</v>
      </c>
      <c r="E62" s="518">
        <v>6.7099999999999993E-2</v>
      </c>
      <c r="F62" s="518">
        <v>4.8793103448275872E-2</v>
      </c>
      <c r="G62" s="518">
        <v>0.1160150519803559</v>
      </c>
      <c r="H62" s="518">
        <v>0.21592857142857139</v>
      </c>
      <c r="I62" s="519">
        <v>0.37455723867661472</v>
      </c>
      <c r="J62" s="519">
        <v>0.66838046272493579</v>
      </c>
      <c r="K62" s="519">
        <v>1.290661070304302</v>
      </c>
      <c r="L62" s="520">
        <v>6.5412234429964744E-2</v>
      </c>
      <c r="M62" s="520">
        <v>6.9284040236409078E-2</v>
      </c>
      <c r="N62" s="520">
        <v>7.8768540311003138E-2</v>
      </c>
      <c r="O62" s="519">
        <v>0.63173827115088654</v>
      </c>
      <c r="P62" s="520">
        <v>0.13589394424863829</v>
      </c>
      <c r="Q62" s="520">
        <v>0.38989834949337598</v>
      </c>
      <c r="R62" s="520">
        <v>0.60790709812108557</v>
      </c>
      <c r="S62" s="520">
        <v>0.27329192546583853</v>
      </c>
      <c r="T62" s="520">
        <v>0.50635461304618534</v>
      </c>
    </row>
    <row r="63" spans="1:20">
      <c r="A63" s="516" t="s">
        <v>697</v>
      </c>
      <c r="B63" s="517">
        <v>823</v>
      </c>
      <c r="C63" s="518">
        <v>0.111</v>
      </c>
      <c r="D63" s="518">
        <v>0.219</v>
      </c>
      <c r="E63" s="518">
        <v>0.35799999999999998</v>
      </c>
      <c r="F63" s="518">
        <v>-7.2377622377622366</v>
      </c>
      <c r="G63" s="518">
        <v>-2.7517229937519781E-3</v>
      </c>
      <c r="H63" s="518">
        <v>0.18806509945750449</v>
      </c>
      <c r="I63" s="519">
        <v>0</v>
      </c>
      <c r="J63" s="519">
        <v>0</v>
      </c>
      <c r="K63" s="519">
        <v>0.25290852314839962</v>
      </c>
      <c r="L63" s="520">
        <v>9.0318610600960497E-2</v>
      </c>
      <c r="M63" s="520">
        <v>9.0624911265237376E-2</v>
      </c>
      <c r="N63" s="520">
        <v>9.0624911265237376E-2</v>
      </c>
      <c r="O63" s="519">
        <v>1.14752317053801</v>
      </c>
      <c r="P63" s="520">
        <v>0</v>
      </c>
      <c r="Q63" s="520">
        <v>2.3201856148491878E-3</v>
      </c>
      <c r="R63" s="520">
        <v>8.4175084175084181E-2</v>
      </c>
      <c r="S63" s="520">
        <v>0.38684210526315788</v>
      </c>
      <c r="T63" s="520">
        <v>0.58837636858117448</v>
      </c>
    </row>
    <row r="64" spans="1:20">
      <c r="A64" s="516" t="s">
        <v>698</v>
      </c>
      <c r="B64" s="517">
        <v>321</v>
      </c>
      <c r="C64" s="518">
        <v>8.8800000000000007E-3</v>
      </c>
      <c r="D64" s="518">
        <v>5.0099999999999999E-2</v>
      </c>
      <c r="E64" s="518">
        <v>7.8399999999999997E-2</v>
      </c>
      <c r="F64" s="518">
        <v>-2.6980942828485451E-2</v>
      </c>
      <c r="G64" s="518">
        <v>4.1745843230403798E-2</v>
      </c>
      <c r="H64" s="518">
        <v>9.5980913929161318E-2</v>
      </c>
      <c r="I64" s="519">
        <v>0.7122111377699204</v>
      </c>
      <c r="J64" s="519">
        <v>1.3945216680294359</v>
      </c>
      <c r="K64" s="519">
        <v>2.486029101644875</v>
      </c>
      <c r="L64" s="520">
        <v>9.275839413997658E-2</v>
      </c>
      <c r="M64" s="520">
        <v>9.6652362892306359E-2</v>
      </c>
      <c r="N64" s="520">
        <v>0.11103128788214429</v>
      </c>
      <c r="O64" s="519">
        <v>0.74407038179648888</v>
      </c>
      <c r="P64" s="520">
        <v>1.0144842549698E-2</v>
      </c>
      <c r="Q64" s="520">
        <v>0.10922112802148611</v>
      </c>
      <c r="R64" s="520">
        <v>0.37889982996724031</v>
      </c>
      <c r="S64" s="520">
        <v>4.542379433652266E-3</v>
      </c>
      <c r="T64" s="520">
        <v>8.7173466392720861E-2</v>
      </c>
    </row>
    <row r="65" spans="1:20">
      <c r="A65" s="516" t="s">
        <v>699</v>
      </c>
      <c r="B65" s="517">
        <v>650</v>
      </c>
      <c r="C65" s="518">
        <v>-1.12E-2</v>
      </c>
      <c r="D65" s="518">
        <v>3.2300000000000002E-2</v>
      </c>
      <c r="E65" s="518">
        <v>7.9300000000000009E-2</v>
      </c>
      <c r="F65" s="518">
        <v>0.16697315189407869</v>
      </c>
      <c r="G65" s="518">
        <v>0.48561021461716802</v>
      </c>
      <c r="H65" s="518">
        <v>0.64952487423141414</v>
      </c>
      <c r="I65" s="519">
        <v>6.2368936110722771E-2</v>
      </c>
      <c r="J65" s="519">
        <v>8.5789871504157234E-2</v>
      </c>
      <c r="K65" s="519">
        <v>0.12698303689662399</v>
      </c>
      <c r="L65" s="520">
        <v>6.4176003296967404E-2</v>
      </c>
      <c r="M65" s="520">
        <v>6.7523580923048054E-2</v>
      </c>
      <c r="N65" s="520">
        <v>7.8401098846822781E-2</v>
      </c>
      <c r="O65" s="519">
        <v>0.74919786491837148</v>
      </c>
      <c r="P65" s="520">
        <v>0.25</v>
      </c>
      <c r="Q65" s="520">
        <v>0.43722865412445733</v>
      </c>
      <c r="R65" s="520">
        <v>0.59181957472252322</v>
      </c>
      <c r="S65" s="520">
        <v>5.9703920611680492E-2</v>
      </c>
      <c r="T65" s="520">
        <v>0.31248889678450881</v>
      </c>
    </row>
    <row r="66" spans="1:20">
      <c r="A66" s="516" t="s">
        <v>700</v>
      </c>
      <c r="B66" s="517">
        <v>879</v>
      </c>
      <c r="C66" s="518">
        <v>-3.7599999999999988E-2</v>
      </c>
      <c r="D66" s="518">
        <v>5.9300000000000012E-2</v>
      </c>
      <c r="E66" s="518">
        <v>0.20899999999999999</v>
      </c>
      <c r="F66" s="518">
        <v>-8.6192468619246856E-2</v>
      </c>
      <c r="G66" s="518">
        <v>8.0921757770632374E-2</v>
      </c>
      <c r="H66" s="518">
        <v>0.21580135440180589</v>
      </c>
      <c r="I66" s="519">
        <v>0.1053595968850206</v>
      </c>
      <c r="J66" s="519">
        <v>0.25129352329831323</v>
      </c>
      <c r="K66" s="519">
        <v>0.52825356170962068</v>
      </c>
      <c r="L66" s="520">
        <v>6.8533390302999098E-2</v>
      </c>
      <c r="M66" s="520">
        <v>7.5853546837946206E-2</v>
      </c>
      <c r="N66" s="520">
        <v>7.8236449268423019E-2</v>
      </c>
      <c r="O66" s="519">
        <v>0.82755215591243603</v>
      </c>
      <c r="P66" s="520">
        <v>0.1120561343823092</v>
      </c>
      <c r="Q66" s="520">
        <v>0.41069518716577541</v>
      </c>
      <c r="R66" s="520">
        <v>0.7159536797779692</v>
      </c>
      <c r="S66" s="520">
        <v>0.4142739680973524</v>
      </c>
      <c r="T66" s="520">
        <v>0.59593345656192231</v>
      </c>
    </row>
    <row r="67" spans="1:20">
      <c r="A67" s="516" t="s">
        <v>701</v>
      </c>
      <c r="B67" s="517">
        <v>309</v>
      </c>
      <c r="C67" s="518">
        <v>1.78E-2</v>
      </c>
      <c r="D67" s="518">
        <v>7.3599999999999999E-2</v>
      </c>
      <c r="E67" s="518">
        <v>0.16800000000000001</v>
      </c>
      <c r="F67" s="518">
        <v>1.1619047619047621E-2</v>
      </c>
      <c r="G67" s="518">
        <v>0.15344603381014299</v>
      </c>
      <c r="H67" s="518">
        <v>0.32713621737575982</v>
      </c>
      <c r="I67" s="519">
        <v>8.1832218219248576E-2</v>
      </c>
      <c r="J67" s="519">
        <v>0.17178037200638591</v>
      </c>
      <c r="K67" s="519">
        <v>0.44005947569146231</v>
      </c>
      <c r="L67" s="520">
        <v>6.9440096438112164E-2</v>
      </c>
      <c r="M67" s="520">
        <v>7.3643409572467788E-2</v>
      </c>
      <c r="N67" s="520">
        <v>8.3572853869514505E-2</v>
      </c>
      <c r="O67" s="519">
        <v>0.81737700122395296</v>
      </c>
      <c r="P67" s="520">
        <v>0.1186535242700391</v>
      </c>
      <c r="Q67" s="520">
        <v>0.45079695079695081</v>
      </c>
      <c r="R67" s="520">
        <v>0.65119047619047621</v>
      </c>
      <c r="S67" s="520">
        <v>0.40995319554322163</v>
      </c>
      <c r="T67" s="520">
        <v>0.72408536585365857</v>
      </c>
    </row>
    <row r="68" spans="1:20">
      <c r="A68" s="516" t="s">
        <v>702</v>
      </c>
      <c r="B68" s="517">
        <v>749</v>
      </c>
      <c r="C68" s="518">
        <v>2.3400000000000001E-2</v>
      </c>
      <c r="D68" s="518">
        <v>8.1600000000000006E-2</v>
      </c>
      <c r="E68" s="518">
        <v>0.13300000000000001</v>
      </c>
      <c r="F68" s="518">
        <v>4.1441981517755432E-2</v>
      </c>
      <c r="G68" s="518">
        <v>0.2744860943168077</v>
      </c>
      <c r="H68" s="518">
        <v>0.5676709708273554</v>
      </c>
      <c r="I68" s="519">
        <v>6.5661641541038526E-2</v>
      </c>
      <c r="J68" s="519">
        <v>0.1144818119423473</v>
      </c>
      <c r="K68" s="519">
        <v>0.51734631771150341</v>
      </c>
      <c r="L68" s="520">
        <v>6.8364952320220357E-2</v>
      </c>
      <c r="M68" s="520">
        <v>7.414937115132067E-2</v>
      </c>
      <c r="N68" s="520">
        <v>8.2167806522231934E-2</v>
      </c>
      <c r="O68" s="519">
        <v>0.71519290700843918</v>
      </c>
      <c r="P68" s="520">
        <v>1.9070753010491499E-2</v>
      </c>
      <c r="Q68" s="520">
        <v>0.30966719492868472</v>
      </c>
      <c r="R68" s="520">
        <v>0.59002738681869893</v>
      </c>
      <c r="S68" s="520">
        <v>0.42452597882295001</v>
      </c>
      <c r="T68" s="520">
        <v>0.63526912181303119</v>
      </c>
    </row>
    <row r="69" spans="1:20">
      <c r="A69" s="516" t="s">
        <v>703</v>
      </c>
      <c r="B69" s="517">
        <v>320</v>
      </c>
      <c r="C69" s="518">
        <v>2.2700000000000001E-2</v>
      </c>
      <c r="D69" s="518">
        <v>7.17E-2</v>
      </c>
      <c r="E69" s="518">
        <v>0.13900000000000001</v>
      </c>
      <c r="F69" s="518">
        <v>-2.114285714285714E-2</v>
      </c>
      <c r="G69" s="518">
        <v>6.4355062413314845E-2</v>
      </c>
      <c r="H69" s="518">
        <v>0.14609286523216311</v>
      </c>
      <c r="I69" s="519">
        <v>0.6115937900583962</v>
      </c>
      <c r="J69" s="519">
        <v>1.122429906542056</v>
      </c>
      <c r="K69" s="519">
        <v>2.042821158690177</v>
      </c>
      <c r="L69" s="520">
        <v>8.4543727935380134E-2</v>
      </c>
      <c r="M69" s="520">
        <v>8.9866440423081645E-2</v>
      </c>
      <c r="N69" s="520">
        <v>9.2654903207056605E-2</v>
      </c>
      <c r="O69" s="519">
        <v>1.004090340527191</v>
      </c>
      <c r="P69" s="520">
        <v>3.4898399641650042E-2</v>
      </c>
      <c r="Q69" s="520">
        <v>0.1673622704507513</v>
      </c>
      <c r="R69" s="520">
        <v>0.41848740010710089</v>
      </c>
      <c r="S69" s="520">
        <v>0.32308154678421158</v>
      </c>
      <c r="T69" s="520">
        <v>0.5860375169212918</v>
      </c>
    </row>
    <row r="70" spans="1:20">
      <c r="A70" s="516" t="s">
        <v>704</v>
      </c>
      <c r="B70" s="517">
        <v>33</v>
      </c>
      <c r="C70" s="518">
        <v>3.3099999999999997E-2</v>
      </c>
      <c r="D70" s="518">
        <v>7.4999999999999997E-2</v>
      </c>
      <c r="E70" s="518">
        <v>0.156</v>
      </c>
      <c r="F70" s="518">
        <v>0.1134314903846154</v>
      </c>
      <c r="G70" s="518">
        <v>0.15290376882072379</v>
      </c>
      <c r="H70" s="518">
        <v>0.24390951276102091</v>
      </c>
      <c r="I70" s="519">
        <v>0.96842763363551121</v>
      </c>
      <c r="J70" s="519">
        <v>1.2961039360564659</v>
      </c>
      <c r="K70" s="519">
        <v>1.922069640864476</v>
      </c>
      <c r="L70" s="520">
        <v>0.1007207046095276</v>
      </c>
      <c r="M70" s="520">
        <v>0.1084292222039559</v>
      </c>
      <c r="N70" s="520">
        <v>0.11936883873101389</v>
      </c>
      <c r="O70" s="519">
        <v>1.222510498132245</v>
      </c>
      <c r="P70" s="520">
        <v>4.5942122431003651E-5</v>
      </c>
      <c r="Q70" s="520">
        <v>5.8891154964619177E-2</v>
      </c>
      <c r="R70" s="520">
        <v>0.18441787022604161</v>
      </c>
      <c r="S70" s="520">
        <v>0.15628281414070699</v>
      </c>
      <c r="T70" s="520">
        <v>0.39432989690721648</v>
      </c>
    </row>
    <row r="71" spans="1:20">
      <c r="A71" s="516" t="s">
        <v>705</v>
      </c>
      <c r="B71" s="517">
        <v>401</v>
      </c>
      <c r="C71" s="518">
        <v>3.8100000000000002E-2</v>
      </c>
      <c r="D71" s="518">
        <v>7.010000000000001E-2</v>
      </c>
      <c r="E71" s="518">
        <v>0.125</v>
      </c>
      <c r="F71" s="518">
        <v>6.2157652367782537E-4</v>
      </c>
      <c r="G71" s="518">
        <v>4.4034707158351408E-2</v>
      </c>
      <c r="H71" s="518">
        <v>8.6183967491688218E-2</v>
      </c>
      <c r="I71" s="519">
        <v>1.2083225639700179</v>
      </c>
      <c r="J71" s="519">
        <v>2.061150365526486</v>
      </c>
      <c r="K71" s="519">
        <v>3.6028037383177578</v>
      </c>
      <c r="L71" s="520">
        <v>8.2050710181872905E-2</v>
      </c>
      <c r="M71" s="520">
        <v>8.745031839973863E-2</v>
      </c>
      <c r="N71" s="520">
        <v>8.9924761318251431E-2</v>
      </c>
      <c r="O71" s="519">
        <v>0.72883147763781497</v>
      </c>
      <c r="P71" s="520">
        <v>8.5592769803296123E-2</v>
      </c>
      <c r="Q71" s="520">
        <v>0.25542857142857139</v>
      </c>
      <c r="R71" s="520">
        <v>0.46107784431137733</v>
      </c>
      <c r="S71" s="520">
        <v>0.15210071430461899</v>
      </c>
      <c r="T71" s="520">
        <v>0.28999273162182582</v>
      </c>
    </row>
    <row r="72" spans="1:20">
      <c r="A72" s="516" t="s">
        <v>706</v>
      </c>
      <c r="B72" s="517">
        <v>208</v>
      </c>
      <c r="C72" s="518">
        <v>9.4900000000000019E-3</v>
      </c>
      <c r="D72" s="518">
        <v>5.4399999999999997E-2</v>
      </c>
      <c r="E72" s="518">
        <v>0.108</v>
      </c>
      <c r="F72" s="518">
        <v>6.8340784154349628E-3</v>
      </c>
      <c r="G72" s="518">
        <v>2.924463219127876E-2</v>
      </c>
      <c r="H72" s="518">
        <v>5.715220349235843E-2</v>
      </c>
      <c r="I72" s="519">
        <v>1.2984086376252491</v>
      </c>
      <c r="J72" s="519">
        <v>2.487384980706441</v>
      </c>
      <c r="K72" s="519">
        <v>4.0705521472392627</v>
      </c>
      <c r="L72" s="520">
        <v>7.6130499842920404E-2</v>
      </c>
      <c r="M72" s="520">
        <v>8.1260270366694531E-2</v>
      </c>
      <c r="N72" s="520">
        <v>9.4733888003665223E-2</v>
      </c>
      <c r="O72" s="519">
        <v>0.81365430799847649</v>
      </c>
      <c r="P72" s="520">
        <v>0.13619167717528369</v>
      </c>
      <c r="Q72" s="520">
        <v>0.3502123095856885</v>
      </c>
      <c r="R72" s="520">
        <v>0.6014150943396227</v>
      </c>
      <c r="S72" s="520">
        <v>0.23566477630749841</v>
      </c>
      <c r="T72" s="520">
        <v>0.43759999999999999</v>
      </c>
    </row>
    <row r="73" spans="1:20">
      <c r="A73" s="516" t="s">
        <v>707</v>
      </c>
      <c r="B73" s="517">
        <v>117</v>
      </c>
      <c r="C73" s="518">
        <v>1.14E-2</v>
      </c>
      <c r="D73" s="518">
        <v>4.8599999999999997E-2</v>
      </c>
      <c r="E73" s="518">
        <v>8.1900000000000001E-2</v>
      </c>
      <c r="F73" s="518">
        <v>1.075268817204301E-2</v>
      </c>
      <c r="G73" s="518">
        <v>4.5890588540316309E-2</v>
      </c>
      <c r="H73" s="518">
        <v>0.10121975165248651</v>
      </c>
      <c r="I73" s="519">
        <v>1.222376523799378</v>
      </c>
      <c r="J73" s="519">
        <v>1.8485040224170659</v>
      </c>
      <c r="K73" s="519">
        <v>3.515074668920823</v>
      </c>
      <c r="L73" s="520">
        <v>8.5137285871619256E-2</v>
      </c>
      <c r="M73" s="520">
        <v>9.1635347893211205E-2</v>
      </c>
      <c r="N73" s="520">
        <v>0.1054424890939501</v>
      </c>
      <c r="O73" s="519">
        <v>0.96463121451737888</v>
      </c>
      <c r="P73" s="520">
        <v>0.1117092866756393</v>
      </c>
      <c r="Q73" s="520">
        <v>0.28734717902000451</v>
      </c>
      <c r="R73" s="520">
        <v>0.5093109869646183</v>
      </c>
      <c r="S73" s="520">
        <v>0.36859582542694502</v>
      </c>
      <c r="T73" s="520">
        <v>0.61788061160332586</v>
      </c>
    </row>
    <row r="74" spans="1:20">
      <c r="A74" s="516" t="s">
        <v>708</v>
      </c>
      <c r="B74" s="517">
        <v>1038</v>
      </c>
      <c r="C74" s="518">
        <v>1.4800000000000001E-2</v>
      </c>
      <c r="D74" s="518">
        <v>4.2699999999999988E-2</v>
      </c>
      <c r="E74" s="518">
        <v>7.9500000000000015E-2</v>
      </c>
      <c r="F74" s="518">
        <v>0</v>
      </c>
      <c r="G74" s="518">
        <v>3.2713331274606558E-2</v>
      </c>
      <c r="H74" s="518">
        <v>8.2782915015411712E-2</v>
      </c>
      <c r="I74" s="519">
        <v>0.74440894568690108</v>
      </c>
      <c r="J74" s="519">
        <v>1.7747582963156521</v>
      </c>
      <c r="K74" s="519">
        <v>3.2772659732540861</v>
      </c>
      <c r="L74" s="520">
        <v>7.2195638148551483E-2</v>
      </c>
      <c r="M74" s="520">
        <v>7.6619945067246426E-2</v>
      </c>
      <c r="N74" s="520">
        <v>8.764066074929254E-2</v>
      </c>
      <c r="O74" s="519">
        <v>0.75683140839544838</v>
      </c>
      <c r="P74" s="520">
        <v>2.399647758127247E-2</v>
      </c>
      <c r="Q74" s="520">
        <v>0.1789659524809184</v>
      </c>
      <c r="R74" s="520">
        <v>0.43059669105286552</v>
      </c>
      <c r="S74" s="520">
        <v>0.29865925893634521</v>
      </c>
      <c r="T74" s="520">
        <v>0.51141147795258146</v>
      </c>
    </row>
    <row r="75" spans="1:20">
      <c r="A75" s="516" t="s">
        <v>641</v>
      </c>
      <c r="B75" s="517">
        <v>253</v>
      </c>
      <c r="C75" s="518">
        <v>3.0700000000000002E-2</v>
      </c>
      <c r="D75" s="518">
        <v>5.9300000000000012E-2</v>
      </c>
      <c r="E75" s="518">
        <v>0.10299999999999999</v>
      </c>
      <c r="F75" s="518">
        <v>2.0474714679144029E-3</v>
      </c>
      <c r="G75" s="518">
        <v>4.230065239744716E-2</v>
      </c>
      <c r="H75" s="518">
        <v>8.8464725353072704E-2</v>
      </c>
      <c r="I75" s="519">
        <v>0.73697916666666674</v>
      </c>
      <c r="J75" s="519">
        <v>1.722022865726446</v>
      </c>
      <c r="K75" s="519">
        <v>3.251565762004176</v>
      </c>
      <c r="L75" s="520">
        <v>8.6804651221551732E-2</v>
      </c>
      <c r="M75" s="520">
        <v>9.2771513484890586E-2</v>
      </c>
      <c r="N75" s="520">
        <v>9.6437874073390217E-2</v>
      </c>
      <c r="O75" s="519">
        <v>1.00262133073448</v>
      </c>
      <c r="P75" s="520">
        <v>8.2552975446118199E-2</v>
      </c>
      <c r="Q75" s="520">
        <v>0.29695431472081218</v>
      </c>
      <c r="R75" s="520">
        <v>0.59325180869453864</v>
      </c>
      <c r="S75" s="520">
        <v>0.15924826904055389</v>
      </c>
      <c r="T75" s="520">
        <v>0.43095072866065232</v>
      </c>
    </row>
    <row r="76" spans="1:20">
      <c r="A76" s="516" t="s">
        <v>709</v>
      </c>
      <c r="B76" s="517">
        <v>204</v>
      </c>
      <c r="C76" s="518">
        <v>2.64E-2</v>
      </c>
      <c r="D76" s="518">
        <v>4.8099999999999997E-2</v>
      </c>
      <c r="E76" s="518">
        <v>8.7499999999999994E-2</v>
      </c>
      <c r="F76" s="518">
        <v>8.2178217821782182E-3</v>
      </c>
      <c r="G76" s="518">
        <v>3.1871470840534377E-2</v>
      </c>
      <c r="H76" s="518">
        <v>5.0713842333954068E-2</v>
      </c>
      <c r="I76" s="519">
        <v>2.2107608458993511</v>
      </c>
      <c r="J76" s="519">
        <v>3.2072548737322371</v>
      </c>
      <c r="K76" s="519">
        <v>4.5733377696138344</v>
      </c>
      <c r="L76" s="520">
        <v>6.9245794691794066E-2</v>
      </c>
      <c r="M76" s="520">
        <v>7.2814692882050475E-2</v>
      </c>
      <c r="N76" s="520">
        <v>8.0802226926910026E-2</v>
      </c>
      <c r="O76" s="519">
        <v>0.62060464242188573</v>
      </c>
      <c r="P76" s="520">
        <v>8.8707869810131595E-2</v>
      </c>
      <c r="Q76" s="520">
        <v>0.29928784075652332</v>
      </c>
      <c r="R76" s="520">
        <v>0.45570228091236498</v>
      </c>
      <c r="S76" s="520">
        <v>0.26510752066915638</v>
      </c>
      <c r="T76" s="520">
        <v>0.57067649381416163</v>
      </c>
    </row>
    <row r="77" spans="1:20">
      <c r="A77" s="516" t="s">
        <v>907</v>
      </c>
      <c r="B77" s="517">
        <v>121</v>
      </c>
      <c r="C77" s="518">
        <v>1.6799999999999999E-2</v>
      </c>
      <c r="D77" s="518">
        <v>3.9E-2</v>
      </c>
      <c r="E77" s="518">
        <v>6.8199999999999997E-2</v>
      </c>
      <c r="F77" s="518">
        <v>0.39735099337748347</v>
      </c>
      <c r="G77" s="518">
        <v>0.57107601184600199</v>
      </c>
      <c r="H77" s="518">
        <v>0.6652683097360601</v>
      </c>
      <c r="I77" s="519">
        <v>7.5751628856268183E-2</v>
      </c>
      <c r="J77" s="519">
        <v>0.1031173842404549</v>
      </c>
      <c r="K77" s="519">
        <v>0.13108194622279129</v>
      </c>
      <c r="L77" s="520">
        <v>6.7183993763005642E-2</v>
      </c>
      <c r="M77" s="520">
        <v>7.0969918064313187E-2</v>
      </c>
      <c r="N77" s="520">
        <v>8.0996241441026282E-2</v>
      </c>
      <c r="O77" s="519">
        <v>0.94201599251562318</v>
      </c>
      <c r="P77" s="520">
        <v>0.34143506287646619</v>
      </c>
      <c r="Q77" s="520">
        <v>0.45883343861865661</v>
      </c>
      <c r="R77" s="520">
        <v>0.54731910463300371</v>
      </c>
      <c r="S77" s="520">
        <v>0.29022155427352497</v>
      </c>
      <c r="T77" s="520">
        <v>0.44469991809732468</v>
      </c>
    </row>
    <row r="78" spans="1:20">
      <c r="A78" s="516" t="s">
        <v>710</v>
      </c>
      <c r="B78" s="517">
        <v>633</v>
      </c>
      <c r="C78" s="518">
        <v>1.46E-2</v>
      </c>
      <c r="D78" s="518">
        <v>5.5999999999999987E-2</v>
      </c>
      <c r="E78" s="518">
        <v>0.11</v>
      </c>
      <c r="F78" s="518">
        <v>-1.9251925192519249E-3</v>
      </c>
      <c r="G78" s="518">
        <v>3.7296564195298372E-2</v>
      </c>
      <c r="H78" s="518">
        <v>8.9622641509433956E-2</v>
      </c>
      <c r="I78" s="519">
        <v>1.4629784662927749</v>
      </c>
      <c r="J78" s="519">
        <v>2.5743101936180262</v>
      </c>
      <c r="K78" s="519">
        <v>4.4109174602094132</v>
      </c>
      <c r="L78" s="520">
        <v>8.690286184839173E-2</v>
      </c>
      <c r="M78" s="520">
        <v>9.384511362839007E-2</v>
      </c>
      <c r="N78" s="520">
        <v>0.1013242597986624</v>
      </c>
      <c r="O78" s="519">
        <v>0.95350114218571458</v>
      </c>
      <c r="P78" s="520">
        <v>6.536999776436396E-2</v>
      </c>
      <c r="Q78" s="520">
        <v>0.23093895235204431</v>
      </c>
      <c r="R78" s="520">
        <v>0.48327892348116891</v>
      </c>
      <c r="S78" s="520">
        <v>0.44398136798234861</v>
      </c>
      <c r="T78" s="520">
        <v>0.56147400820793447</v>
      </c>
    </row>
    <row r="79" spans="1:20">
      <c r="A79" s="516" t="s">
        <v>711</v>
      </c>
      <c r="B79" s="517">
        <v>92</v>
      </c>
      <c r="C79" s="518">
        <v>2.7699999999999999E-2</v>
      </c>
      <c r="D79" s="518">
        <v>8.0700000000000008E-2</v>
      </c>
      <c r="E79" s="518">
        <v>0.13</v>
      </c>
      <c r="F79" s="518">
        <v>4.2544306372407623E-2</v>
      </c>
      <c r="G79" s="518">
        <v>7.8012537729277937E-2</v>
      </c>
      <c r="H79" s="518">
        <v>0.11666829157323449</v>
      </c>
      <c r="I79" s="519">
        <v>1.0570549836806431</v>
      </c>
      <c r="J79" s="519">
        <v>1.431439555745408</v>
      </c>
      <c r="K79" s="519">
        <v>1.870215207597038</v>
      </c>
      <c r="L79" s="520">
        <v>8.7213269052585377E-2</v>
      </c>
      <c r="M79" s="520">
        <v>9.9246562962994056E-2</v>
      </c>
      <c r="N79" s="520">
        <v>0.1072310135105586</v>
      </c>
      <c r="O79" s="519">
        <v>0.98307196950506537</v>
      </c>
      <c r="P79" s="520">
        <v>6.7154429056702367E-2</v>
      </c>
      <c r="Q79" s="520">
        <v>0.22467789648681019</v>
      </c>
      <c r="R79" s="520">
        <v>0.50568101456791281</v>
      </c>
      <c r="S79" s="520">
        <v>0.2220438253318559</v>
      </c>
      <c r="T79" s="520">
        <v>0.47420315337162461</v>
      </c>
    </row>
    <row r="80" spans="1:20" ht="17" customHeight="1">
      <c r="A80" s="516" t="s">
        <v>712</v>
      </c>
      <c r="B80" s="517">
        <v>665</v>
      </c>
      <c r="C80" s="518">
        <v>6.2600000000000003E-2</v>
      </c>
      <c r="D80" s="518">
        <v>0.156</v>
      </c>
      <c r="E80" s="518">
        <v>0.28599999999999998</v>
      </c>
      <c r="F80" s="518">
        <v>-0.15234567901234569</v>
      </c>
      <c r="G80" s="518">
        <v>1.852173913043478E-2</v>
      </c>
      <c r="H80" s="518">
        <v>0.10859823554124071</v>
      </c>
      <c r="I80" s="519">
        <v>0.56978653530377676</v>
      </c>
      <c r="J80" s="519">
        <v>0.94674510083543639</v>
      </c>
      <c r="K80" s="519">
        <v>1.596578759800428</v>
      </c>
      <c r="L80" s="520">
        <v>0.12469940681108189</v>
      </c>
      <c r="M80" s="520">
        <v>0.12954436896422691</v>
      </c>
      <c r="N80" s="520">
        <v>0.1309863130034401</v>
      </c>
      <c r="O80" s="519">
        <v>1.655484948704496</v>
      </c>
      <c r="P80" s="520">
        <v>6.5404849895529188E-3</v>
      </c>
      <c r="Q80" s="520">
        <v>5.5167758398560821E-2</v>
      </c>
      <c r="R80" s="520">
        <v>0.19419699669127</v>
      </c>
      <c r="S80" s="520">
        <v>0.23076923076923081</v>
      </c>
      <c r="T80" s="520">
        <v>0.45530740225838401</v>
      </c>
    </row>
    <row r="81" spans="1:20">
      <c r="A81" s="516" t="s">
        <v>713</v>
      </c>
      <c r="B81" s="517">
        <v>375</v>
      </c>
      <c r="C81" s="518">
        <v>7.5199999999999989E-2</v>
      </c>
      <c r="D81" s="518">
        <v>0.17199999999999999</v>
      </c>
      <c r="E81" s="518">
        <v>0.28299999999999997</v>
      </c>
      <c r="F81" s="518">
        <v>-1.429799916714895E-2</v>
      </c>
      <c r="G81" s="518">
        <v>7.3653453883896575E-2</v>
      </c>
      <c r="H81" s="518">
        <v>0.1756476683937824</v>
      </c>
      <c r="I81" s="519">
        <v>0.58766022159461218</v>
      </c>
      <c r="J81" s="519">
        <v>0.94852941176470607</v>
      </c>
      <c r="K81" s="519">
        <v>1.4999926226283891</v>
      </c>
      <c r="L81" s="520">
        <v>0.13531513850961091</v>
      </c>
      <c r="M81" s="520">
        <v>0.1434664098703845</v>
      </c>
      <c r="N81" s="520">
        <v>0.14679370386593871</v>
      </c>
      <c r="O81" s="519">
        <v>1.9667269672120109</v>
      </c>
      <c r="P81" s="520">
        <v>1.356564469713391E-2</v>
      </c>
      <c r="Q81" s="520">
        <v>8.8607594936708861E-2</v>
      </c>
      <c r="R81" s="520">
        <v>0.28005081313595032</v>
      </c>
      <c r="S81" s="520">
        <v>5.1249470563320618E-2</v>
      </c>
      <c r="T81" s="520">
        <v>0.1706295691674356</v>
      </c>
    </row>
    <row r="82" spans="1:20">
      <c r="A82" s="516" t="s">
        <v>714</v>
      </c>
      <c r="B82" s="517">
        <v>357</v>
      </c>
      <c r="C82" s="518">
        <v>2.6100000000000002E-2</v>
      </c>
      <c r="D82" s="518">
        <v>7.4900000000000008E-2</v>
      </c>
      <c r="E82" s="518">
        <v>0.11</v>
      </c>
      <c r="F82" s="518">
        <v>4.6247576848518407E-2</v>
      </c>
      <c r="G82" s="518">
        <v>0.13200000000000001</v>
      </c>
      <c r="H82" s="518">
        <v>0.25111111111111112</v>
      </c>
      <c r="I82" s="519">
        <v>0.34532924961715161</v>
      </c>
      <c r="J82" s="519">
        <v>0.63114119134015578</v>
      </c>
      <c r="K82" s="519">
        <v>1.1161373852414</v>
      </c>
      <c r="L82" s="520">
        <v>8.4745476868320152E-2</v>
      </c>
      <c r="M82" s="520">
        <v>9.0968342882302031E-2</v>
      </c>
      <c r="N82" s="520">
        <v>0.1064453592736454</v>
      </c>
      <c r="O82" s="519">
        <v>0.77638028540799042</v>
      </c>
      <c r="P82" s="520">
        <v>7.6923076923076927E-2</v>
      </c>
      <c r="Q82" s="520">
        <v>0.26297415875260832</v>
      </c>
      <c r="R82" s="520">
        <v>0.49723247232472317</v>
      </c>
      <c r="S82" s="520">
        <v>6.5410075171098397E-2</v>
      </c>
      <c r="T82" s="520">
        <v>0.1733181299885975</v>
      </c>
    </row>
    <row r="83" spans="1:20">
      <c r="A83" s="516" t="s">
        <v>715</v>
      </c>
      <c r="B83" s="517">
        <v>82</v>
      </c>
      <c r="C83" s="518">
        <v>3.1199999999999999E-2</v>
      </c>
      <c r="D83" s="518">
        <v>7.8300000000000008E-2</v>
      </c>
      <c r="E83" s="518">
        <v>0.125</v>
      </c>
      <c r="F83" s="518">
        <v>-3.1539888682745827E-2</v>
      </c>
      <c r="G83" s="518">
        <v>7.0284678761826494E-2</v>
      </c>
      <c r="H83" s="518">
        <v>0.115572878897752</v>
      </c>
      <c r="I83" s="519">
        <v>0.91830780452224658</v>
      </c>
      <c r="J83" s="519">
        <v>1.4368486869528969</v>
      </c>
      <c r="K83" s="519">
        <v>1.8624161073825509</v>
      </c>
      <c r="L83" s="520">
        <v>8.7419559864015034E-2</v>
      </c>
      <c r="M83" s="520">
        <v>9.0779751261798727E-2</v>
      </c>
      <c r="N83" s="520">
        <v>0.1063275078494452</v>
      </c>
      <c r="O83" s="519">
        <v>0.7473567233366637</v>
      </c>
      <c r="P83" s="520">
        <v>1.295622675440389E-2</v>
      </c>
      <c r="Q83" s="520">
        <v>0.1170431211498973</v>
      </c>
      <c r="R83" s="520">
        <v>0.26643737233944892</v>
      </c>
      <c r="S83" s="520">
        <v>0.25472404805692828</v>
      </c>
      <c r="T83" s="520">
        <v>0.48100306085198391</v>
      </c>
    </row>
    <row r="84" spans="1:20">
      <c r="A84" s="516" t="s">
        <v>716</v>
      </c>
      <c r="B84" s="517">
        <v>311</v>
      </c>
      <c r="C84" s="518">
        <v>4.1700000000000001E-2</v>
      </c>
      <c r="D84" s="518">
        <v>9.9299999999999999E-2</v>
      </c>
      <c r="E84" s="518">
        <v>0.16600000000000001</v>
      </c>
      <c r="F84" s="518">
        <v>-0.1331179321486268</v>
      </c>
      <c r="G84" s="518">
        <v>3.842857142857143E-2</v>
      </c>
      <c r="H84" s="518">
        <v>0.14043583535108961</v>
      </c>
      <c r="I84" s="519">
        <v>1.1917808219178081</v>
      </c>
      <c r="J84" s="519">
        <v>2.564951183187159</v>
      </c>
      <c r="K84" s="519">
        <v>6.6564417177914121</v>
      </c>
      <c r="L84" s="520">
        <v>0.1041633657628393</v>
      </c>
      <c r="M84" s="520">
        <v>0.1109579774653532</v>
      </c>
      <c r="N84" s="520">
        <v>0.11684479669833139</v>
      </c>
      <c r="O84" s="519">
        <v>1.162721184090479</v>
      </c>
      <c r="P84" s="520">
        <v>1.667450510923939E-3</v>
      </c>
      <c r="Q84" s="520">
        <v>3.5521740871824553E-2</v>
      </c>
      <c r="R84" s="520">
        <v>0.2267471091000503</v>
      </c>
      <c r="S84" s="520">
        <v>0.13153083755050299</v>
      </c>
      <c r="T84" s="520">
        <v>0.38256583946192169</v>
      </c>
    </row>
    <row r="85" spans="1:20">
      <c r="A85" s="516" t="s">
        <v>717</v>
      </c>
      <c r="B85" s="517">
        <v>147</v>
      </c>
      <c r="C85" s="518">
        <v>6.6600000000000006E-2</v>
      </c>
      <c r="D85" s="518">
        <v>0.10299999999999999</v>
      </c>
      <c r="E85" s="518">
        <v>0.19800000000000001</v>
      </c>
      <c r="F85" s="518">
        <v>-9.3738684673663267E-2</v>
      </c>
      <c r="G85" s="518">
        <v>3.6960784313725487E-2</v>
      </c>
      <c r="H85" s="518">
        <v>0.1165898617511521</v>
      </c>
      <c r="I85" s="519">
        <v>0.73159682899207246</v>
      </c>
      <c r="J85" s="519">
        <v>1.623602571769625</v>
      </c>
      <c r="K85" s="519">
        <v>3.5481099656357391</v>
      </c>
      <c r="L85" s="520">
        <v>0.1002076255646193</v>
      </c>
      <c r="M85" s="520">
        <v>0.1075600202166113</v>
      </c>
      <c r="N85" s="520">
        <v>0.1121880297267478</v>
      </c>
      <c r="O85" s="519">
        <v>1.2622632622479719</v>
      </c>
      <c r="P85" s="520">
        <v>1.543912933434574E-2</v>
      </c>
      <c r="Q85" s="520">
        <v>8.0267558528428082E-2</v>
      </c>
      <c r="R85" s="520">
        <v>0.26014319809069208</v>
      </c>
      <c r="S85" s="520">
        <v>4.1322314049586778E-2</v>
      </c>
      <c r="T85" s="520">
        <v>0.19467101685698751</v>
      </c>
    </row>
    <row r="86" spans="1:20">
      <c r="A86" s="516" t="s">
        <v>718</v>
      </c>
      <c r="B86" s="517">
        <v>1567</v>
      </c>
      <c r="C86" s="518">
        <v>5.6800000000000003E-2</v>
      </c>
      <c r="D86" s="518">
        <v>0.123</v>
      </c>
      <c r="E86" s="518">
        <v>0.19800000000000001</v>
      </c>
      <c r="F86" s="518">
        <v>-0.2655971479500891</v>
      </c>
      <c r="G86" s="518">
        <v>-7.5753228120516497E-3</v>
      </c>
      <c r="H86" s="518">
        <v>0.108695652173913</v>
      </c>
      <c r="I86" s="519">
        <v>0.75904436860068281</v>
      </c>
      <c r="J86" s="519">
        <v>1.712990341021092</v>
      </c>
      <c r="K86" s="519">
        <v>4.0144747257717972</v>
      </c>
      <c r="L86" s="520">
        <v>0.1010215891786288</v>
      </c>
      <c r="M86" s="520">
        <v>0.10907432979515939</v>
      </c>
      <c r="N86" s="520">
        <v>0.11314579145984929</v>
      </c>
      <c r="O86" s="519">
        <v>1.159419927833925</v>
      </c>
      <c r="P86" s="520">
        <v>2.2675736961451252E-3</v>
      </c>
      <c r="Q86" s="520">
        <v>3.0503026668177509E-2</v>
      </c>
      <c r="R86" s="520">
        <v>0.13428357089272319</v>
      </c>
      <c r="S86" s="520">
        <v>8.7999999999999995E-2</v>
      </c>
      <c r="T86" s="520">
        <v>0.25531914893617019</v>
      </c>
    </row>
    <row r="87" spans="1:20">
      <c r="A87" s="516" t="s">
        <v>719</v>
      </c>
      <c r="B87" s="517">
        <v>727</v>
      </c>
      <c r="C87" s="518">
        <v>-2.3900000000000001E-2</v>
      </c>
      <c r="D87" s="518">
        <v>2.9100000000000001E-2</v>
      </c>
      <c r="E87" s="518">
        <v>0.11700000000000001</v>
      </c>
      <c r="F87" s="518">
        <v>-3.9660100148149668E-3</v>
      </c>
      <c r="G87" s="518">
        <v>3.3672603901611538E-2</v>
      </c>
      <c r="H87" s="518">
        <v>9.3130779392338173E-2</v>
      </c>
      <c r="I87" s="519">
        <v>0.81232089108375549</v>
      </c>
      <c r="J87" s="519">
        <v>1.379839018781142</v>
      </c>
      <c r="K87" s="519">
        <v>2.0610551274451678</v>
      </c>
      <c r="L87" s="520">
        <v>9.0516373515857326E-2</v>
      </c>
      <c r="M87" s="520">
        <v>9.7098520148680478E-2</v>
      </c>
      <c r="N87" s="520">
        <v>0.1155821388289146</v>
      </c>
      <c r="O87" s="519">
        <v>1.15347248409045</v>
      </c>
      <c r="P87" s="520">
        <v>4.2815512216991709E-2</v>
      </c>
      <c r="Q87" s="520">
        <v>0.23728813559322029</v>
      </c>
      <c r="R87" s="520">
        <v>0.51644952108989228</v>
      </c>
      <c r="S87" s="520">
        <v>2.9409973817207571E-2</v>
      </c>
      <c r="T87" s="520">
        <v>0.14481645824929409</v>
      </c>
    </row>
    <row r="88" spans="1:20">
      <c r="A88" s="516" t="s">
        <v>720</v>
      </c>
      <c r="B88" s="517">
        <v>98</v>
      </c>
      <c r="C88" s="518">
        <v>1.5599999999999999E-2</v>
      </c>
      <c r="D88" s="518">
        <v>4.1300000000000003E-2</v>
      </c>
      <c r="E88" s="518">
        <v>7.4400000000000022E-2</v>
      </c>
      <c r="F88" s="518">
        <v>5.4718118782031963E-2</v>
      </c>
      <c r="G88" s="518">
        <v>0.139948006932409</v>
      </c>
      <c r="H88" s="518">
        <v>0.20604752742967089</v>
      </c>
      <c r="I88" s="519">
        <v>0.56171411326828291</v>
      </c>
      <c r="J88" s="519">
        <v>0.94776119402985071</v>
      </c>
      <c r="K88" s="519">
        <v>1.531524926686217</v>
      </c>
      <c r="L88" s="520">
        <v>7.3884834862229395E-2</v>
      </c>
      <c r="M88" s="520">
        <v>7.9318174923991708E-2</v>
      </c>
      <c r="N88" s="520">
        <v>9.0536147554864471E-2</v>
      </c>
      <c r="O88" s="519">
        <v>0.63487852540778433</v>
      </c>
      <c r="P88" s="520">
        <v>9.7807757166947715E-2</v>
      </c>
      <c r="Q88" s="520">
        <v>0.24719617649623121</v>
      </c>
      <c r="R88" s="520">
        <v>0.4475703324808184</v>
      </c>
      <c r="S88" s="520">
        <v>0.23367560022511749</v>
      </c>
      <c r="T88" s="520">
        <v>0.46398659966499162</v>
      </c>
    </row>
    <row r="89" spans="1:20">
      <c r="A89" s="516" t="s">
        <v>721</v>
      </c>
      <c r="B89" s="517">
        <v>440</v>
      </c>
      <c r="C89" s="518">
        <v>3.3099999999999997E-2</v>
      </c>
      <c r="D89" s="518">
        <v>0.12</v>
      </c>
      <c r="E89" s="518">
        <v>0.218</v>
      </c>
      <c r="F89" s="518">
        <v>-0.1262745098039216</v>
      </c>
      <c r="G89" s="518">
        <v>5.6071707217702884E-3</v>
      </c>
      <c r="H89" s="518">
        <v>7.8047085028849827E-2</v>
      </c>
      <c r="I89" s="519">
        <v>0.70584528123522916</v>
      </c>
      <c r="J89" s="519">
        <v>1.278989790435249</v>
      </c>
      <c r="K89" s="519">
        <v>2.234744658250575</v>
      </c>
      <c r="L89" s="520">
        <v>9.6570256439462543E-2</v>
      </c>
      <c r="M89" s="520">
        <v>0.10483958792906529</v>
      </c>
      <c r="N89" s="520">
        <v>0.1074335020308312</v>
      </c>
      <c r="O89" s="519">
        <v>1.1775202880538169</v>
      </c>
      <c r="P89" s="520">
        <v>1.277183293061788E-2</v>
      </c>
      <c r="Q89" s="520">
        <v>7.7528124427987524E-2</v>
      </c>
      <c r="R89" s="520">
        <v>0.27424982554082339</v>
      </c>
      <c r="S89" s="520">
        <v>0.22711259948680029</v>
      </c>
      <c r="T89" s="520">
        <v>0.41267602266478592</v>
      </c>
    </row>
    <row r="90" spans="1:20">
      <c r="A90" s="516" t="s">
        <v>722</v>
      </c>
      <c r="B90" s="517">
        <v>274</v>
      </c>
      <c r="C90" s="518">
        <v>1.61E-2</v>
      </c>
      <c r="D90" s="518">
        <v>4.3799999999999999E-2</v>
      </c>
      <c r="E90" s="518">
        <v>0.111</v>
      </c>
      <c r="F90" s="518">
        <v>1.158018867924528E-2</v>
      </c>
      <c r="G90" s="518">
        <v>9.7643915472431383E-2</v>
      </c>
      <c r="H90" s="518">
        <v>0.20311375548531341</v>
      </c>
      <c r="I90" s="519">
        <v>0.54402950668510841</v>
      </c>
      <c r="J90" s="519">
        <v>0.90299305184393375</v>
      </c>
      <c r="K90" s="519">
        <v>1.888268306436454</v>
      </c>
      <c r="L90" s="520">
        <v>6.8868021917894484E-2</v>
      </c>
      <c r="M90" s="520">
        <v>7.3885378915332478E-2</v>
      </c>
      <c r="N90" s="520">
        <v>8.3384082208367322E-2</v>
      </c>
      <c r="O90" s="519">
        <v>0.73391861065919473</v>
      </c>
      <c r="P90" s="520">
        <v>6.2381540997115778E-2</v>
      </c>
      <c r="Q90" s="520">
        <v>0.26365475387727583</v>
      </c>
      <c r="R90" s="520">
        <v>0.5216812800655044</v>
      </c>
      <c r="S90" s="520">
        <v>8.8424437299035374E-2</v>
      </c>
      <c r="T90" s="520">
        <v>0.26403326403326399</v>
      </c>
    </row>
    <row r="91" spans="1:20">
      <c r="A91" s="516" t="s">
        <v>723</v>
      </c>
      <c r="B91" s="517">
        <v>54</v>
      </c>
      <c r="C91" s="518">
        <v>1.84E-2</v>
      </c>
      <c r="D91" s="518">
        <v>3.15E-2</v>
      </c>
      <c r="E91" s="518">
        <v>9.1499999999999998E-2</v>
      </c>
      <c r="F91" s="518">
        <v>-4.7951273532668877E-2</v>
      </c>
      <c r="G91" s="518">
        <v>0.1553846153846154</v>
      </c>
      <c r="H91" s="518">
        <v>0.26012861736334397</v>
      </c>
      <c r="I91" s="519">
        <v>1.0308087291399231</v>
      </c>
      <c r="J91" s="519">
        <v>1.7517458887136741</v>
      </c>
      <c r="K91" s="519">
        <v>2.8025068837947869</v>
      </c>
      <c r="L91" s="520">
        <v>7.1967234242038408E-2</v>
      </c>
      <c r="M91" s="520">
        <v>8.4439262280470218E-2</v>
      </c>
      <c r="N91" s="520">
        <v>9.8452359317938887E-2</v>
      </c>
      <c r="O91" s="519">
        <v>0.43666187034360859</v>
      </c>
      <c r="P91" s="520">
        <v>5.1314310755507799E-4</v>
      </c>
      <c r="Q91" s="520">
        <v>0.11128903122498</v>
      </c>
      <c r="R91" s="520">
        <v>0.41212927106626618</v>
      </c>
      <c r="S91" s="520">
        <v>0.22747337164892881</v>
      </c>
      <c r="T91" s="520">
        <v>0.45170866868980081</v>
      </c>
    </row>
    <row r="92" spans="1:20">
      <c r="A92" s="516" t="s">
        <v>724</v>
      </c>
      <c r="B92" s="517">
        <v>446</v>
      </c>
      <c r="C92" s="518">
        <v>4.3799999999999999E-2</v>
      </c>
      <c r="D92" s="518">
        <v>8.4000000000000005E-2</v>
      </c>
      <c r="E92" s="518">
        <v>0.14699999999999999</v>
      </c>
      <c r="F92" s="518">
        <v>5.7591623036649213E-3</v>
      </c>
      <c r="G92" s="518">
        <v>5.3391304347826088E-2</v>
      </c>
      <c r="H92" s="518">
        <v>0.11603773584905661</v>
      </c>
      <c r="I92" s="519">
        <v>0.56645789839944316</v>
      </c>
      <c r="J92" s="519">
        <v>1.4532374100719421</v>
      </c>
      <c r="K92" s="519">
        <v>2.9116658665386459</v>
      </c>
      <c r="L92" s="520">
        <v>8.3355971319354627E-2</v>
      </c>
      <c r="M92" s="520">
        <v>8.8060385546423092E-2</v>
      </c>
      <c r="N92" s="520">
        <v>0.1027912234523332</v>
      </c>
      <c r="O92" s="519">
        <v>0.80339934175471106</v>
      </c>
      <c r="P92" s="520">
        <v>8.9878088037440268E-2</v>
      </c>
      <c r="Q92" s="520">
        <v>0.26873503149671479</v>
      </c>
      <c r="R92" s="520">
        <v>0.52571825764596847</v>
      </c>
      <c r="S92" s="520">
        <v>6.7222511724856701E-2</v>
      </c>
      <c r="T92" s="520">
        <v>0.34136546184738958</v>
      </c>
    </row>
    <row r="93" spans="1:20">
      <c r="A93" s="516" t="s">
        <v>725</v>
      </c>
      <c r="B93" s="517">
        <v>54</v>
      </c>
      <c r="C93" s="518">
        <v>2.3400000000000001E-2</v>
      </c>
      <c r="D93" s="518">
        <v>4.1599999999999998E-2</v>
      </c>
      <c r="E93" s="518">
        <v>5.1299999999999998E-2</v>
      </c>
      <c r="F93" s="518">
        <v>6.7015924062451368E-2</v>
      </c>
      <c r="G93" s="518">
        <v>0.11618693207046681</v>
      </c>
      <c r="H93" s="518">
        <v>0.2150969082506359</v>
      </c>
      <c r="I93" s="519">
        <v>0.38842015869451291</v>
      </c>
      <c r="J93" s="519">
        <v>0.51019671094809194</v>
      </c>
      <c r="K93" s="519">
        <v>0.79543485243405532</v>
      </c>
      <c r="L93" s="520">
        <v>6.4476204289350081E-2</v>
      </c>
      <c r="M93" s="520">
        <v>6.6839868856882825E-2</v>
      </c>
      <c r="N93" s="520">
        <v>7.1552693214860658E-2</v>
      </c>
      <c r="O93" s="519">
        <v>0.78806107965145067</v>
      </c>
      <c r="P93" s="520">
        <v>0.1635166461159063</v>
      </c>
      <c r="Q93" s="520">
        <v>0.46219242244393821</v>
      </c>
      <c r="R93" s="520">
        <v>0.62201166749934989</v>
      </c>
      <c r="S93" s="520">
        <v>0.15514958962139261</v>
      </c>
      <c r="T93" s="520">
        <v>0.396484375</v>
      </c>
    </row>
    <row r="94" spans="1:20">
      <c r="A94" s="516" t="s">
        <v>726</v>
      </c>
      <c r="B94" s="517">
        <v>113</v>
      </c>
      <c r="C94" s="518">
        <v>3.0800000000000001E-2</v>
      </c>
      <c r="D94" s="518">
        <v>6.6199999999999995E-2</v>
      </c>
      <c r="E94" s="518">
        <v>0.125</v>
      </c>
      <c r="F94" s="518">
        <v>1.640847633473452E-2</v>
      </c>
      <c r="G94" s="518">
        <v>5.0631136044880787E-2</v>
      </c>
      <c r="H94" s="518">
        <v>9.1766664354581404E-2</v>
      </c>
      <c r="I94" s="519">
        <v>0.87206661619984871</v>
      </c>
      <c r="J94" s="519">
        <v>1.5289023704102349</v>
      </c>
      <c r="K94" s="519">
        <v>2.3494643516808278</v>
      </c>
      <c r="L94" s="520">
        <v>8.0587398105454941E-2</v>
      </c>
      <c r="M94" s="520">
        <v>8.7191647695867264E-2</v>
      </c>
      <c r="N94" s="520">
        <v>0.103782238309545</v>
      </c>
      <c r="O94" s="519">
        <v>0.88161588666678314</v>
      </c>
      <c r="P94" s="520">
        <v>0.12949640287769781</v>
      </c>
      <c r="Q94" s="520">
        <v>0.26411290322580638</v>
      </c>
      <c r="R94" s="520">
        <v>0.48000249384332427</v>
      </c>
      <c r="S94" s="520">
        <v>0.42714933527646631</v>
      </c>
      <c r="T94" s="520">
        <v>0.57267687227526665</v>
      </c>
    </row>
    <row r="95" spans="1:20">
      <c r="A95" s="516" t="s">
        <v>727</v>
      </c>
      <c r="B95" s="517">
        <v>52</v>
      </c>
      <c r="C95" s="518">
        <v>-9.0100000000000024E-3</v>
      </c>
      <c r="D95" s="518">
        <v>2.69E-2</v>
      </c>
      <c r="E95" s="518">
        <v>5.1299999999999998E-2</v>
      </c>
      <c r="F95" s="518">
        <v>7.8116025272831707E-2</v>
      </c>
      <c r="G95" s="518">
        <v>0.17491467576791811</v>
      </c>
      <c r="H95" s="518">
        <v>0.23828986870184829</v>
      </c>
      <c r="I95" s="519">
        <v>0.2973939277104603</v>
      </c>
      <c r="J95" s="519">
        <v>0.38061564932748598</v>
      </c>
      <c r="K95" s="519">
        <v>1.4406916940023491</v>
      </c>
      <c r="L95" s="520">
        <v>6.1288594561387133E-2</v>
      </c>
      <c r="M95" s="520">
        <v>6.5827947899494518E-2</v>
      </c>
      <c r="N95" s="520">
        <v>6.8728021468315414E-2</v>
      </c>
      <c r="O95" s="519">
        <v>0.4980324485583621</v>
      </c>
      <c r="P95" s="520">
        <v>0.34418925164746578</v>
      </c>
      <c r="Q95" s="520">
        <v>0.45940359054669422</v>
      </c>
      <c r="R95" s="520">
        <v>0.52355781113985789</v>
      </c>
      <c r="S95" s="520">
        <v>0.26570232204035021</v>
      </c>
      <c r="T95" s="520">
        <v>0.46540880503144649</v>
      </c>
    </row>
    <row r="96" spans="1:20">
      <c r="A96" s="516" t="s">
        <v>728</v>
      </c>
      <c r="B96" s="517">
        <v>106</v>
      </c>
      <c r="C96" s="518">
        <v>4.2199999999999988E-2</v>
      </c>
      <c r="D96" s="518">
        <v>6.3299999999999995E-2</v>
      </c>
      <c r="E96" s="518">
        <v>0.105</v>
      </c>
      <c r="F96" s="518">
        <v>7.2265625E-2</v>
      </c>
      <c r="G96" s="518">
        <v>0.21832358674463939</v>
      </c>
      <c r="H96" s="518">
        <v>0.30023508339863431</v>
      </c>
      <c r="I96" s="519">
        <v>0.22707379171827161</v>
      </c>
      <c r="J96" s="519">
        <v>0.33986287952987271</v>
      </c>
      <c r="K96" s="519">
        <v>0.6538135039832832</v>
      </c>
      <c r="L96" s="520">
        <v>6.3585882771365732E-2</v>
      </c>
      <c r="M96" s="520">
        <v>6.6890469338734923E-2</v>
      </c>
      <c r="N96" s="520">
        <v>7.0437276719510666E-2</v>
      </c>
      <c r="O96" s="519">
        <v>0.57954343903245142</v>
      </c>
      <c r="P96" s="520">
        <v>0.1005781329705832</v>
      </c>
      <c r="Q96" s="520">
        <v>0.35517568850902193</v>
      </c>
      <c r="R96" s="520">
        <v>0.61890517499252173</v>
      </c>
      <c r="S96" s="520">
        <v>0.45991751291026928</v>
      </c>
      <c r="T96" s="520">
        <v>0.54773558842491221</v>
      </c>
    </row>
    <row r="97" spans="1:20">
      <c r="A97" s="516" t="s">
        <v>728</v>
      </c>
      <c r="B97" s="517">
        <v>102</v>
      </c>
      <c r="C97" s="518">
        <v>1.5499999999999999E-3</v>
      </c>
      <c r="D97" s="518">
        <v>6.88E-2</v>
      </c>
      <c r="E97" s="518">
        <v>0.13100000000000001</v>
      </c>
      <c r="F97" s="518">
        <v>7.2075782537067548E-2</v>
      </c>
      <c r="G97" s="518">
        <v>0.20313374370453269</v>
      </c>
      <c r="H97" s="518">
        <v>0.27598566308243733</v>
      </c>
      <c r="I97" s="519">
        <v>0.21020326570295339</v>
      </c>
      <c r="J97" s="519">
        <v>0.34106955107971998</v>
      </c>
      <c r="K97" s="519">
        <v>0.59236205192047164</v>
      </c>
      <c r="L97" s="520">
        <v>5.8785843027534417E-2</v>
      </c>
      <c r="M97" s="520">
        <v>6.2298382866052451E-2</v>
      </c>
      <c r="N97" s="520">
        <v>6.6846834618071171E-2</v>
      </c>
      <c r="O97" s="519">
        <v>0.42112366776804272</v>
      </c>
      <c r="P97" s="519">
        <v>0.60386720043366293</v>
      </c>
      <c r="Q97" s="519">
        <v>0.91490263520858495</v>
      </c>
      <c r="R97" s="520">
        <v>6.6705790297339584E-2</v>
      </c>
      <c r="S97" s="520">
        <v>0.32335259572001562</v>
      </c>
      <c r="T97" s="520">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L48" sqref="L48"/>
    </sheetView>
  </sheetViews>
  <sheetFormatPr baseColWidth="10" defaultRowHeight="13"/>
  <cols>
    <col min="1" max="1" width="23.1640625" customWidth="1"/>
    <col min="2" max="23" width="10.6640625" style="67" customWidth="1"/>
    <col min="24" max="27" width="10.83203125" style="67"/>
  </cols>
  <sheetData>
    <row r="1" spans="1:27" s="149" customFormat="1" ht="84">
      <c r="A1" s="509" t="s">
        <v>78</v>
      </c>
      <c r="B1" s="149" t="s">
        <v>148</v>
      </c>
      <c r="C1" s="510" t="s">
        <v>136</v>
      </c>
      <c r="D1" s="510" t="s">
        <v>598</v>
      </c>
      <c r="E1" s="510" t="s">
        <v>155</v>
      </c>
      <c r="F1" s="149" t="s">
        <v>137</v>
      </c>
      <c r="G1" s="149" t="s">
        <v>185</v>
      </c>
      <c r="H1" s="149" t="s">
        <v>138</v>
      </c>
      <c r="I1" s="149" t="s">
        <v>139</v>
      </c>
      <c r="J1" s="149" t="s">
        <v>140</v>
      </c>
      <c r="K1" s="149" t="s">
        <v>141</v>
      </c>
      <c r="L1" s="149" t="s">
        <v>142</v>
      </c>
      <c r="M1" s="149" t="s">
        <v>126</v>
      </c>
      <c r="N1" s="511" t="s">
        <v>81</v>
      </c>
      <c r="O1" s="149" t="s">
        <v>143</v>
      </c>
      <c r="P1" s="149" t="s">
        <v>144</v>
      </c>
      <c r="Q1" s="149" t="s">
        <v>145</v>
      </c>
      <c r="R1" s="149" t="s">
        <v>146</v>
      </c>
      <c r="S1" s="149" t="s">
        <v>147</v>
      </c>
      <c r="T1" s="149" t="s">
        <v>463</v>
      </c>
      <c r="U1" s="149" t="s">
        <v>464</v>
      </c>
      <c r="V1" s="149" t="s">
        <v>465</v>
      </c>
      <c r="W1" s="149" t="s">
        <v>466</v>
      </c>
      <c r="X1" s="149" t="s">
        <v>450</v>
      </c>
      <c r="Y1" s="149" t="s">
        <v>467</v>
      </c>
      <c r="Z1" s="149" t="s">
        <v>468</v>
      </c>
      <c r="AA1" s="149" t="s">
        <v>606</v>
      </c>
    </row>
    <row r="2" spans="1:27" s="112" customFormat="1">
      <c r="A2" s="125" t="s">
        <v>79</v>
      </c>
      <c r="B2" s="296">
        <v>417</v>
      </c>
      <c r="C2" s="512">
        <v>6.8456443514644361E-2</v>
      </c>
      <c r="D2" s="512">
        <v>7.9130672196124074E-2</v>
      </c>
      <c r="E2" s="512">
        <v>0.21482336224002138</v>
      </c>
      <c r="F2" s="512">
        <v>0.27772030741013054</v>
      </c>
      <c r="G2" s="513">
        <v>1.1531366444558786</v>
      </c>
      <c r="H2" s="513">
        <v>1.254409764675642</v>
      </c>
      <c r="I2" s="512">
        <v>0.11742679756297916</v>
      </c>
      <c r="J2" s="512">
        <v>0.47409030355897464</v>
      </c>
      <c r="K2" s="512">
        <v>6.8199999999999997E-2</v>
      </c>
      <c r="L2" s="512">
        <v>0.21907007610000434</v>
      </c>
      <c r="M2" s="512">
        <v>0.1028746652029747</v>
      </c>
      <c r="N2" s="513">
        <v>3.3834631278928158</v>
      </c>
      <c r="O2" s="513">
        <v>1.6457239785378095</v>
      </c>
      <c r="P2" s="513">
        <v>12.92025260266753</v>
      </c>
      <c r="Q2" s="513">
        <v>19.470706486361774</v>
      </c>
      <c r="R2" s="513">
        <v>2.8478508119646855</v>
      </c>
      <c r="S2" s="513">
        <v>83.111457373649571</v>
      </c>
      <c r="T2" s="512">
        <v>3.5044234029197167E-3</v>
      </c>
      <c r="U2" s="512">
        <v>1.7263749038678611E-2</v>
      </c>
      <c r="V2" s="512">
        <v>4.0198830573491979E-4</v>
      </c>
      <c r="W2" s="512">
        <v>0.19188668826893185</v>
      </c>
      <c r="X2" s="512">
        <v>6.7759425287190769E-2</v>
      </c>
      <c r="Y2" s="512">
        <v>0.88570342248591327</v>
      </c>
      <c r="Z2" s="512">
        <v>0.88570342248591327</v>
      </c>
      <c r="AA2" s="514">
        <v>8.0901122750602003E-2</v>
      </c>
    </row>
    <row r="3" spans="1:27" s="112" customFormat="1">
      <c r="A3" s="125" t="s">
        <v>645</v>
      </c>
      <c r="B3" s="296">
        <v>300</v>
      </c>
      <c r="C3" s="512">
        <v>9.7381373626373668E-2</v>
      </c>
      <c r="D3" s="512">
        <v>7.9742623371713783E-2</v>
      </c>
      <c r="E3" s="512">
        <v>0.13729203977947993</v>
      </c>
      <c r="F3" s="512">
        <v>0.17428076979295634</v>
      </c>
      <c r="G3" s="513">
        <v>0.95908676631153411</v>
      </c>
      <c r="H3" s="513">
        <v>1.037195471112474</v>
      </c>
      <c r="I3" s="512">
        <v>0.10502386140052226</v>
      </c>
      <c r="J3" s="512">
        <v>0.40681270069304865</v>
      </c>
      <c r="K3" s="512">
        <v>6.5699999999999995E-2</v>
      </c>
      <c r="L3" s="512">
        <v>0.15916292005563432</v>
      </c>
      <c r="M3" s="512">
        <v>9.6127704421773458E-2</v>
      </c>
      <c r="N3" s="513">
        <v>2.5396295766760097</v>
      </c>
      <c r="O3" s="513">
        <v>2.4742340513883314</v>
      </c>
      <c r="P3" s="513">
        <v>17.817018442398741</v>
      </c>
      <c r="Q3" s="513">
        <v>27.493400274781134</v>
      </c>
      <c r="R3" s="513">
        <v>5.4193257404266832</v>
      </c>
      <c r="S3" s="513">
        <v>97.714564789739043</v>
      </c>
      <c r="T3" s="512">
        <v>0.36921406772918758</v>
      </c>
      <c r="U3" s="512">
        <v>3.6123988332444672E-2</v>
      </c>
      <c r="V3" s="512">
        <v>2.590480889773784E-2</v>
      </c>
      <c r="W3" s="512">
        <v>0.98982892731915639</v>
      </c>
      <c r="X3" s="512">
        <v>0.13402938524886077</v>
      </c>
      <c r="Y3" s="512">
        <v>0.45591558195131565</v>
      </c>
      <c r="Z3" s="512">
        <v>0.45591558195131565</v>
      </c>
      <c r="AA3" s="514">
        <v>8.2616418551214085E-2</v>
      </c>
    </row>
    <row r="4" spans="1:27" s="112" customFormat="1">
      <c r="A4" s="125" t="s">
        <v>646</v>
      </c>
      <c r="B4" s="296">
        <v>151</v>
      </c>
      <c r="C4" s="512">
        <v>4.7030937500000002E-2</v>
      </c>
      <c r="D4" s="512">
        <v>7.844318023938146E-2</v>
      </c>
      <c r="E4" s="512">
        <v>8.8502450190323032E-2</v>
      </c>
      <c r="F4" s="512">
        <v>0.18327850297384737</v>
      </c>
      <c r="G4" s="513">
        <v>0.85051192121043506</v>
      </c>
      <c r="H4" s="513">
        <v>1.2946167772204054</v>
      </c>
      <c r="I4" s="512">
        <v>0.11972261797928516</v>
      </c>
      <c r="J4" s="512">
        <v>0.34980433042159803</v>
      </c>
      <c r="K4" s="512">
        <v>6.5699999999999995E-2</v>
      </c>
      <c r="L4" s="512">
        <v>0.48039790421242834</v>
      </c>
      <c r="M4" s="512">
        <v>8.5810293232203905E-2</v>
      </c>
      <c r="N4" s="513">
        <v>1.3378150412707039</v>
      </c>
      <c r="O4" s="513">
        <v>1.3140939242029011</v>
      </c>
      <c r="P4" s="513">
        <v>8.859743965106361</v>
      </c>
      <c r="Q4" s="513">
        <v>16.544135959367118</v>
      </c>
      <c r="R4" s="513">
        <v>2.3421281268207106</v>
      </c>
      <c r="S4" s="513">
        <v>42.002025746879049</v>
      </c>
      <c r="T4" s="512">
        <v>-2.9945450543038217E-2</v>
      </c>
      <c r="U4" s="512">
        <v>9.6295298839035509E-2</v>
      </c>
      <c r="V4" s="512">
        <v>3.3190936995401862E-2</v>
      </c>
      <c r="W4" s="512">
        <v>0.5393379365190375</v>
      </c>
      <c r="X4" s="512">
        <v>0.20573068588882021</v>
      </c>
      <c r="Y4" s="512">
        <v>0.29684996339851633</v>
      </c>
      <c r="Z4" s="512">
        <v>0.29684996339851633</v>
      </c>
      <c r="AA4" s="514">
        <v>7.8030329804381154E-2</v>
      </c>
    </row>
    <row r="5" spans="1:27" s="112" customFormat="1">
      <c r="A5" s="125" t="s">
        <v>647</v>
      </c>
      <c r="B5" s="296">
        <v>1194</v>
      </c>
      <c r="C5" s="512">
        <v>3.2728793650793675E-2</v>
      </c>
      <c r="D5" s="512">
        <v>0.14208716084613029</v>
      </c>
      <c r="E5" s="512">
        <v>0.18859814493129912</v>
      </c>
      <c r="F5" s="512">
        <v>0.25196081137983978</v>
      </c>
      <c r="G5" s="513">
        <v>0.69442860807389151</v>
      </c>
      <c r="H5" s="513">
        <v>0.75053973841130484</v>
      </c>
      <c r="I5" s="512">
        <v>8.8655819063285513E-2</v>
      </c>
      <c r="J5" s="512">
        <v>0.38575066387969126</v>
      </c>
      <c r="K5" s="512">
        <v>6.5699999999999995E-2</v>
      </c>
      <c r="L5" s="512">
        <v>0.1641661410566406</v>
      </c>
      <c r="M5" s="512">
        <v>8.2167093391987814E-2</v>
      </c>
      <c r="N5" s="513">
        <v>1.5685523836893338</v>
      </c>
      <c r="O5" s="513">
        <v>2.300082542343417</v>
      </c>
      <c r="P5" s="513">
        <v>12.737551855791756</v>
      </c>
      <c r="Q5" s="513">
        <v>15.694507480997327</v>
      </c>
      <c r="R5" s="513">
        <v>3.187809316791018</v>
      </c>
      <c r="S5" s="513">
        <v>50.668187761669721</v>
      </c>
      <c r="T5" s="512">
        <v>0.23010529425138171</v>
      </c>
      <c r="U5" s="512">
        <v>4.8569456351802064E-2</v>
      </c>
      <c r="V5" s="512">
        <v>3.638036258163637E-2</v>
      </c>
      <c r="W5" s="512">
        <v>0.47113928552253975</v>
      </c>
      <c r="X5" s="512">
        <v>0.14562582622166154</v>
      </c>
      <c r="Y5" s="512">
        <v>0.52340316995626268</v>
      </c>
      <c r="Z5" s="512">
        <v>0.52340316995626268</v>
      </c>
      <c r="AA5" s="514">
        <v>0.14362963274369131</v>
      </c>
    </row>
    <row r="6" spans="1:27" s="112" customFormat="1">
      <c r="A6" s="125" t="s">
        <v>648</v>
      </c>
      <c r="B6" s="296">
        <v>162</v>
      </c>
      <c r="C6" s="512">
        <v>0.12695689320388354</v>
      </c>
      <c r="D6" s="512">
        <v>6.7066397288694402E-2</v>
      </c>
      <c r="E6" s="512">
        <v>7.1428458919596247E-2</v>
      </c>
      <c r="F6" s="512">
        <v>0.23279848887114113</v>
      </c>
      <c r="G6" s="513">
        <v>1.2450163798565128</v>
      </c>
      <c r="H6" s="513">
        <v>1.5289121782877741</v>
      </c>
      <c r="I6" s="512">
        <v>0.1331008853802319</v>
      </c>
      <c r="J6" s="512">
        <v>0.47910660285728646</v>
      </c>
      <c r="K6" s="512">
        <v>6.8199999999999997E-2</v>
      </c>
      <c r="L6" s="512">
        <v>0.33160162018624123</v>
      </c>
      <c r="M6" s="512">
        <v>0.10587608550535731</v>
      </c>
      <c r="N6" s="513">
        <v>1.3255157215079496</v>
      </c>
      <c r="O6" s="513">
        <v>1.3688004851918063</v>
      </c>
      <c r="P6" s="513">
        <v>12.12555584215913</v>
      </c>
      <c r="Q6" s="513">
        <v>19.801842238501486</v>
      </c>
      <c r="R6" s="513">
        <v>1.9254463546374438</v>
      </c>
      <c r="S6" s="513">
        <v>280.71089678234097</v>
      </c>
      <c r="T6" s="512">
        <v>4.8572616840444525E-2</v>
      </c>
      <c r="U6" s="512">
        <v>6.6225061500638518E-2</v>
      </c>
      <c r="V6" s="512">
        <v>4.2017509132913015E-2</v>
      </c>
      <c r="W6" s="512">
        <v>0.77049467401141714</v>
      </c>
      <c r="X6" s="512">
        <v>0.11597865658055551</v>
      </c>
      <c r="Y6" s="512">
        <v>0.30537677843928696</v>
      </c>
      <c r="Z6" s="512">
        <v>0.3053767784392869</v>
      </c>
      <c r="AA6" s="514">
        <v>7.0078491247004424E-2</v>
      </c>
    </row>
    <row r="7" spans="1:27" s="112" customFormat="1">
      <c r="A7" s="125" t="s">
        <v>649</v>
      </c>
      <c r="B7" s="296">
        <v>780</v>
      </c>
      <c r="C7" s="512">
        <v>7.5551744749596195E-2</v>
      </c>
      <c r="D7" s="512">
        <v>5.2685484232626527E-2</v>
      </c>
      <c r="E7" s="512">
        <v>7.9377704302396088E-2</v>
      </c>
      <c r="F7" s="512">
        <v>0.22585506000984751</v>
      </c>
      <c r="G7" s="513">
        <v>1.1857071522127585</v>
      </c>
      <c r="H7" s="513">
        <v>1.2988008165300675</v>
      </c>
      <c r="I7" s="512">
        <v>0.11996152662386686</v>
      </c>
      <c r="J7" s="512">
        <v>0.36388827016804043</v>
      </c>
      <c r="K7" s="512">
        <v>6.5699999999999995E-2</v>
      </c>
      <c r="L7" s="512">
        <v>0.26425914763158243</v>
      </c>
      <c r="M7" s="512">
        <v>0.10124376933200797</v>
      </c>
      <c r="N7" s="513">
        <v>2.0899721697370044</v>
      </c>
      <c r="O7" s="513">
        <v>0.73745546074822621</v>
      </c>
      <c r="P7" s="513">
        <v>7.2426584817611523</v>
      </c>
      <c r="Q7" s="513">
        <v>13.350115616373527</v>
      </c>
      <c r="R7" s="513">
        <v>1.299794235311194</v>
      </c>
      <c r="S7" s="513">
        <v>44.145380578058656</v>
      </c>
      <c r="T7" s="512">
        <v>0.11844074988072356</v>
      </c>
      <c r="U7" s="512">
        <v>5.1831986762537516E-2</v>
      </c>
      <c r="V7" s="512">
        <v>3.207403889156836E-2</v>
      </c>
      <c r="W7" s="512">
        <v>0.90977623070413993</v>
      </c>
      <c r="X7" s="512">
        <v>7.2108598828549225E-2</v>
      </c>
      <c r="Y7" s="512">
        <v>0.42003285322369399</v>
      </c>
      <c r="Z7" s="512">
        <v>0.42003285322369399</v>
      </c>
      <c r="AA7" s="514">
        <v>5.6199116348985993E-2</v>
      </c>
    </row>
    <row r="8" spans="1:27" s="112" customFormat="1">
      <c r="A8" s="125" t="s">
        <v>650</v>
      </c>
      <c r="B8" s="296">
        <v>621</v>
      </c>
      <c r="C8" s="512">
        <v>0.13966549019607843</v>
      </c>
      <c r="D8" s="512" t="s">
        <v>80</v>
      </c>
      <c r="E8" s="512" t="s">
        <v>80</v>
      </c>
      <c r="F8" s="512">
        <v>0.19221418038942642</v>
      </c>
      <c r="G8" s="513">
        <v>0.38784572990231719</v>
      </c>
      <c r="H8" s="513">
        <v>0.79703324846926948</v>
      </c>
      <c r="I8" s="512">
        <v>9.131059848759529E-2</v>
      </c>
      <c r="J8" s="512">
        <v>0.23784037636515615</v>
      </c>
      <c r="K8" s="512">
        <v>6.1199999999999997E-2</v>
      </c>
      <c r="L8" s="512">
        <v>0.7260594506571556</v>
      </c>
      <c r="M8" s="512">
        <v>5.8242047651242718E-2</v>
      </c>
      <c r="N8" s="513">
        <v>0</v>
      </c>
      <c r="O8" s="513" t="s">
        <v>80</v>
      </c>
      <c r="P8" s="513" t="s">
        <v>80</v>
      </c>
      <c r="Q8" s="513" t="s">
        <v>80</v>
      </c>
      <c r="R8" s="513">
        <v>0.90353181008972139</v>
      </c>
      <c r="S8" s="513">
        <v>15.369409408303067</v>
      </c>
      <c r="T8" s="512" t="s">
        <v>80</v>
      </c>
      <c r="U8" s="512" t="s">
        <v>80</v>
      </c>
      <c r="V8" s="512" t="s">
        <v>80</v>
      </c>
      <c r="W8" s="512" t="s">
        <v>80</v>
      </c>
      <c r="X8" s="512">
        <v>0.11993770657008117</v>
      </c>
      <c r="Y8" s="512">
        <v>0.3829230402791724</v>
      </c>
      <c r="Z8" s="512">
        <v>0.38292304027917234</v>
      </c>
      <c r="AA8" s="514" t="s">
        <v>80</v>
      </c>
    </row>
    <row r="9" spans="1:27" s="112" customFormat="1">
      <c r="A9" s="125" t="s">
        <v>651</v>
      </c>
      <c r="B9" s="296">
        <v>849</v>
      </c>
      <c r="C9" s="512">
        <v>7.0516584022038573E-2</v>
      </c>
      <c r="D9" s="512" t="s">
        <v>80</v>
      </c>
      <c r="E9" s="512" t="s">
        <v>80</v>
      </c>
      <c r="F9" s="512">
        <v>0.1906673120451636</v>
      </c>
      <c r="G9" s="513">
        <v>0.32581147370869468</v>
      </c>
      <c r="H9" s="513">
        <v>0.5570410856784398</v>
      </c>
      <c r="I9" s="512">
        <v>7.7607045992238916E-2</v>
      </c>
      <c r="J9" s="512">
        <v>0.27469873140890805</v>
      </c>
      <c r="K9" s="512">
        <v>6.1199999999999997E-2</v>
      </c>
      <c r="L9" s="512">
        <v>0.69353806789852634</v>
      </c>
      <c r="M9" s="512">
        <v>5.5523624610549965E-2</v>
      </c>
      <c r="N9" s="513">
        <v>0</v>
      </c>
      <c r="O9" s="513" t="s">
        <v>80</v>
      </c>
      <c r="P9" s="513" t="s">
        <v>80</v>
      </c>
      <c r="Q9" s="513" t="s">
        <v>80</v>
      </c>
      <c r="R9" s="513">
        <v>0.78022859803347233</v>
      </c>
      <c r="S9" s="513">
        <v>16.319062069258603</v>
      </c>
      <c r="T9" s="512" t="s">
        <v>80</v>
      </c>
      <c r="U9" s="512" t="s">
        <v>80</v>
      </c>
      <c r="V9" s="512" t="s">
        <v>80</v>
      </c>
      <c r="W9" s="512" t="s">
        <v>80</v>
      </c>
      <c r="X9" s="512">
        <v>7.5955809776640404E-2</v>
      </c>
      <c r="Y9" s="512">
        <v>0.39896721798767482</v>
      </c>
      <c r="Z9" s="512">
        <v>0.39896721798767487</v>
      </c>
      <c r="AA9" s="514" t="s">
        <v>80</v>
      </c>
    </row>
    <row r="10" spans="1:27" s="112" customFormat="1">
      <c r="A10" s="125" t="s">
        <v>652</v>
      </c>
      <c r="B10" s="296">
        <v>216</v>
      </c>
      <c r="C10" s="512">
        <v>8.4664189944134063E-2</v>
      </c>
      <c r="D10" s="512">
        <v>0.22475441046323</v>
      </c>
      <c r="E10" s="512">
        <v>0.15898286131530992</v>
      </c>
      <c r="F10" s="512">
        <v>0.249070921933466</v>
      </c>
      <c r="G10" s="513">
        <v>0.78231423457594007</v>
      </c>
      <c r="H10" s="513">
        <v>0.86351323985664896</v>
      </c>
      <c r="I10" s="512">
        <v>9.5106605995814664E-2</v>
      </c>
      <c r="J10" s="512">
        <v>0.32159699196792862</v>
      </c>
      <c r="K10" s="512">
        <v>6.5699999999999995E-2</v>
      </c>
      <c r="L10" s="512">
        <v>0.19010886786225525</v>
      </c>
      <c r="M10" s="512">
        <v>8.6366132931880585E-2</v>
      </c>
      <c r="N10" s="513">
        <v>0.84834843796160442</v>
      </c>
      <c r="O10" s="513">
        <v>2.9382465622400087</v>
      </c>
      <c r="P10" s="513">
        <v>10.864403573135078</v>
      </c>
      <c r="Q10" s="513">
        <v>12.947360370099922</v>
      </c>
      <c r="R10" s="513">
        <v>2.3889454445917453</v>
      </c>
      <c r="S10" s="513">
        <v>37.119177581089552</v>
      </c>
      <c r="T10" s="512">
        <v>0.10033319989160408</v>
      </c>
      <c r="U10" s="512">
        <v>4.9327755412571755E-2</v>
      </c>
      <c r="V10" s="512">
        <v>1.4771796284374744E-2</v>
      </c>
      <c r="W10" s="512">
        <v>0.14851681898506583</v>
      </c>
      <c r="X10" s="512">
        <v>0.12953690994733089</v>
      </c>
      <c r="Y10" s="512">
        <v>0.58559871523956064</v>
      </c>
      <c r="Z10" s="512">
        <v>0.58559871523956064</v>
      </c>
      <c r="AA10" s="514">
        <v>0.22401121282496458</v>
      </c>
    </row>
    <row r="11" spans="1:27" s="112" customFormat="1">
      <c r="A11" s="125" t="s">
        <v>653</v>
      </c>
      <c r="B11" s="296">
        <v>101</v>
      </c>
      <c r="C11" s="512">
        <v>7.2841746031746021E-2</v>
      </c>
      <c r="D11" s="512">
        <v>0.17273825570109677</v>
      </c>
      <c r="E11" s="512">
        <v>0.26466406261132963</v>
      </c>
      <c r="F11" s="512">
        <v>0.21237668954286396</v>
      </c>
      <c r="G11" s="513">
        <v>0.52415870260852537</v>
      </c>
      <c r="H11" s="513">
        <v>0.57262636973795178</v>
      </c>
      <c r="I11" s="512">
        <v>7.8496965712037042E-2</v>
      </c>
      <c r="J11" s="512">
        <v>0.34852094064678985</v>
      </c>
      <c r="K11" s="512">
        <v>6.5699999999999995E-2</v>
      </c>
      <c r="L11" s="512">
        <v>0.15617531459487424</v>
      </c>
      <c r="M11" s="512">
        <v>7.3910642443907479E-2</v>
      </c>
      <c r="N11" s="513">
        <v>1.7731795673077668</v>
      </c>
      <c r="O11" s="513">
        <v>3.373147103839262</v>
      </c>
      <c r="P11" s="513">
        <v>15.971324202788859</v>
      </c>
      <c r="Q11" s="513">
        <v>19.414654477752674</v>
      </c>
      <c r="R11" s="513">
        <v>6.0639453829153132</v>
      </c>
      <c r="S11" s="513">
        <v>27.394975805455502</v>
      </c>
      <c r="T11" s="512">
        <v>-6.6279153545552666E-2</v>
      </c>
      <c r="U11" s="512">
        <v>5.5461521619933403E-2</v>
      </c>
      <c r="V11" s="512">
        <v>3.4472421066757616E-2</v>
      </c>
      <c r="W11" s="512">
        <v>0.32446840970412993</v>
      </c>
      <c r="X11" s="512">
        <v>0.26342971153258932</v>
      </c>
      <c r="Y11" s="512">
        <v>0.64471334059424779</v>
      </c>
      <c r="Z11" s="512">
        <v>0.64471334059424779</v>
      </c>
      <c r="AA11" s="514">
        <v>0.17363889123785076</v>
      </c>
    </row>
    <row r="12" spans="1:27" s="112" customFormat="1">
      <c r="A12" s="125" t="s">
        <v>654</v>
      </c>
      <c r="B12" s="296">
        <v>126</v>
      </c>
      <c r="C12" s="512">
        <v>1.5663523809523815E-2</v>
      </c>
      <c r="D12" s="512">
        <v>0.10026649034327256</v>
      </c>
      <c r="E12" s="512">
        <v>9.1187663969569746E-2</v>
      </c>
      <c r="F12" s="512">
        <v>0.24870391104560474</v>
      </c>
      <c r="G12" s="513">
        <v>0.69938066153575107</v>
      </c>
      <c r="H12" s="513">
        <v>1.0043908188810557</v>
      </c>
      <c r="I12" s="512">
        <v>0.10315071575810827</v>
      </c>
      <c r="J12" s="512">
        <v>0.39297438939225027</v>
      </c>
      <c r="K12" s="512">
        <v>6.5699999999999995E-2</v>
      </c>
      <c r="L12" s="512">
        <v>0.45516247895507844</v>
      </c>
      <c r="M12" s="512">
        <v>7.8562722233460364E-2</v>
      </c>
      <c r="N12" s="513">
        <v>1.0683894088183026</v>
      </c>
      <c r="O12" s="513">
        <v>1.195970558927447</v>
      </c>
      <c r="P12" s="513">
        <v>7.4336340529543712</v>
      </c>
      <c r="Q12" s="513">
        <v>11.248085810490112</v>
      </c>
      <c r="R12" s="513">
        <v>0.86208534748094001</v>
      </c>
      <c r="S12" s="513">
        <v>81.554915456227832</v>
      </c>
      <c r="T12" s="512">
        <v>0.14311964500119906</v>
      </c>
      <c r="U12" s="512">
        <v>3.3601495740461944E-2</v>
      </c>
      <c r="V12" s="512">
        <v>-9.7096431774911715E-3</v>
      </c>
      <c r="W12" s="512">
        <v>1.4386473146249832</v>
      </c>
      <c r="X12" s="512">
        <v>-1.7943670483959652E-2</v>
      </c>
      <c r="Y12" s="512">
        <v>6.0205969131575639E-3</v>
      </c>
      <c r="Z12" s="512">
        <v>6.0205969131575943E-3</v>
      </c>
      <c r="AA12" s="514">
        <v>0.10006439131743146</v>
      </c>
    </row>
    <row r="13" spans="1:27" s="112" customFormat="1">
      <c r="A13" s="125" t="s">
        <v>655</v>
      </c>
      <c r="B13" s="296">
        <v>606</v>
      </c>
      <c r="C13" s="512">
        <v>0.19713917721518975</v>
      </c>
      <c r="D13" s="512" t="s">
        <v>80</v>
      </c>
      <c r="E13" s="512" t="s">
        <v>80</v>
      </c>
      <c r="F13" s="512">
        <v>0.19425314029367832</v>
      </c>
      <c r="G13" s="513">
        <v>0.40657974968199745</v>
      </c>
      <c r="H13" s="513">
        <v>0.90851379972544732</v>
      </c>
      <c r="I13" s="512">
        <v>9.7676137964323034E-2</v>
      </c>
      <c r="J13" s="512">
        <v>0.38888892303727779</v>
      </c>
      <c r="K13" s="512">
        <v>6.5699999999999995E-2</v>
      </c>
      <c r="L13" s="512">
        <v>0.68400208428459641</v>
      </c>
      <c r="M13" s="512">
        <v>6.4470793053717265E-2</v>
      </c>
      <c r="N13" s="513">
        <v>0</v>
      </c>
      <c r="O13" s="513" t="s">
        <v>80</v>
      </c>
      <c r="P13" s="513" t="s">
        <v>80</v>
      </c>
      <c r="Q13" s="513" t="s">
        <v>80</v>
      </c>
      <c r="R13" s="513">
        <v>1.4657788628543078</v>
      </c>
      <c r="S13" s="513">
        <v>101.58408036324856</v>
      </c>
      <c r="T13" s="512" t="s">
        <v>80</v>
      </c>
      <c r="U13" s="512" t="s">
        <v>80</v>
      </c>
      <c r="V13" s="512" t="s">
        <v>80</v>
      </c>
      <c r="W13" s="512" t="s">
        <v>80</v>
      </c>
      <c r="X13" s="512">
        <v>8.8577418654919582E-2</v>
      </c>
      <c r="Y13" s="512">
        <v>0.52114264152108358</v>
      </c>
      <c r="Z13" s="512">
        <v>0.52114264152108358</v>
      </c>
      <c r="AA13" s="514" t="s">
        <v>80</v>
      </c>
    </row>
    <row r="14" spans="1:27" s="112" customFormat="1">
      <c r="A14" s="125" t="s">
        <v>656</v>
      </c>
      <c r="B14" s="296">
        <v>462</v>
      </c>
      <c r="C14" s="512">
        <v>4.7801337047353745E-2</v>
      </c>
      <c r="D14" s="512">
        <v>0.10550739754850814</v>
      </c>
      <c r="E14" s="512">
        <v>0.15629327131409368</v>
      </c>
      <c r="F14" s="512">
        <v>0.22959364703573754</v>
      </c>
      <c r="G14" s="513">
        <v>0.93500071432094212</v>
      </c>
      <c r="H14" s="513">
        <v>1.026465291452767</v>
      </c>
      <c r="I14" s="512">
        <v>0.104411168141953</v>
      </c>
      <c r="J14" s="512">
        <v>0.31754053539247207</v>
      </c>
      <c r="K14" s="512">
        <v>6.5699999999999995E-2</v>
      </c>
      <c r="L14" s="512">
        <v>0.17989724912380414</v>
      </c>
      <c r="M14" s="512">
        <v>9.4466320817599786E-2</v>
      </c>
      <c r="N14" s="513">
        <v>1.9021251075734757</v>
      </c>
      <c r="O14" s="513">
        <v>1.7897276422263575</v>
      </c>
      <c r="P14" s="513">
        <v>11.907869725109522</v>
      </c>
      <c r="Q14" s="513">
        <v>16.651118535377062</v>
      </c>
      <c r="R14" s="513">
        <v>2.6995663189437971</v>
      </c>
      <c r="S14" s="513">
        <v>30.110179863252046</v>
      </c>
      <c r="T14" s="512">
        <v>0.16970841977263171</v>
      </c>
      <c r="U14" s="512">
        <v>4.3768420280374733E-2</v>
      </c>
      <c r="V14" s="512">
        <v>6.6589851931292854E-2</v>
      </c>
      <c r="W14" s="512">
        <v>0.79082586501702412</v>
      </c>
      <c r="X14" s="512">
        <v>0.13491464933049338</v>
      </c>
      <c r="Y14" s="512">
        <v>0.35065128367847975</v>
      </c>
      <c r="Z14" s="512">
        <v>0.35065128367847975</v>
      </c>
      <c r="AA14" s="514">
        <v>0.10782324738340433</v>
      </c>
    </row>
    <row r="15" spans="1:27" s="112" customFormat="1">
      <c r="A15" s="125" t="s">
        <v>657</v>
      </c>
      <c r="B15" s="296">
        <v>974</v>
      </c>
      <c r="C15" s="512">
        <v>7.7076274217585714E-2</v>
      </c>
      <c r="D15" s="512">
        <v>9.7820012620252209E-2</v>
      </c>
      <c r="E15" s="512">
        <v>0.21417691014080062</v>
      </c>
      <c r="F15" s="512">
        <v>0.23134744568769999</v>
      </c>
      <c r="G15" s="513">
        <v>0.94649819204033148</v>
      </c>
      <c r="H15" s="513">
        <v>1.0155396933661369</v>
      </c>
      <c r="I15" s="512">
        <v>0.10378731649120641</v>
      </c>
      <c r="J15" s="512">
        <v>0.38820796548927772</v>
      </c>
      <c r="K15" s="512">
        <v>6.5699999999999995E-2</v>
      </c>
      <c r="L15" s="512">
        <v>0.14718679969998058</v>
      </c>
      <c r="M15" s="512">
        <v>9.5742548702604638E-2</v>
      </c>
      <c r="N15" s="513">
        <v>2.7985865920521169</v>
      </c>
      <c r="O15" s="513">
        <v>2.2341584603955802</v>
      </c>
      <c r="P15" s="513">
        <v>15.979569702346412</v>
      </c>
      <c r="Q15" s="513">
        <v>22.033240918860638</v>
      </c>
      <c r="R15" s="513">
        <v>4.7263067820979758</v>
      </c>
      <c r="S15" s="513">
        <v>50.160271323639762</v>
      </c>
      <c r="T15" s="512">
        <v>0.11117210612160035</v>
      </c>
      <c r="U15" s="512">
        <v>2.553366038165102E-2</v>
      </c>
      <c r="V15" s="512">
        <v>5.6238531321691713E-3</v>
      </c>
      <c r="W15" s="512">
        <v>0.15404640571695835</v>
      </c>
      <c r="X15" s="512">
        <v>0.15996585353877668</v>
      </c>
      <c r="Y15" s="512">
        <v>0.46928573953951008</v>
      </c>
      <c r="Z15" s="512">
        <v>0.46928573953951003</v>
      </c>
      <c r="AA15" s="514">
        <v>9.940853263234993E-2</v>
      </c>
    </row>
    <row r="16" spans="1:27" s="112" customFormat="1">
      <c r="A16" s="125" t="s">
        <v>658</v>
      </c>
      <c r="B16" s="296">
        <v>45</v>
      </c>
      <c r="C16" s="512">
        <v>4.1268780487804885E-2</v>
      </c>
      <c r="D16" s="512">
        <v>0.17152961199324118</v>
      </c>
      <c r="E16" s="512">
        <v>0.12395246866735661</v>
      </c>
      <c r="F16" s="512">
        <v>0.25041302283655165</v>
      </c>
      <c r="G16" s="513">
        <v>0.5924148760482556</v>
      </c>
      <c r="H16" s="513">
        <v>1.0687515972057318</v>
      </c>
      <c r="I16" s="512">
        <v>0.10682571620044728</v>
      </c>
      <c r="J16" s="512">
        <v>0.38950232042602995</v>
      </c>
      <c r="K16" s="512">
        <v>6.5699999999999995E-2</v>
      </c>
      <c r="L16" s="512">
        <v>0.53617647135134661</v>
      </c>
      <c r="M16" s="512">
        <v>7.5890877317179556E-2</v>
      </c>
      <c r="N16" s="513">
        <v>0.82540081161507262</v>
      </c>
      <c r="O16" s="513">
        <v>2.3017811696776587</v>
      </c>
      <c r="P16" s="513">
        <v>7.2771082284648241</v>
      </c>
      <c r="Q16" s="513">
        <v>13.502588554663282</v>
      </c>
      <c r="R16" s="513">
        <v>1.4440953280626694</v>
      </c>
      <c r="S16" s="513">
        <v>63.461614503409031</v>
      </c>
      <c r="T16" s="512">
        <v>2.333817089107924E-2</v>
      </c>
      <c r="U16" s="512">
        <v>0.12840740382377908</v>
      </c>
      <c r="V16" s="512">
        <v>-3.8141169095833056E-3</v>
      </c>
      <c r="W16" s="512">
        <v>4.6504520896977826E-2</v>
      </c>
      <c r="X16" s="512">
        <v>0.11186832855618259</v>
      </c>
      <c r="Y16" s="512">
        <v>0.38660462962010872</v>
      </c>
      <c r="Z16" s="512">
        <v>0.38660462962010866</v>
      </c>
      <c r="AA16" s="514">
        <v>0.16884225115837503</v>
      </c>
    </row>
    <row r="17" spans="1:27" s="112" customFormat="1">
      <c r="A17" s="125" t="s">
        <v>619</v>
      </c>
      <c r="B17" s="296">
        <v>897</v>
      </c>
      <c r="C17" s="512">
        <v>7.8558569405099171E-2</v>
      </c>
      <c r="D17" s="512">
        <v>4.3643418482694665E-2</v>
      </c>
      <c r="E17" s="512">
        <v>4.2117702198530053E-2</v>
      </c>
      <c r="F17" s="512">
        <v>0.19032896528430887</v>
      </c>
      <c r="G17" s="513">
        <v>0.90590363506006133</v>
      </c>
      <c r="H17" s="513">
        <v>1.1492820149889402</v>
      </c>
      <c r="I17" s="512">
        <v>0.1114240030558685</v>
      </c>
      <c r="J17" s="512">
        <v>0.34088887374809757</v>
      </c>
      <c r="K17" s="512">
        <v>6.5699999999999995E-2</v>
      </c>
      <c r="L17" s="512">
        <v>0.3553919782186683</v>
      </c>
      <c r="M17" s="512">
        <v>8.9285377558993601E-2</v>
      </c>
      <c r="N17" s="513">
        <v>1.1559379942651005</v>
      </c>
      <c r="O17" s="513">
        <v>1.1972259407228243</v>
      </c>
      <c r="P17" s="513">
        <v>10.877089343936419</v>
      </c>
      <c r="Q17" s="513">
        <v>25.707501671760706</v>
      </c>
      <c r="R17" s="513">
        <v>1.21261882745677</v>
      </c>
      <c r="S17" s="513">
        <v>58.86034971850286</v>
      </c>
      <c r="T17" s="512">
        <v>0.12904778151210078</v>
      </c>
      <c r="U17" s="512">
        <v>9.1259645082884505E-2</v>
      </c>
      <c r="V17" s="512">
        <v>5.7368302148702262E-2</v>
      </c>
      <c r="W17" s="512">
        <v>0.97814310583565767</v>
      </c>
      <c r="X17" s="512">
        <v>3.0176306306210342E-2</v>
      </c>
      <c r="Y17" s="512">
        <v>1.6512525361502586</v>
      </c>
      <c r="Z17" s="512">
        <v>1.6512525361502586</v>
      </c>
      <c r="AA17" s="514">
        <v>4.4803981992907076E-2</v>
      </c>
    </row>
    <row r="18" spans="1:27" s="112" customFormat="1">
      <c r="A18" s="125" t="s">
        <v>659</v>
      </c>
      <c r="B18" s="296">
        <v>64</v>
      </c>
      <c r="C18" s="512">
        <v>6.5249655172413781E-2</v>
      </c>
      <c r="D18" s="512">
        <v>5.4331134533132541E-2</v>
      </c>
      <c r="E18" s="512">
        <v>4.7486814943558296E-2</v>
      </c>
      <c r="F18" s="512">
        <v>0.31321076583747998</v>
      </c>
      <c r="G18" s="513">
        <v>0.84112979152776335</v>
      </c>
      <c r="H18" s="513">
        <v>1.1400490925634852</v>
      </c>
      <c r="I18" s="512">
        <v>0.11089680318537501</v>
      </c>
      <c r="J18" s="512">
        <v>0.28122766558418827</v>
      </c>
      <c r="K18" s="512">
        <v>6.1199999999999997E-2</v>
      </c>
      <c r="L18" s="512">
        <v>0.39462038216250384</v>
      </c>
      <c r="M18" s="512">
        <v>8.5194608184766915E-2</v>
      </c>
      <c r="N18" s="513">
        <v>1.1517164786342886</v>
      </c>
      <c r="O18" s="513">
        <v>1.0086358851198249</v>
      </c>
      <c r="P18" s="513">
        <v>8.4191756106108553</v>
      </c>
      <c r="Q18" s="513">
        <v>17.463822445049399</v>
      </c>
      <c r="R18" s="513">
        <v>1.1109210276463266</v>
      </c>
      <c r="S18" s="513">
        <v>29.17400284822903</v>
      </c>
      <c r="T18" s="512">
        <v>0.19455144732873944</v>
      </c>
      <c r="U18" s="512">
        <v>8.1398847067447891E-2</v>
      </c>
      <c r="V18" s="512">
        <v>3.7391688830966364E-2</v>
      </c>
      <c r="W18" s="512">
        <v>0.87609432406226295</v>
      </c>
      <c r="X18" s="512">
        <v>1.6669653664093967E-2</v>
      </c>
      <c r="Y18" s="512">
        <v>2.9180099722687398</v>
      </c>
      <c r="Z18" s="512">
        <v>2.9180099722687398</v>
      </c>
      <c r="AA18" s="514">
        <v>5.5717654732580918E-2</v>
      </c>
    </row>
    <row r="19" spans="1:27" s="112" customFormat="1">
      <c r="A19" s="125" t="s">
        <v>620</v>
      </c>
      <c r="B19" s="296">
        <v>951</v>
      </c>
      <c r="C19" s="512">
        <v>8.4908076358296669E-2</v>
      </c>
      <c r="D19" s="512">
        <v>0.10567135821074822</v>
      </c>
      <c r="E19" s="512">
        <v>9.62744977475017E-2</v>
      </c>
      <c r="F19" s="512">
        <v>0.2302263226325249</v>
      </c>
      <c r="G19" s="513">
        <v>0.94900606136085075</v>
      </c>
      <c r="H19" s="513">
        <v>1.0488139972344594</v>
      </c>
      <c r="I19" s="512">
        <v>0.10568727924208762</v>
      </c>
      <c r="J19" s="512">
        <v>0.37283898938248589</v>
      </c>
      <c r="K19" s="512">
        <v>6.5699999999999995E-2</v>
      </c>
      <c r="L19" s="512">
        <v>0.19388773722892033</v>
      </c>
      <c r="M19" s="512">
        <v>9.4721605534374198E-2</v>
      </c>
      <c r="N19" s="513">
        <v>1.1280818260629875</v>
      </c>
      <c r="O19" s="513">
        <v>2.2179806855203226</v>
      </c>
      <c r="P19" s="513">
        <v>12.545314456391363</v>
      </c>
      <c r="Q19" s="513">
        <v>20.102124642214093</v>
      </c>
      <c r="R19" s="513">
        <v>2.133892680679617</v>
      </c>
      <c r="S19" s="513">
        <v>42.713961673858442</v>
      </c>
      <c r="T19" s="512">
        <v>0.18536199182641627</v>
      </c>
      <c r="U19" s="512">
        <v>9.0457179535370386E-2</v>
      </c>
      <c r="V19" s="512">
        <v>4.9438736103891566E-2</v>
      </c>
      <c r="W19" s="512">
        <v>0.62846707119024903</v>
      </c>
      <c r="X19" s="512">
        <v>7.4547691383732198E-2</v>
      </c>
      <c r="Y19" s="512">
        <v>0.67257541911830077</v>
      </c>
      <c r="Z19" s="512">
        <v>0.67257541911830077</v>
      </c>
      <c r="AA19" s="514">
        <v>0.10690822933918473</v>
      </c>
    </row>
    <row r="20" spans="1:27" s="112" customFormat="1">
      <c r="A20" s="125" t="s">
        <v>660</v>
      </c>
      <c r="B20" s="296">
        <v>216</v>
      </c>
      <c r="C20" s="512">
        <v>7.4630825688073374E-2</v>
      </c>
      <c r="D20" s="512">
        <v>0.20749330061841298</v>
      </c>
      <c r="E20" s="512">
        <v>0.24085864121433487</v>
      </c>
      <c r="F20" s="512">
        <v>0.21027079935349902</v>
      </c>
      <c r="G20" s="513">
        <v>1.2437417630056871</v>
      </c>
      <c r="H20" s="513">
        <v>1.1962106644965751</v>
      </c>
      <c r="I20" s="512">
        <v>0.11410362894275444</v>
      </c>
      <c r="J20" s="512">
        <v>0.5561230830367363</v>
      </c>
      <c r="K20" s="512">
        <v>6.8199999999999997E-2</v>
      </c>
      <c r="L20" s="512">
        <v>0.16049759891512955</v>
      </c>
      <c r="M20" s="512">
        <v>0.10397564159470712</v>
      </c>
      <c r="N20" s="513">
        <v>1.3211596897978948</v>
      </c>
      <c r="O20" s="513">
        <v>1.6107026774646396</v>
      </c>
      <c r="P20" s="513">
        <v>5.3519535082121825</v>
      </c>
      <c r="Q20" s="513">
        <v>7.3831426225960541</v>
      </c>
      <c r="R20" s="513">
        <v>1.5023583544911636</v>
      </c>
      <c r="S20" s="513">
        <v>38.397651129084849</v>
      </c>
      <c r="T20" s="512">
        <v>-2.7227901279599405E-2</v>
      </c>
      <c r="U20" s="512">
        <v>0.11453327004675845</v>
      </c>
      <c r="V20" s="512">
        <v>6.9047279801428912E-2</v>
      </c>
      <c r="W20" s="512">
        <v>0.63777689362099765</v>
      </c>
      <c r="X20" s="512">
        <v>0.17139697152965847</v>
      </c>
      <c r="Y20" s="512">
        <v>0.7985503298587916</v>
      </c>
      <c r="Z20" s="512">
        <v>0.7985503298587916</v>
      </c>
      <c r="AA20" s="514">
        <v>0.20788174483635727</v>
      </c>
    </row>
    <row r="21" spans="1:27" s="112" customFormat="1">
      <c r="A21" s="125" t="s">
        <v>475</v>
      </c>
      <c r="B21" s="296">
        <v>1182</v>
      </c>
      <c r="C21" s="512">
        <v>9.1584691046658215E-2</v>
      </c>
      <c r="D21" s="512">
        <v>7.1765132486212885E-2</v>
      </c>
      <c r="E21" s="512">
        <v>0.20377160576210954</v>
      </c>
      <c r="F21" s="512">
        <v>0.22494048259484503</v>
      </c>
      <c r="G21" s="513">
        <v>1.0477595461622089</v>
      </c>
      <c r="H21" s="513">
        <v>1.0925800372394801</v>
      </c>
      <c r="I21" s="512">
        <v>0.1081863201263743</v>
      </c>
      <c r="J21" s="512">
        <v>0.39454245280932948</v>
      </c>
      <c r="K21" s="512">
        <v>6.5699999999999995E-2</v>
      </c>
      <c r="L21" s="512">
        <v>0.12910175825900239</v>
      </c>
      <c r="M21" s="512">
        <v>0.10056210474856167</v>
      </c>
      <c r="N21" s="513">
        <v>3.8438543424357055</v>
      </c>
      <c r="O21" s="513">
        <v>1.5137031692330656</v>
      </c>
      <c r="P21" s="513">
        <v>15.245954362476072</v>
      </c>
      <c r="Q21" s="513">
        <v>20.351275427379321</v>
      </c>
      <c r="R21" s="513">
        <v>4.0209696632387502</v>
      </c>
      <c r="S21" s="513">
        <v>59.67930916295105</v>
      </c>
      <c r="T21" s="512">
        <v>0.15935117887976563</v>
      </c>
      <c r="U21" s="512">
        <v>1.5571470094428969E-2</v>
      </c>
      <c r="V21" s="512">
        <v>1.8251439665462266E-2</v>
      </c>
      <c r="W21" s="512">
        <v>0.32694832881756869</v>
      </c>
      <c r="X21" s="512">
        <v>0.14443881145636611</v>
      </c>
      <c r="Y21" s="512">
        <v>0.55655909766881129</v>
      </c>
      <c r="Z21" s="512">
        <v>0.55655909766881129</v>
      </c>
      <c r="AA21" s="514">
        <v>7.3272656811952164E-2</v>
      </c>
    </row>
    <row r="22" spans="1:27" s="112" customFormat="1">
      <c r="A22" s="125" t="s">
        <v>661</v>
      </c>
      <c r="B22" s="296">
        <v>342</v>
      </c>
      <c r="C22" s="512">
        <v>3.4963609022556415E-2</v>
      </c>
      <c r="D22" s="512">
        <v>0.13062874139416539</v>
      </c>
      <c r="E22" s="512">
        <v>0.20415937267651255</v>
      </c>
      <c r="F22" s="512">
        <v>0.19680016648684778</v>
      </c>
      <c r="G22" s="513">
        <v>1.2452856029038846</v>
      </c>
      <c r="H22" s="513">
        <v>1.26185646056331</v>
      </c>
      <c r="I22" s="512">
        <v>0.117852003898165</v>
      </c>
      <c r="J22" s="512">
        <v>0.41480392467646005</v>
      </c>
      <c r="K22" s="512">
        <v>6.5699999999999995E-2</v>
      </c>
      <c r="L22" s="512">
        <v>6.1860212296684716E-2</v>
      </c>
      <c r="M22" s="512">
        <v>0.11360087460326858</v>
      </c>
      <c r="N22" s="513">
        <v>2.4658781226112927</v>
      </c>
      <c r="O22" s="513">
        <v>3.3510269146523033</v>
      </c>
      <c r="P22" s="513">
        <v>19.044383449948704</v>
      </c>
      <c r="Q22" s="513">
        <v>25.458165307974447</v>
      </c>
      <c r="R22" s="513">
        <v>7.5761693537431523</v>
      </c>
      <c r="S22" s="513">
        <v>92.110977301406578</v>
      </c>
      <c r="T22" s="512">
        <v>2.9771803028010399E-2</v>
      </c>
      <c r="U22" s="512">
        <v>4.8325901214352485E-2</v>
      </c>
      <c r="V22" s="512">
        <v>3.6192197384131278E-2</v>
      </c>
      <c r="W22" s="512">
        <v>0.34307128387551117</v>
      </c>
      <c r="X22" s="512">
        <v>0.26403231303039632</v>
      </c>
      <c r="Y22" s="512">
        <v>0.25427509954663369</v>
      </c>
      <c r="Z22" s="512">
        <v>0.25427509954663363</v>
      </c>
      <c r="AA22" s="514">
        <v>0.13536126174578905</v>
      </c>
    </row>
    <row r="23" spans="1:27" s="112" customFormat="1">
      <c r="A23" s="125" t="s">
        <v>662</v>
      </c>
      <c r="B23" s="296">
        <v>804</v>
      </c>
      <c r="C23" s="512">
        <v>9.3048897637795308E-2</v>
      </c>
      <c r="D23" s="512">
        <v>9.4591147525766486E-2</v>
      </c>
      <c r="E23" s="512">
        <v>9.7290499081626097E-2</v>
      </c>
      <c r="F23" s="512">
        <v>0.23089860732564285</v>
      </c>
      <c r="G23" s="513">
        <v>0.8467977037752572</v>
      </c>
      <c r="H23" s="513">
        <v>0.97817928919457886</v>
      </c>
      <c r="I23" s="512">
        <v>0.10165403741301045</v>
      </c>
      <c r="J23" s="512">
        <v>0.35215652971694239</v>
      </c>
      <c r="K23" s="512">
        <v>6.5699999999999995E-2</v>
      </c>
      <c r="L23" s="512">
        <v>0.27237044931706339</v>
      </c>
      <c r="M23" s="512">
        <v>8.7348167033289237E-2</v>
      </c>
      <c r="N23" s="513">
        <v>1.2994151191669421</v>
      </c>
      <c r="O23" s="513">
        <v>1.4443804605364166</v>
      </c>
      <c r="P23" s="513">
        <v>10.268126391930863</v>
      </c>
      <c r="Q23" s="513">
        <v>14.965943010321554</v>
      </c>
      <c r="R23" s="513">
        <v>1.6552858516841096</v>
      </c>
      <c r="S23" s="513">
        <v>69.547936214740972</v>
      </c>
      <c r="T23" s="512">
        <v>0.16694497876572217</v>
      </c>
      <c r="U23" s="512">
        <v>5.2150183493532877E-2</v>
      </c>
      <c r="V23" s="512">
        <v>3.1958497853375498E-2</v>
      </c>
      <c r="W23" s="512">
        <v>0.54186016693699735</v>
      </c>
      <c r="X23" s="512">
        <v>0.1018600199160753</v>
      </c>
      <c r="Y23" s="512">
        <v>0.44686899740976965</v>
      </c>
      <c r="Z23" s="512">
        <v>0.44686899740976971</v>
      </c>
      <c r="AA23" s="514">
        <v>9.6370212346788817E-2</v>
      </c>
    </row>
    <row r="24" spans="1:27" s="112" customFormat="1">
      <c r="A24" s="125" t="s">
        <v>663</v>
      </c>
      <c r="B24" s="296">
        <v>335</v>
      </c>
      <c r="C24" s="512">
        <v>0.12454670411985019</v>
      </c>
      <c r="D24" s="512">
        <v>0.19126688259957439</v>
      </c>
      <c r="E24" s="512">
        <v>0.13052165404030189</v>
      </c>
      <c r="F24" s="512">
        <v>0.1666769275061829</v>
      </c>
      <c r="G24" s="513">
        <v>0.69550763386591818</v>
      </c>
      <c r="H24" s="513">
        <v>0.88856194869420702</v>
      </c>
      <c r="I24" s="512">
        <v>9.6536887270439214E-2</v>
      </c>
      <c r="J24" s="512">
        <v>0.29019574720420455</v>
      </c>
      <c r="K24" s="512">
        <v>6.1199999999999997E-2</v>
      </c>
      <c r="L24" s="512">
        <v>0.3345993493863077</v>
      </c>
      <c r="M24" s="512">
        <v>7.9548767278401072E-2</v>
      </c>
      <c r="N24" s="513">
        <v>0.80990477661258864</v>
      </c>
      <c r="O24" s="513">
        <v>1.959813502253223</v>
      </c>
      <c r="P24" s="513">
        <v>8.3981307244855898</v>
      </c>
      <c r="Q24" s="513">
        <v>10.126118827408375</v>
      </c>
      <c r="R24" s="513">
        <v>1.1389672590741291</v>
      </c>
      <c r="S24" s="513">
        <v>23.624756576034539</v>
      </c>
      <c r="T24" s="512">
        <v>-0.10274984833872372</v>
      </c>
      <c r="U24" s="512">
        <v>5.0695893854381356E-2</v>
      </c>
      <c r="V24" s="512">
        <v>2.7932500911276342E-2</v>
      </c>
      <c r="W24" s="512">
        <v>0.22130686642225372</v>
      </c>
      <c r="X24" s="512">
        <v>0.15189767624625436</v>
      </c>
      <c r="Y24" s="512">
        <v>0.15552381391113076</v>
      </c>
      <c r="Z24" s="512">
        <v>0.15552381391113079</v>
      </c>
      <c r="AA24" s="514">
        <v>0.19127387240244151</v>
      </c>
    </row>
    <row r="25" spans="1:27" s="112" customFormat="1">
      <c r="A25" s="125" t="s">
        <v>664</v>
      </c>
      <c r="B25" s="296">
        <v>1223</v>
      </c>
      <c r="C25" s="512">
        <v>0.25387421052631592</v>
      </c>
      <c r="D25" s="512">
        <v>1.7550043440366014E-3</v>
      </c>
      <c r="E25" s="512">
        <v>1.9137906017770365E-2</v>
      </c>
      <c r="F25" s="512">
        <v>0.17256640484311581</v>
      </c>
      <c r="G25" s="513">
        <v>1.2281686132974015</v>
      </c>
      <c r="H25" s="513">
        <v>1.2918900121586152</v>
      </c>
      <c r="I25" s="512">
        <v>0.11956691969425692</v>
      </c>
      <c r="J25" s="512">
        <v>0.70050115224219156</v>
      </c>
      <c r="K25" s="512">
        <v>7.4499999999999997E-2</v>
      </c>
      <c r="L25" s="512">
        <v>0.13168780428541141</v>
      </c>
      <c r="M25" s="512">
        <v>0.1111578870078751</v>
      </c>
      <c r="N25" s="513">
        <v>0.80985859847924313</v>
      </c>
      <c r="O25" s="513">
        <v>6.7442010984757115</v>
      </c>
      <c r="P25" s="513">
        <v>15.972191315595955</v>
      </c>
      <c r="Q25" s="513" t="s">
        <v>80</v>
      </c>
      <c r="R25" s="513">
        <v>4.6947249145207106</v>
      </c>
      <c r="S25" s="513">
        <v>91.229240818099967</v>
      </c>
      <c r="T25" s="512">
        <v>0.21363002889103208</v>
      </c>
      <c r="U25" s="512">
        <v>4.5585384253091901E-2</v>
      </c>
      <c r="V25" s="512">
        <v>0.1884363873554751</v>
      </c>
      <c r="W25" s="512" t="s">
        <v>80</v>
      </c>
      <c r="X25" s="512">
        <v>-8.2210733329689825E-2</v>
      </c>
      <c r="Y25" s="512">
        <v>6.4958693706511465E-3</v>
      </c>
      <c r="Z25" s="512">
        <v>6.4958693706511639E-3</v>
      </c>
      <c r="AA25" s="514">
        <v>4.6415057448888852E-2</v>
      </c>
    </row>
    <row r="26" spans="1:27" s="112" customFormat="1">
      <c r="A26" s="125" t="s">
        <v>665</v>
      </c>
      <c r="B26" s="296">
        <v>1271</v>
      </c>
      <c r="C26" s="512">
        <v>0.12712799270073</v>
      </c>
      <c r="D26" s="512">
        <v>0.20418324101127519</v>
      </c>
      <c r="E26" s="512">
        <v>0.13663932508445867</v>
      </c>
      <c r="F26" s="512">
        <v>0.16064147614048158</v>
      </c>
      <c r="G26" s="513">
        <v>0.97444555013695755</v>
      </c>
      <c r="H26" s="513">
        <v>1.0459900460346432</v>
      </c>
      <c r="I26" s="512">
        <v>0.10552603162857813</v>
      </c>
      <c r="J26" s="512">
        <v>0.47680688411555949</v>
      </c>
      <c r="K26" s="512">
        <v>6.8199999999999997E-2</v>
      </c>
      <c r="L26" s="512">
        <v>0.14274968253928402</v>
      </c>
      <c r="M26" s="512">
        <v>9.7742452213484349E-2</v>
      </c>
      <c r="N26" s="513">
        <v>1.0855796526615398</v>
      </c>
      <c r="O26" s="513">
        <v>3.9470092833666963</v>
      </c>
      <c r="P26" s="513">
        <v>13.408666143145313</v>
      </c>
      <c r="Q26" s="513">
        <v>18.824918010965483</v>
      </c>
      <c r="R26" s="513">
        <v>3.7441871673985103</v>
      </c>
      <c r="S26" s="513">
        <v>73.374286206412037</v>
      </c>
      <c r="T26" s="512">
        <v>0.16774712060056221</v>
      </c>
      <c r="U26" s="512">
        <v>5.146301720590947E-2</v>
      </c>
      <c r="V26" s="512">
        <v>9.8143127790698892E-2</v>
      </c>
      <c r="W26" s="512">
        <v>0.64377067279844402</v>
      </c>
      <c r="X26" s="512">
        <v>0.12357116156594297</v>
      </c>
      <c r="Y26" s="512">
        <v>0.72629035683739729</v>
      </c>
      <c r="Z26" s="512">
        <v>0.72629035683739729</v>
      </c>
      <c r="AA26" s="514">
        <v>0.21726947442920141</v>
      </c>
    </row>
    <row r="27" spans="1:27" s="112" customFormat="1">
      <c r="A27" s="125" t="s">
        <v>666</v>
      </c>
      <c r="B27" s="296">
        <v>272</v>
      </c>
      <c r="C27" s="512">
        <v>7.0044431137724544E-2</v>
      </c>
      <c r="D27" s="512">
        <v>0.13433608259016611</v>
      </c>
      <c r="E27" s="512">
        <v>0.11595776073954202</v>
      </c>
      <c r="F27" s="512">
        <v>0.20811150771496137</v>
      </c>
      <c r="G27" s="513">
        <v>0.7837802085517217</v>
      </c>
      <c r="H27" s="513">
        <v>0.86268907071886347</v>
      </c>
      <c r="I27" s="512">
        <v>9.5059545938047108E-2</v>
      </c>
      <c r="J27" s="512">
        <v>0.42984198755760755</v>
      </c>
      <c r="K27" s="512">
        <v>6.5699999999999995E-2</v>
      </c>
      <c r="L27" s="512">
        <v>0.22558028976535599</v>
      </c>
      <c r="M27" s="512">
        <v>8.469884942348449E-2</v>
      </c>
      <c r="N27" s="513">
        <v>1.113273313686314</v>
      </c>
      <c r="O27" s="513">
        <v>2.3146099924052739</v>
      </c>
      <c r="P27" s="513">
        <v>11.187385345832285</v>
      </c>
      <c r="Q27" s="513">
        <v>16.921324079239835</v>
      </c>
      <c r="R27" s="513">
        <v>2.0558121302891568</v>
      </c>
      <c r="S27" s="513">
        <v>50.526279449022176</v>
      </c>
      <c r="T27" s="512">
        <v>5.1706754165409388E-2</v>
      </c>
      <c r="U27" s="512">
        <v>5.5874489052127947E-2</v>
      </c>
      <c r="V27" s="512">
        <v>2.3931514815740806E-2</v>
      </c>
      <c r="W27" s="512">
        <v>0.3957936490287724</v>
      </c>
      <c r="X27" s="512">
        <v>6.7839230722683733E-2</v>
      </c>
      <c r="Y27" s="512">
        <v>0.63601840080105643</v>
      </c>
      <c r="Z27" s="512">
        <v>0.63601840080105643</v>
      </c>
      <c r="AA27" s="514">
        <v>0.13151150797078059</v>
      </c>
    </row>
    <row r="28" spans="1:27" s="112" customFormat="1">
      <c r="A28" s="125" t="s">
        <v>667</v>
      </c>
      <c r="B28" s="296">
        <v>1101</v>
      </c>
      <c r="C28" s="512">
        <v>0.10367485714285714</v>
      </c>
      <c r="D28" s="512">
        <v>7.2910053520748294E-2</v>
      </c>
      <c r="E28" s="512">
        <v>0.1059167172061984</v>
      </c>
      <c r="F28" s="512">
        <v>0.18997957183314162</v>
      </c>
      <c r="G28" s="513">
        <v>1.1801425031628325</v>
      </c>
      <c r="H28" s="513">
        <v>1.215668392683982</v>
      </c>
      <c r="I28" s="512">
        <v>0.11521466522225537</v>
      </c>
      <c r="J28" s="512">
        <v>0.43176608961512536</v>
      </c>
      <c r="K28" s="512">
        <v>6.5699999999999995E-2</v>
      </c>
      <c r="L28" s="512">
        <v>0.1466570863500688</v>
      </c>
      <c r="M28" s="512">
        <v>0.10552294823059941</v>
      </c>
      <c r="N28" s="513">
        <v>1.8766458092541503</v>
      </c>
      <c r="O28" s="513">
        <v>2.1500587989364002</v>
      </c>
      <c r="P28" s="513">
        <v>17.143812161217038</v>
      </c>
      <c r="Q28" s="513">
        <v>27.802776777855911</v>
      </c>
      <c r="R28" s="513">
        <v>2.9876405679544003</v>
      </c>
      <c r="S28" s="513">
        <v>47.215518793463666</v>
      </c>
      <c r="T28" s="512">
        <v>0.23318262917278393</v>
      </c>
      <c r="U28" s="512">
        <v>7.1189950150182937E-2</v>
      </c>
      <c r="V28" s="512">
        <v>6.6381329053922092E-2</v>
      </c>
      <c r="W28" s="512">
        <v>1.3156207360980665</v>
      </c>
      <c r="X28" s="512">
        <v>9.1174666083068595E-2</v>
      </c>
      <c r="Y28" s="512">
        <v>0.55243608970812952</v>
      </c>
      <c r="Z28" s="512">
        <v>0.55243608970812952</v>
      </c>
      <c r="AA28" s="514">
        <v>7.570008997986713E-2</v>
      </c>
    </row>
    <row r="29" spans="1:27" s="112" customFormat="1">
      <c r="A29" s="125" t="s">
        <v>668</v>
      </c>
      <c r="B29" s="296">
        <v>125</v>
      </c>
      <c r="C29" s="512">
        <v>2.1197961165048542E-2</v>
      </c>
      <c r="D29" s="512">
        <v>5.800555637569238E-2</v>
      </c>
      <c r="E29" s="512">
        <v>0.10563964900091696</v>
      </c>
      <c r="F29" s="512">
        <v>0.21689689306216253</v>
      </c>
      <c r="G29" s="513">
        <v>1.1198908994583037</v>
      </c>
      <c r="H29" s="513">
        <v>1.2099501889035962</v>
      </c>
      <c r="I29" s="512">
        <v>0.11488815578639533</v>
      </c>
      <c r="J29" s="512">
        <v>0.45184781142729097</v>
      </c>
      <c r="K29" s="512">
        <v>6.8199999999999997E-2</v>
      </c>
      <c r="L29" s="512">
        <v>0.21344316858760534</v>
      </c>
      <c r="M29" s="512">
        <v>0.10125165684240181</v>
      </c>
      <c r="N29" s="513">
        <v>2.0670829469847414</v>
      </c>
      <c r="O29" s="513">
        <v>0.95581522850182177</v>
      </c>
      <c r="P29" s="513">
        <v>10.518161345684888</v>
      </c>
      <c r="Q29" s="513">
        <v>16.117104817395361</v>
      </c>
      <c r="R29" s="513">
        <v>1.7815824953269306</v>
      </c>
      <c r="S29" s="513">
        <v>33.498845812540615</v>
      </c>
      <c r="T29" s="512">
        <v>4.9128228781795555E-2</v>
      </c>
      <c r="U29" s="512">
        <v>4.4635348037750384E-2</v>
      </c>
      <c r="V29" s="512">
        <v>5.0417669449723014E-2</v>
      </c>
      <c r="W29" s="512">
        <v>1.00459417915495</v>
      </c>
      <c r="X29" s="512">
        <v>9.3154716752839886E-2</v>
      </c>
      <c r="Y29" s="512">
        <v>0.26621712484707033</v>
      </c>
      <c r="Z29" s="512">
        <v>0.26621712484707039</v>
      </c>
      <c r="AA29" s="514">
        <v>7.3430942743690025E-2</v>
      </c>
    </row>
    <row r="30" spans="1:27" s="112" customFormat="1">
      <c r="A30" s="125" t="s">
        <v>621</v>
      </c>
      <c r="B30" s="296">
        <v>1480</v>
      </c>
      <c r="C30" s="512">
        <v>5.8368749999999955E-2</v>
      </c>
      <c r="D30" s="512">
        <v>5.847756642278254E-2</v>
      </c>
      <c r="E30" s="512">
        <v>7.7569988764995768E-2</v>
      </c>
      <c r="F30" s="512">
        <v>0.16900845025701186</v>
      </c>
      <c r="G30" s="513">
        <v>1.3619377589137938</v>
      </c>
      <c r="H30" s="513">
        <v>1.3767895708284481</v>
      </c>
      <c r="I30" s="512">
        <v>0.12441468449430437</v>
      </c>
      <c r="J30" s="512">
        <v>0.41931738089668508</v>
      </c>
      <c r="K30" s="512">
        <v>6.5699999999999995E-2</v>
      </c>
      <c r="L30" s="512">
        <v>0.1489011520554098</v>
      </c>
      <c r="M30" s="512">
        <v>0.11320477673550434</v>
      </c>
      <c r="N30" s="513">
        <v>1.721452209725421</v>
      </c>
      <c r="O30" s="513">
        <v>1.6413704225339114</v>
      </c>
      <c r="P30" s="513">
        <v>13.89883400396274</v>
      </c>
      <c r="Q30" s="513">
        <v>26.487674851947386</v>
      </c>
      <c r="R30" s="513">
        <v>2.3099800117304179</v>
      </c>
      <c r="S30" s="513">
        <v>70.86083442086094</v>
      </c>
      <c r="T30" s="512">
        <v>0.19103082751396167</v>
      </c>
      <c r="U30" s="512">
        <v>5.9116679682454307E-2</v>
      </c>
      <c r="V30" s="512">
        <v>3.5242926148357841E-2</v>
      </c>
      <c r="W30" s="512">
        <v>0.80480399888960563</v>
      </c>
      <c r="X30" s="512">
        <v>7.9542099843843334E-2</v>
      </c>
      <c r="Y30" s="512">
        <v>0.52682903781455637</v>
      </c>
      <c r="Z30" s="512">
        <v>0.52682903781455637</v>
      </c>
      <c r="AA30" s="514">
        <v>6.1680090817974209E-2</v>
      </c>
    </row>
    <row r="31" spans="1:27" s="112" customFormat="1">
      <c r="A31" s="125" t="s">
        <v>669</v>
      </c>
      <c r="B31" s="296">
        <v>1327</v>
      </c>
      <c r="C31" s="512">
        <v>6.7785062893081699E-2</v>
      </c>
      <c r="D31" s="512">
        <v>4.8119137923535574E-2</v>
      </c>
      <c r="E31" s="512">
        <v>7.7848896112480456E-2</v>
      </c>
      <c r="F31" s="512">
        <v>0.22533742620492453</v>
      </c>
      <c r="G31" s="513">
        <v>0.66313405375528411</v>
      </c>
      <c r="H31" s="513">
        <v>0.92879864741205909</v>
      </c>
      <c r="I31" s="512">
        <v>9.8834402767228574E-2</v>
      </c>
      <c r="J31" s="512">
        <v>0.37039888325428788</v>
      </c>
      <c r="K31" s="512">
        <v>6.5699999999999995E-2</v>
      </c>
      <c r="L31" s="512">
        <v>0.4847341107984981</v>
      </c>
      <c r="M31" s="512">
        <v>7.4741206266776578E-2</v>
      </c>
      <c r="N31" s="513">
        <v>2.1204934498710473</v>
      </c>
      <c r="O31" s="513">
        <v>0.69293734885948677</v>
      </c>
      <c r="P31" s="513">
        <v>9.9450246014868053</v>
      </c>
      <c r="Q31" s="513">
        <v>13.87488635539866</v>
      </c>
      <c r="R31" s="513">
        <v>1.079329524157367</v>
      </c>
      <c r="S31" s="513">
        <v>40.073373974610952</v>
      </c>
      <c r="T31" s="512">
        <v>0.15915697069730544</v>
      </c>
      <c r="U31" s="512">
        <v>0.10185507267633107</v>
      </c>
      <c r="V31" s="512">
        <v>9.2472438958028688E-2</v>
      </c>
      <c r="W31" s="512">
        <v>1.6076085598549554</v>
      </c>
      <c r="X31" s="512">
        <v>9.4666687050894954E-2</v>
      </c>
      <c r="Y31" s="512">
        <v>0.68362281761760735</v>
      </c>
      <c r="Z31" s="512">
        <v>0.68362281761760735</v>
      </c>
      <c r="AA31" s="514">
        <v>4.8665930653464987E-2</v>
      </c>
    </row>
    <row r="32" spans="1:27" s="112" customFormat="1">
      <c r="A32" s="125" t="s">
        <v>476</v>
      </c>
      <c r="B32" s="296">
        <v>748</v>
      </c>
      <c r="C32" s="512">
        <v>9.0673049040511738E-2</v>
      </c>
      <c r="D32" s="512">
        <v>9.2377328927054414E-2</v>
      </c>
      <c r="E32" s="512">
        <v>9.6520740873123526E-2</v>
      </c>
      <c r="F32" s="512">
        <v>0.21491862789103236</v>
      </c>
      <c r="G32" s="513">
        <v>0.99467610256334837</v>
      </c>
      <c r="H32" s="513">
        <v>1.0554392738374743</v>
      </c>
      <c r="I32" s="512">
        <v>0.10606558253611978</v>
      </c>
      <c r="J32" s="512">
        <v>0.47466301980519926</v>
      </c>
      <c r="K32" s="512">
        <v>6.8199999999999997E-2</v>
      </c>
      <c r="L32" s="512">
        <v>0.15039781096904528</v>
      </c>
      <c r="M32" s="512">
        <v>9.7783833447039642E-2</v>
      </c>
      <c r="N32" s="513">
        <v>1.3248974637190056</v>
      </c>
      <c r="O32" s="513">
        <v>3.3973575630232959</v>
      </c>
      <c r="P32" s="513">
        <v>10.018113981196533</v>
      </c>
      <c r="Q32" s="513">
        <v>35.037371694133945</v>
      </c>
      <c r="R32" s="513">
        <v>3.1483119784955673</v>
      </c>
      <c r="S32" s="513">
        <v>75.605023478327709</v>
      </c>
      <c r="T32" s="512">
        <v>2.5583647390353237E-2</v>
      </c>
      <c r="U32" s="512">
        <v>0.14379701961210459</v>
      </c>
      <c r="V32" s="512">
        <v>7.7895712154181951E-2</v>
      </c>
      <c r="W32" s="512">
        <v>28.107357937046039</v>
      </c>
      <c r="X32" s="512">
        <v>1.5830256978802845E-2</v>
      </c>
      <c r="Y32" s="512">
        <v>1.5537993739780185</v>
      </c>
      <c r="Z32" s="512">
        <v>1.5537993739780185</v>
      </c>
      <c r="AA32" s="514">
        <v>9.356457567164092E-2</v>
      </c>
    </row>
    <row r="33" spans="1:27" s="112" customFormat="1">
      <c r="A33" s="125" t="s">
        <v>670</v>
      </c>
      <c r="B33" s="296">
        <v>391</v>
      </c>
      <c r="C33" s="512">
        <v>8.6715972222222201E-2</v>
      </c>
      <c r="D33" s="512">
        <v>0.11387736489673332</v>
      </c>
      <c r="E33" s="512">
        <v>0.11120965355361774</v>
      </c>
      <c r="F33" s="512">
        <v>0.21895076839111779</v>
      </c>
      <c r="G33" s="513">
        <v>0.85595081939369189</v>
      </c>
      <c r="H33" s="513">
        <v>1.0297058112156112</v>
      </c>
      <c r="I33" s="512">
        <v>0.10459620182041141</v>
      </c>
      <c r="J33" s="512">
        <v>0.42938191566121314</v>
      </c>
      <c r="K33" s="512">
        <v>6.5699999999999995E-2</v>
      </c>
      <c r="L33" s="512">
        <v>0.25587568713515008</v>
      </c>
      <c r="M33" s="512">
        <v>9.0403867019652806E-2</v>
      </c>
      <c r="N33" s="513">
        <v>1.1393893248941391</v>
      </c>
      <c r="O33" s="513">
        <v>2.7574506520977793</v>
      </c>
      <c r="P33" s="513">
        <v>13.975562127508603</v>
      </c>
      <c r="Q33" s="513">
        <v>23.293637829550324</v>
      </c>
      <c r="R33" s="513">
        <v>3.0119188545835449</v>
      </c>
      <c r="S33" s="513">
        <v>44.10085849980927</v>
      </c>
      <c r="T33" s="512">
        <v>0.16827458844233123</v>
      </c>
      <c r="U33" s="512">
        <v>8.6631587662120091E-2</v>
      </c>
      <c r="V33" s="512">
        <v>5.9779432305062379E-2</v>
      </c>
      <c r="W33" s="512">
        <v>1.0005490818623171</v>
      </c>
      <c r="X33" s="512">
        <v>9.9550320954967395E-2</v>
      </c>
      <c r="Y33" s="512">
        <v>0.48887102486871731</v>
      </c>
      <c r="Z33" s="512">
        <v>0.48887102486871736</v>
      </c>
      <c r="AA33" s="514">
        <v>0.11487977472409466</v>
      </c>
    </row>
    <row r="34" spans="1:27" s="112" customFormat="1">
      <c r="A34" s="125" t="s">
        <v>671</v>
      </c>
      <c r="B34" s="296">
        <v>429</v>
      </c>
      <c r="C34" s="512">
        <v>0.10853714285714278</v>
      </c>
      <c r="D34" s="512">
        <v>6.7597822581839009E-2</v>
      </c>
      <c r="E34" s="512">
        <v>7.513685742168924E-2</v>
      </c>
      <c r="F34" s="512">
        <v>0.20940564970482062</v>
      </c>
      <c r="G34" s="513">
        <v>0.55752413535009082</v>
      </c>
      <c r="H34" s="513">
        <v>0.77354538154095709</v>
      </c>
      <c r="I34" s="512">
        <v>8.9969441285988647E-2</v>
      </c>
      <c r="J34" s="512">
        <v>0.37236302477623251</v>
      </c>
      <c r="K34" s="512">
        <v>6.5699999999999995E-2</v>
      </c>
      <c r="L34" s="512">
        <v>0.39044782434722086</v>
      </c>
      <c r="M34" s="512">
        <v>7.4023949894317501E-2</v>
      </c>
      <c r="N34" s="513">
        <v>1.3429171541514722</v>
      </c>
      <c r="O34" s="513">
        <v>1.1025697181373753</v>
      </c>
      <c r="P34" s="513">
        <v>11.010459556981896</v>
      </c>
      <c r="Q34" s="513">
        <v>15.699242510868901</v>
      </c>
      <c r="R34" s="513">
        <v>1.6010274631657162</v>
      </c>
      <c r="S34" s="513">
        <v>207.49711514436956</v>
      </c>
      <c r="T34" s="512">
        <v>0.17353879002544681</v>
      </c>
      <c r="U34" s="512">
        <v>4.4746904720463623E-2</v>
      </c>
      <c r="V34" s="512">
        <v>2.9266162724058364E-2</v>
      </c>
      <c r="W34" s="512">
        <v>0.4317750383078226</v>
      </c>
      <c r="X34" s="512">
        <v>0.1214179778158247</v>
      </c>
      <c r="Y34" s="512">
        <v>0.37246247707872582</v>
      </c>
      <c r="Z34" s="512">
        <v>0.37246247707872582</v>
      </c>
      <c r="AA34" s="514">
        <v>6.8982077464638053E-2</v>
      </c>
    </row>
    <row r="35" spans="1:27" s="112" customFormat="1">
      <c r="A35" s="125" t="s">
        <v>672</v>
      </c>
      <c r="B35" s="296">
        <v>1117</v>
      </c>
      <c r="C35" s="512">
        <v>0.15429169191919181</v>
      </c>
      <c r="D35" s="512" t="s">
        <v>80</v>
      </c>
      <c r="E35" s="512" t="s">
        <v>80</v>
      </c>
      <c r="F35" s="512">
        <v>0.17474488044171121</v>
      </c>
      <c r="G35" s="513">
        <v>0.27307489021810905</v>
      </c>
      <c r="H35" s="513">
        <v>0.82085647616265467</v>
      </c>
      <c r="I35" s="512">
        <v>9.2670904788887579E-2</v>
      </c>
      <c r="J35" s="512">
        <v>0.40822234595011475</v>
      </c>
      <c r="K35" s="512">
        <v>6.5699999999999995E-2</v>
      </c>
      <c r="L35" s="512">
        <v>0.74740509981221981</v>
      </c>
      <c r="M35" s="512">
        <v>6.012855430558061E-2</v>
      </c>
      <c r="N35" s="513">
        <v>0</v>
      </c>
      <c r="O35" s="513" t="s">
        <v>80</v>
      </c>
      <c r="P35" s="513">
        <v>46.49336057762887</v>
      </c>
      <c r="Q35" s="513">
        <v>59.411574439410536</v>
      </c>
      <c r="R35" s="513">
        <v>2.3699459395108122</v>
      </c>
      <c r="S35" s="513">
        <v>73.381928186877332</v>
      </c>
      <c r="T35" s="512" t="s">
        <v>80</v>
      </c>
      <c r="U35" s="512" t="s">
        <v>80</v>
      </c>
      <c r="V35" s="512" t="s">
        <v>80</v>
      </c>
      <c r="W35" s="512" t="s">
        <v>80</v>
      </c>
      <c r="X35" s="512">
        <v>0.20077722411122489</v>
      </c>
      <c r="Y35" s="512">
        <v>0.20913029006425635</v>
      </c>
      <c r="Z35" s="512">
        <v>0.20913029006425632</v>
      </c>
      <c r="AA35" s="514" t="s">
        <v>80</v>
      </c>
    </row>
    <row r="36" spans="1:27" s="112" customFormat="1">
      <c r="A36" s="125" t="s">
        <v>673</v>
      </c>
      <c r="B36" s="296">
        <v>1424</v>
      </c>
      <c r="C36" s="512">
        <v>8.8634765550239206E-2</v>
      </c>
      <c r="D36" s="512">
        <v>8.4467385546525442E-2</v>
      </c>
      <c r="E36" s="512">
        <v>0.12288224100938813</v>
      </c>
      <c r="F36" s="512">
        <v>0.22148943024213846</v>
      </c>
      <c r="G36" s="513">
        <v>0.57391526097450285</v>
      </c>
      <c r="H36" s="513">
        <v>0.68123561080375894</v>
      </c>
      <c r="I36" s="512">
        <v>8.4698553376894636E-2</v>
      </c>
      <c r="J36" s="512">
        <v>0.32702488022790016</v>
      </c>
      <c r="K36" s="512">
        <v>6.5699999999999995E-2</v>
      </c>
      <c r="L36" s="512">
        <v>0.26551510426144387</v>
      </c>
      <c r="M36" s="512">
        <v>7.5254687355547689E-2</v>
      </c>
      <c r="N36" s="513">
        <v>1.7566913458225955</v>
      </c>
      <c r="O36" s="513">
        <v>1.3014172037859071</v>
      </c>
      <c r="P36" s="513">
        <v>10.759608452938423</v>
      </c>
      <c r="Q36" s="513">
        <v>15.155316867147562</v>
      </c>
      <c r="R36" s="513">
        <v>2.0450972747782026</v>
      </c>
      <c r="S36" s="513">
        <v>38.646736231744654</v>
      </c>
      <c r="T36" s="512">
        <v>0.10267806314266137</v>
      </c>
      <c r="U36" s="512">
        <v>4.3420696308912897E-2</v>
      </c>
      <c r="V36" s="512">
        <v>2.5182532696515107E-2</v>
      </c>
      <c r="W36" s="512">
        <v>0.38792610500439118</v>
      </c>
      <c r="X36" s="512">
        <v>0.11468592374483505</v>
      </c>
      <c r="Y36" s="512">
        <v>0.60222321521653199</v>
      </c>
      <c r="Z36" s="512">
        <v>0.60222321521653199</v>
      </c>
      <c r="AA36" s="514">
        <v>8.5037584901107119E-2</v>
      </c>
    </row>
    <row r="37" spans="1:27" s="112" customFormat="1">
      <c r="A37" s="125" t="s">
        <v>674</v>
      </c>
      <c r="B37" s="296">
        <v>188</v>
      </c>
      <c r="C37" s="512">
        <v>0.10498807407407403</v>
      </c>
      <c r="D37" s="512">
        <v>2.5910812651305338E-2</v>
      </c>
      <c r="E37" s="512">
        <v>0.11568187281193071</v>
      </c>
      <c r="F37" s="512">
        <v>0.2218641335934656</v>
      </c>
      <c r="G37" s="513">
        <v>0.44056581692882124</v>
      </c>
      <c r="H37" s="513">
        <v>0.59854811525370277</v>
      </c>
      <c r="I37" s="512">
        <v>7.9977097380986434E-2</v>
      </c>
      <c r="J37" s="512">
        <v>0.36762294661109274</v>
      </c>
      <c r="K37" s="512">
        <v>6.5699999999999995E-2</v>
      </c>
      <c r="L37" s="512">
        <v>0.36926625147402031</v>
      </c>
      <c r="M37" s="512">
        <v>6.8586475224731186E-2</v>
      </c>
      <c r="N37" s="513">
        <v>5.3925818068012097</v>
      </c>
      <c r="O37" s="513">
        <v>0.41608581368850289</v>
      </c>
      <c r="P37" s="513">
        <v>10.39348774075683</v>
      </c>
      <c r="Q37" s="513">
        <v>15.92968702038703</v>
      </c>
      <c r="R37" s="513">
        <v>2.05295409132877</v>
      </c>
      <c r="S37" s="513">
        <v>45.134850601511182</v>
      </c>
      <c r="T37" s="512">
        <v>6.547689620104731E-2</v>
      </c>
      <c r="U37" s="512">
        <v>1.1412606456288341E-2</v>
      </c>
      <c r="V37" s="512">
        <v>9.6968629450778429E-3</v>
      </c>
      <c r="W37" s="512">
        <v>0.92897573245163212</v>
      </c>
      <c r="X37" s="512">
        <v>0.11576016004286808</v>
      </c>
      <c r="Y37" s="512">
        <v>0.40988709749757013</v>
      </c>
      <c r="Z37" s="512">
        <v>0.40988709749757013</v>
      </c>
      <c r="AA37" s="514">
        <v>2.5783349498618283E-2</v>
      </c>
    </row>
    <row r="38" spans="1:27" s="112" customFormat="1">
      <c r="A38" s="125" t="s">
        <v>675</v>
      </c>
      <c r="B38" s="296">
        <v>380</v>
      </c>
      <c r="C38" s="512">
        <v>5.0241892857142777E-2</v>
      </c>
      <c r="D38" s="512">
        <v>7.3618827082154753E-2</v>
      </c>
      <c r="E38" s="512">
        <v>0.13806762745308379</v>
      </c>
      <c r="F38" s="512">
        <v>0.17581133155931547</v>
      </c>
      <c r="G38" s="513">
        <v>0.95133462764957899</v>
      </c>
      <c r="H38" s="513">
        <v>0.93610405178081413</v>
      </c>
      <c r="I38" s="512">
        <v>9.9251541356684486E-2</v>
      </c>
      <c r="J38" s="512">
        <v>0.35335197113155625</v>
      </c>
      <c r="K38" s="512">
        <v>6.5699999999999995E-2</v>
      </c>
      <c r="L38" s="512">
        <v>0.19864980056980275</v>
      </c>
      <c r="M38" s="512">
        <v>8.9294998540836251E-2</v>
      </c>
      <c r="N38" s="513">
        <v>2.5392050969848499</v>
      </c>
      <c r="O38" s="513">
        <v>1.0822094988657878</v>
      </c>
      <c r="P38" s="513">
        <v>10.231658597772654</v>
      </c>
      <c r="Q38" s="513">
        <v>14.106460925913412</v>
      </c>
      <c r="R38" s="513">
        <v>2.0734336899003707</v>
      </c>
      <c r="S38" s="513">
        <v>35.630919780927357</v>
      </c>
      <c r="T38" s="512">
        <v>3.1899069043746217E-2</v>
      </c>
      <c r="U38" s="512">
        <v>3.2181185797326518E-2</v>
      </c>
      <c r="V38" s="512">
        <v>1.5116134251715823E-2</v>
      </c>
      <c r="W38" s="512">
        <v>-0.22974118520506204</v>
      </c>
      <c r="X38" s="512">
        <v>0.13459586762813505</v>
      </c>
      <c r="Y38" s="512">
        <v>0.61746919865166838</v>
      </c>
      <c r="Z38" s="512">
        <v>0.61746919865166838</v>
      </c>
      <c r="AA38" s="514">
        <v>7.639137155405705E-2</v>
      </c>
    </row>
    <row r="39" spans="1:27" s="112" customFormat="1">
      <c r="A39" s="125" t="s">
        <v>676</v>
      </c>
      <c r="B39" s="296">
        <v>260</v>
      </c>
      <c r="C39" s="512">
        <v>0.12277534591194965</v>
      </c>
      <c r="D39" s="512">
        <v>0.30365434678921766</v>
      </c>
      <c r="E39" s="512">
        <v>6.2926485592334047E-2</v>
      </c>
      <c r="F39" s="512">
        <v>0.20300952271559281</v>
      </c>
      <c r="G39" s="513">
        <v>0.59631188584844141</v>
      </c>
      <c r="H39" s="513">
        <v>0.88597908202182851</v>
      </c>
      <c r="I39" s="512">
        <v>9.6389405583446414E-2</v>
      </c>
      <c r="J39" s="512">
        <v>0.38164888111143741</v>
      </c>
      <c r="K39" s="512">
        <v>6.5699999999999995E-2</v>
      </c>
      <c r="L39" s="512">
        <v>0.42171118317258166</v>
      </c>
      <c r="M39" s="512">
        <v>7.6459779725962573E-2</v>
      </c>
      <c r="N39" s="513">
        <v>0.23558645301830311</v>
      </c>
      <c r="O39" s="513">
        <v>6.9891317213058972</v>
      </c>
      <c r="P39" s="513">
        <v>13.697589576827577</v>
      </c>
      <c r="Q39" s="513">
        <v>22.890412127309926</v>
      </c>
      <c r="R39" s="513">
        <v>1.7709188169336842</v>
      </c>
      <c r="S39" s="513">
        <v>41.036665765995295</v>
      </c>
      <c r="T39" s="512">
        <v>9.6460085253778735E-2</v>
      </c>
      <c r="U39" s="512">
        <v>0.5113710987724096</v>
      </c>
      <c r="V39" s="512">
        <v>0.27548673955186526</v>
      </c>
      <c r="W39" s="512">
        <v>1.2755393760527536</v>
      </c>
      <c r="X39" s="512">
        <v>7.6889107525507205E-2</v>
      </c>
      <c r="Y39" s="512">
        <v>0.89466576172268941</v>
      </c>
      <c r="Z39" s="512">
        <v>0.89466576172268941</v>
      </c>
      <c r="AA39" s="514">
        <v>0.30278700002973258</v>
      </c>
    </row>
    <row r="40" spans="1:27" s="112" customFormat="1">
      <c r="A40" s="125" t="s">
        <v>677</v>
      </c>
      <c r="B40" s="296">
        <v>850</v>
      </c>
      <c r="C40" s="512">
        <v>0.13721645472061658</v>
      </c>
      <c r="D40" s="512">
        <v>0.13832356020472056</v>
      </c>
      <c r="E40" s="512">
        <v>0.1218233026244545</v>
      </c>
      <c r="F40" s="512">
        <v>0.17241350822608986</v>
      </c>
      <c r="G40" s="513">
        <v>1.0816981151098504</v>
      </c>
      <c r="H40" s="513">
        <v>1.1457756246639703</v>
      </c>
      <c r="I40" s="512">
        <v>0.11122378816831271</v>
      </c>
      <c r="J40" s="512">
        <v>0.49084979637043874</v>
      </c>
      <c r="K40" s="512">
        <v>6.8199999999999997E-2</v>
      </c>
      <c r="L40" s="512">
        <v>0.12459018106802841</v>
      </c>
      <c r="M40" s="512">
        <v>0.1037204905122128</v>
      </c>
      <c r="N40" s="513">
        <v>1.1765513584055438</v>
      </c>
      <c r="O40" s="513">
        <v>4.3888031059759482</v>
      </c>
      <c r="P40" s="513">
        <v>19.377323312465347</v>
      </c>
      <c r="Q40" s="513">
        <v>30.316856189334839</v>
      </c>
      <c r="R40" s="513">
        <v>3.521970817747559</v>
      </c>
      <c r="S40" s="513">
        <v>67.939546735528111</v>
      </c>
      <c r="T40" s="512">
        <v>0.27893792598004885</v>
      </c>
      <c r="U40" s="512">
        <v>5.4383620154039844E-2</v>
      </c>
      <c r="V40" s="512">
        <v>4.1649918596979522E-2</v>
      </c>
      <c r="W40" s="512">
        <v>0.53804819527745773</v>
      </c>
      <c r="X40" s="512">
        <v>7.8106320715503885E-2</v>
      </c>
      <c r="Y40" s="512">
        <v>0.51061568275909719</v>
      </c>
      <c r="Z40" s="512">
        <v>0.51061568275909719</v>
      </c>
      <c r="AA40" s="514">
        <v>0.14275881397717696</v>
      </c>
    </row>
    <row r="41" spans="1:27" s="112" customFormat="1">
      <c r="A41" s="125" t="s">
        <v>678</v>
      </c>
      <c r="B41" s="296">
        <v>480</v>
      </c>
      <c r="C41" s="512">
        <v>0.1349915570934257</v>
      </c>
      <c r="D41" s="512">
        <v>3.5089065418329506E-2</v>
      </c>
      <c r="E41" s="512">
        <v>0.23334053461573592</v>
      </c>
      <c r="F41" s="512">
        <v>0.23951022022842386</v>
      </c>
      <c r="G41" s="513">
        <v>0.73175950945889423</v>
      </c>
      <c r="H41" s="513">
        <v>0.86832079191349421</v>
      </c>
      <c r="I41" s="512">
        <v>9.5381117218260508E-2</v>
      </c>
      <c r="J41" s="512">
        <v>0.4113975379400226</v>
      </c>
      <c r="K41" s="512">
        <v>6.5699999999999995E-2</v>
      </c>
      <c r="L41" s="512">
        <v>0.27971874306131178</v>
      </c>
      <c r="M41" s="512">
        <v>8.2443941515409083E-2</v>
      </c>
      <c r="N41" s="513">
        <v>8.1724892824030597</v>
      </c>
      <c r="O41" s="513">
        <v>0.54856014455409829</v>
      </c>
      <c r="P41" s="513">
        <v>10.837305629682863</v>
      </c>
      <c r="Q41" s="513">
        <v>15.603649398440352</v>
      </c>
      <c r="R41" s="513">
        <v>2.3248576628802273</v>
      </c>
      <c r="S41" s="513">
        <v>73.034518345673746</v>
      </c>
      <c r="T41" s="512">
        <v>-3.4464194284608271E-2</v>
      </c>
      <c r="U41" s="512">
        <v>7.7418391054467758E-3</v>
      </c>
      <c r="V41" s="512">
        <v>7.1607832218305023E-3</v>
      </c>
      <c r="W41" s="512">
        <v>0.45876009446127347</v>
      </c>
      <c r="X41" s="512">
        <v>9.4227885466827546E-2</v>
      </c>
      <c r="Y41" s="512">
        <v>0.46555883737359283</v>
      </c>
      <c r="Z41" s="512">
        <v>0.46555883737359283</v>
      </c>
      <c r="AA41" s="514">
        <v>3.464149122791732E-2</v>
      </c>
    </row>
    <row r="42" spans="1:27" s="112" customFormat="1">
      <c r="A42" s="125" t="s">
        <v>679</v>
      </c>
      <c r="B42" s="296">
        <v>435</v>
      </c>
      <c r="C42" s="512">
        <v>0.13021968127490038</v>
      </c>
      <c r="D42" s="512">
        <v>0.12799840863570688</v>
      </c>
      <c r="E42" s="512">
        <v>0.11111500595339449</v>
      </c>
      <c r="F42" s="512">
        <v>0.17487821027373782</v>
      </c>
      <c r="G42" s="513">
        <v>1.1322537170643541</v>
      </c>
      <c r="H42" s="513">
        <v>1.2059921327413936</v>
      </c>
      <c r="I42" s="512">
        <v>0.11466215077953357</v>
      </c>
      <c r="J42" s="512">
        <v>0.52671259281059979</v>
      </c>
      <c r="K42" s="512">
        <v>6.8199999999999997E-2</v>
      </c>
      <c r="L42" s="512">
        <v>0.12344132624849466</v>
      </c>
      <c r="M42" s="512">
        <v>0.10680360551782325</v>
      </c>
      <c r="N42" s="513">
        <v>1.1152274195001748</v>
      </c>
      <c r="O42" s="513">
        <v>5.1178580455061047</v>
      </c>
      <c r="P42" s="513">
        <v>21.558804145590301</v>
      </c>
      <c r="Q42" s="513">
        <v>38.098256038023372</v>
      </c>
      <c r="R42" s="513">
        <v>3.6674533983982971</v>
      </c>
      <c r="S42" s="513">
        <v>146.24483142937692</v>
      </c>
      <c r="T42" s="512">
        <v>0.24428343343175751</v>
      </c>
      <c r="U42" s="512">
        <v>6.6635166623492378E-2</v>
      </c>
      <c r="V42" s="512">
        <v>6.446813924673489E-2</v>
      </c>
      <c r="W42" s="512">
        <v>0.58530094403736654</v>
      </c>
      <c r="X42" s="512">
        <v>4.3618944508061926E-2</v>
      </c>
      <c r="Y42" s="512">
        <v>0.33030864379188873</v>
      </c>
      <c r="Z42" s="512">
        <v>0.33030864379188873</v>
      </c>
      <c r="AA42" s="514">
        <v>0.12991518646922223</v>
      </c>
    </row>
    <row r="43" spans="1:27" s="112" customFormat="1">
      <c r="A43" s="125" t="s">
        <v>680</v>
      </c>
      <c r="B43" s="296">
        <v>165</v>
      </c>
      <c r="C43" s="512">
        <v>5.9902348484848517E-2</v>
      </c>
      <c r="D43" s="512">
        <v>0.12393975964590233</v>
      </c>
      <c r="E43" s="512">
        <v>0.1361031622471103</v>
      </c>
      <c r="F43" s="512">
        <v>0.23822705247367071</v>
      </c>
      <c r="G43" s="513">
        <v>0.94957586706950337</v>
      </c>
      <c r="H43" s="513">
        <v>1.0677356476037183</v>
      </c>
      <c r="I43" s="512">
        <v>0.10676770547817231</v>
      </c>
      <c r="J43" s="512">
        <v>0.3342135660466185</v>
      </c>
      <c r="K43" s="512">
        <v>6.5699999999999995E-2</v>
      </c>
      <c r="L43" s="512">
        <v>0.25804280316384937</v>
      </c>
      <c r="M43" s="512">
        <v>9.1894829088341831E-2</v>
      </c>
      <c r="N43" s="513">
        <v>1.4026520779873481</v>
      </c>
      <c r="O43" s="513">
        <v>1.1458028565386256</v>
      </c>
      <c r="P43" s="513">
        <v>8.3146553369124856</v>
      </c>
      <c r="Q43" s="513">
        <v>9.463226781099026</v>
      </c>
      <c r="R43" s="513">
        <v>1.4237005303027135</v>
      </c>
      <c r="S43" s="513">
        <v>17.251372536531051</v>
      </c>
      <c r="T43" s="512">
        <v>0.66268538665376053</v>
      </c>
      <c r="U43" s="512">
        <v>5.7896921689231098E-3</v>
      </c>
      <c r="V43" s="512">
        <v>5.4960746852593849E-3</v>
      </c>
      <c r="W43" s="512">
        <v>0.48593342951853447</v>
      </c>
      <c r="X43" s="512">
        <v>0.15264333224858359</v>
      </c>
      <c r="Y43" s="512">
        <v>0.17225114219829524</v>
      </c>
      <c r="Z43" s="512">
        <v>0.17225114219829529</v>
      </c>
      <c r="AA43" s="514">
        <v>0.11997238739126523</v>
      </c>
    </row>
    <row r="44" spans="1:27" s="112" customFormat="1">
      <c r="A44" s="125" t="s">
        <v>681</v>
      </c>
      <c r="B44" s="296">
        <v>245</v>
      </c>
      <c r="C44" s="512">
        <v>0.1010432515337423</v>
      </c>
      <c r="D44" s="512">
        <v>0.1130258173060321</v>
      </c>
      <c r="E44" s="512">
        <v>0.12874281292439879</v>
      </c>
      <c r="F44" s="512">
        <v>0.19476987168278334</v>
      </c>
      <c r="G44" s="513">
        <v>0.58809202065855837</v>
      </c>
      <c r="H44" s="513">
        <v>0.77367833349541271</v>
      </c>
      <c r="I44" s="512">
        <v>8.9977032842588067E-2</v>
      </c>
      <c r="J44" s="512">
        <v>0.34422329078677011</v>
      </c>
      <c r="K44" s="512">
        <v>6.5699999999999995E-2</v>
      </c>
      <c r="L44" s="512">
        <v>0.33381945480346914</v>
      </c>
      <c r="M44" s="512">
        <v>7.6341652165685128E-2</v>
      </c>
      <c r="N44" s="513">
        <v>1.4074174666695256</v>
      </c>
      <c r="O44" s="513">
        <v>1.9890356888551743</v>
      </c>
      <c r="P44" s="513">
        <v>11.947380885526506</v>
      </c>
      <c r="Q44" s="513">
        <v>17.878504321618458</v>
      </c>
      <c r="R44" s="513">
        <v>3.2272819963627066</v>
      </c>
      <c r="S44" s="513">
        <v>51.420464696355708</v>
      </c>
      <c r="T44" s="512">
        <v>5.3432249045919179E-2</v>
      </c>
      <c r="U44" s="512">
        <v>6.7695067401564363E-2</v>
      </c>
      <c r="V44" s="512">
        <v>3.6319820369769093E-2</v>
      </c>
      <c r="W44" s="512">
        <v>0.52320318385418174</v>
      </c>
      <c r="X44" s="512">
        <v>0.25378011944883411</v>
      </c>
      <c r="Y44" s="512">
        <v>0.33409824897174106</v>
      </c>
      <c r="Z44" s="512">
        <v>0.33409824897174101</v>
      </c>
      <c r="AA44" s="514">
        <v>0.11056840824888346</v>
      </c>
    </row>
    <row r="45" spans="1:27" s="112" customFormat="1">
      <c r="A45" s="125" t="s">
        <v>682</v>
      </c>
      <c r="B45" s="296">
        <v>660</v>
      </c>
      <c r="C45" s="512">
        <v>7.520172744721694E-2</v>
      </c>
      <c r="D45" s="512">
        <v>0.15571477839598694</v>
      </c>
      <c r="E45" s="512">
        <v>0.10909506308719386</v>
      </c>
      <c r="F45" s="512">
        <v>0.17470171860241521</v>
      </c>
      <c r="G45" s="513">
        <v>0.74231545449564618</v>
      </c>
      <c r="H45" s="513">
        <v>0.91305267791501576</v>
      </c>
      <c r="I45" s="512">
        <v>9.7935307908947389E-2</v>
      </c>
      <c r="J45" s="512">
        <v>0.37039743711619999</v>
      </c>
      <c r="K45" s="512">
        <v>6.5699999999999995E-2</v>
      </c>
      <c r="L45" s="512">
        <v>0.29801697871686506</v>
      </c>
      <c r="M45" s="512">
        <v>8.3390634588386775E-2</v>
      </c>
      <c r="N45" s="513">
        <v>0.92715962507186955</v>
      </c>
      <c r="O45" s="513">
        <v>3.3799125612463863</v>
      </c>
      <c r="P45" s="513">
        <v>14.079987190558994</v>
      </c>
      <c r="Q45" s="513">
        <v>23.518510056852431</v>
      </c>
      <c r="R45" s="513">
        <v>4.5164369945511291</v>
      </c>
      <c r="S45" s="513">
        <v>53.997068577157464</v>
      </c>
      <c r="T45" s="512">
        <v>-1.6755297209510932E-2</v>
      </c>
      <c r="U45" s="512">
        <v>6.716390170745104E-2</v>
      </c>
      <c r="V45" s="512">
        <v>1.1232514421773726E-2</v>
      </c>
      <c r="W45" s="512">
        <v>0.14794105203092242</v>
      </c>
      <c r="X45" s="512">
        <v>0.14828396167408225</v>
      </c>
      <c r="Y45" s="512">
        <v>0.30999423776035268</v>
      </c>
      <c r="Z45" s="512">
        <v>0.30999423776035262</v>
      </c>
      <c r="AA45" s="514">
        <v>0.1415379940292289</v>
      </c>
    </row>
    <row r="46" spans="1:27" s="112" customFormat="1">
      <c r="A46" s="125" t="s">
        <v>683</v>
      </c>
      <c r="B46" s="296">
        <v>554</v>
      </c>
      <c r="C46" s="512">
        <v>6.5729731903485258E-2</v>
      </c>
      <c r="D46" s="512">
        <v>0.16021742351863261</v>
      </c>
      <c r="E46" s="512">
        <v>0.22277651316453786</v>
      </c>
      <c r="F46" s="512">
        <v>0.24047782734097919</v>
      </c>
      <c r="G46" s="513">
        <v>0.82758451693980695</v>
      </c>
      <c r="H46" s="513">
        <v>0.87995434722373944</v>
      </c>
      <c r="I46" s="512">
        <v>9.6045393226475512E-2</v>
      </c>
      <c r="J46" s="512">
        <v>0.39284610486733684</v>
      </c>
      <c r="K46" s="512">
        <v>6.5699999999999995E-2</v>
      </c>
      <c r="L46" s="512">
        <v>0.1237449627466964</v>
      </c>
      <c r="M46" s="512">
        <v>9.0239906562101554E-2</v>
      </c>
      <c r="N46" s="513">
        <v>1.761434215021396</v>
      </c>
      <c r="O46" s="513">
        <v>3.0331969122898039</v>
      </c>
      <c r="P46" s="513">
        <v>15.31120597913071</v>
      </c>
      <c r="Q46" s="513">
        <v>18.692511149399856</v>
      </c>
      <c r="R46" s="513">
        <v>4.6956404535505332</v>
      </c>
      <c r="S46" s="513">
        <v>67.363778705672388</v>
      </c>
      <c r="T46" s="512">
        <v>5.8834030995191605E-2</v>
      </c>
      <c r="U46" s="512">
        <v>3.4708927475133676E-2</v>
      </c>
      <c r="V46" s="512">
        <v>2.4621545246325278E-2</v>
      </c>
      <c r="W46" s="512">
        <v>0.23145141603777733</v>
      </c>
      <c r="X46" s="512">
        <v>0.17827338579111895</v>
      </c>
      <c r="Y46" s="512">
        <v>0.70123488680260115</v>
      </c>
      <c r="Z46" s="512">
        <v>0.70123488680260115</v>
      </c>
      <c r="AA46" s="514">
        <v>0.16119326947087548</v>
      </c>
    </row>
    <row r="47" spans="1:27" s="112" customFormat="1">
      <c r="A47" s="125" t="s">
        <v>684</v>
      </c>
      <c r="B47" s="296">
        <v>85</v>
      </c>
      <c r="C47" s="512">
        <v>6.6317368421052625E-2</v>
      </c>
      <c r="D47" s="512">
        <v>0.1104412456289791</v>
      </c>
      <c r="E47" s="512">
        <v>0.21256133010877326</v>
      </c>
      <c r="F47" s="512">
        <v>0.23667823985110378</v>
      </c>
      <c r="G47" s="513">
        <v>0.94618581496744769</v>
      </c>
      <c r="H47" s="513">
        <v>1.1245610499517515</v>
      </c>
      <c r="I47" s="512">
        <v>0.11001243595224502</v>
      </c>
      <c r="J47" s="512">
        <v>0.41228863867953691</v>
      </c>
      <c r="K47" s="512">
        <v>6.5699999999999995E-2</v>
      </c>
      <c r="L47" s="512">
        <v>0.25438748341972206</v>
      </c>
      <c r="M47" s="512">
        <v>9.4524823304133379E-2</v>
      </c>
      <c r="N47" s="513">
        <v>2.5968899920630952</v>
      </c>
      <c r="O47" s="513">
        <v>1.9465266072689704</v>
      </c>
      <c r="P47" s="513">
        <v>11.286514405100725</v>
      </c>
      <c r="Q47" s="513">
        <v>16.835615265579136</v>
      </c>
      <c r="R47" s="513">
        <v>3.1330702066977385</v>
      </c>
      <c r="S47" s="513">
        <v>47.863780258628985</v>
      </c>
      <c r="T47" s="512">
        <v>0.16890946785103858</v>
      </c>
      <c r="U47" s="512">
        <v>2.0278829661343024E-2</v>
      </c>
      <c r="V47" s="512">
        <v>4.5093737120037503E-2</v>
      </c>
      <c r="W47" s="512">
        <v>0.60152156370152698</v>
      </c>
      <c r="X47" s="512">
        <v>0.13730676677374132</v>
      </c>
      <c r="Y47" s="512">
        <v>0.37477605380667883</v>
      </c>
      <c r="Z47" s="512">
        <v>0.37477605380667889</v>
      </c>
      <c r="AA47" s="514">
        <v>0.11434607310740295</v>
      </c>
    </row>
    <row r="48" spans="1:27" s="112" customFormat="1">
      <c r="A48" s="125" t="s">
        <v>685</v>
      </c>
      <c r="B48" s="296">
        <v>199</v>
      </c>
      <c r="C48" s="512">
        <v>0.10226335403726711</v>
      </c>
      <c r="D48" s="512">
        <v>0.14502498633664851</v>
      </c>
      <c r="E48" s="512">
        <v>0.22284268214086758</v>
      </c>
      <c r="F48" s="512">
        <v>0.21263286343715071</v>
      </c>
      <c r="G48" s="513">
        <v>0.53391351966848943</v>
      </c>
      <c r="H48" s="513">
        <v>0.57451200187217744</v>
      </c>
      <c r="I48" s="512">
        <v>7.860463530690133E-2</v>
      </c>
      <c r="J48" s="512">
        <v>0.30078474160730762</v>
      </c>
      <c r="K48" s="512">
        <v>6.5699999999999995E-2</v>
      </c>
      <c r="L48" s="512">
        <v>0.23821384546215085</v>
      </c>
      <c r="M48" s="512">
        <v>7.1583478665218789E-2</v>
      </c>
      <c r="N48" s="513">
        <v>1.8452373630409193</v>
      </c>
      <c r="O48" s="513">
        <v>1.3098108224415517</v>
      </c>
      <c r="P48" s="513">
        <v>7.7615397103578427</v>
      </c>
      <c r="Q48" s="513">
        <v>7.9372116939490747</v>
      </c>
      <c r="R48" s="513">
        <v>1.8832308583242523</v>
      </c>
      <c r="S48" s="513">
        <v>23.78237417655259</v>
      </c>
      <c r="T48" s="512">
        <v>0.11397206981003143</v>
      </c>
      <c r="U48" s="512">
        <v>7.3332162322568414E-3</v>
      </c>
      <c r="V48" s="512">
        <v>2.2188751726752758E-2</v>
      </c>
      <c r="W48" s="512">
        <v>4.9583279170288701E-2</v>
      </c>
      <c r="X48" s="512">
        <v>0.14580483534717362</v>
      </c>
      <c r="Y48" s="512">
        <v>0.451685279800353</v>
      </c>
      <c r="Z48" s="512">
        <v>0.451685279800353</v>
      </c>
      <c r="AA48" s="514">
        <v>0.14517319228042763</v>
      </c>
    </row>
    <row r="49" spans="1:27" s="112" customFormat="1">
      <c r="A49" s="125" t="s">
        <v>686</v>
      </c>
      <c r="B49" s="296">
        <v>137</v>
      </c>
      <c r="C49" s="512">
        <v>6.7765833333333345E-2</v>
      </c>
      <c r="D49" s="512">
        <v>0.13239068925968889</v>
      </c>
      <c r="E49" s="512">
        <v>0.11188409574679048</v>
      </c>
      <c r="F49" s="512">
        <v>0.17516897912997553</v>
      </c>
      <c r="G49" s="513">
        <v>0.83666484331650837</v>
      </c>
      <c r="H49" s="513">
        <v>0.94159894483721496</v>
      </c>
      <c r="I49" s="512">
        <v>9.9565299750204977E-2</v>
      </c>
      <c r="J49" s="512">
        <v>0.291910176346379</v>
      </c>
      <c r="K49" s="512">
        <v>6.1199999999999997E-2</v>
      </c>
      <c r="L49" s="512">
        <v>0.49640506386260391</v>
      </c>
      <c r="M49" s="512">
        <v>7.285873722270024E-2</v>
      </c>
      <c r="N49" s="513">
        <v>1.0049548349312696</v>
      </c>
      <c r="O49" s="513">
        <v>1.1648377995828094</v>
      </c>
      <c r="P49" s="513">
        <v>7.87577449768657</v>
      </c>
      <c r="Q49" s="513">
        <v>8.210704074127591</v>
      </c>
      <c r="R49" s="513">
        <v>1.1391819987430885</v>
      </c>
      <c r="S49" s="513">
        <v>54.920685356257813</v>
      </c>
      <c r="T49" s="512">
        <v>-1.0013505509374121</v>
      </c>
      <c r="U49" s="512">
        <v>6.3609571022236154E-3</v>
      </c>
      <c r="V49" s="512">
        <v>7.8017723425885897E-3</v>
      </c>
      <c r="W49" s="512">
        <v>-5.6726772918359231E-2</v>
      </c>
      <c r="X49" s="512">
        <v>0.12029518289031958</v>
      </c>
      <c r="Y49" s="512">
        <v>0.40808777594839868</v>
      </c>
      <c r="Z49" s="512">
        <v>0.40808777594839873</v>
      </c>
      <c r="AA49" s="514">
        <v>0.13250955227861244</v>
      </c>
    </row>
    <row r="50" spans="1:27" s="112" customFormat="1">
      <c r="A50" s="125" t="s">
        <v>687</v>
      </c>
      <c r="B50" s="296">
        <v>240</v>
      </c>
      <c r="C50" s="512">
        <v>0.11804827411167505</v>
      </c>
      <c r="D50" s="512">
        <v>0.14728006877704281</v>
      </c>
      <c r="E50" s="512">
        <v>0.20496800449489791</v>
      </c>
      <c r="F50" s="512">
        <v>0.1757133229465237</v>
      </c>
      <c r="G50" s="513">
        <v>0.47753753007082456</v>
      </c>
      <c r="H50" s="513">
        <v>0.49854866099290202</v>
      </c>
      <c r="I50" s="512">
        <v>7.426712854269471E-2</v>
      </c>
      <c r="J50" s="512">
        <v>0.29601677327192982</v>
      </c>
      <c r="K50" s="512">
        <v>6.1199999999999997E-2</v>
      </c>
      <c r="L50" s="512">
        <v>0.14412767676679425</v>
      </c>
      <c r="M50" s="512">
        <v>7.0159234858891223E-2</v>
      </c>
      <c r="N50" s="513">
        <v>1.6841376149261809</v>
      </c>
      <c r="O50" s="513">
        <v>1.2631238543860641</v>
      </c>
      <c r="P50" s="513">
        <v>7.966622953668649</v>
      </c>
      <c r="Q50" s="513">
        <v>8.5317884833395699</v>
      </c>
      <c r="R50" s="513">
        <v>1.7020450530710609</v>
      </c>
      <c r="S50" s="513">
        <v>17.683477325569502</v>
      </c>
      <c r="T50" s="512">
        <v>-0.2753750414904087</v>
      </c>
      <c r="U50" s="512">
        <v>6.9888741409074619E-3</v>
      </c>
      <c r="V50" s="512">
        <v>2.2022869312401535E-3</v>
      </c>
      <c r="W50" s="512">
        <v>1.7433284377891239E-2</v>
      </c>
      <c r="X50" s="512">
        <v>0.1998132179259425</v>
      </c>
      <c r="Y50" s="512">
        <v>0.22294196711072889</v>
      </c>
      <c r="Z50" s="512">
        <v>0.22294196711072889</v>
      </c>
      <c r="AA50" s="514">
        <v>0.14756512604875174</v>
      </c>
    </row>
    <row r="51" spans="1:27" s="112" customFormat="1">
      <c r="A51" s="125" t="s">
        <v>688</v>
      </c>
      <c r="B51" s="296">
        <v>1291</v>
      </c>
      <c r="C51" s="512">
        <v>0.14752180357142863</v>
      </c>
      <c r="D51" s="512">
        <v>0.187998113367846</v>
      </c>
      <c r="E51" s="512">
        <v>6.2863427604451072E-2</v>
      </c>
      <c r="F51" s="512">
        <v>0.1683613810326697</v>
      </c>
      <c r="G51" s="513">
        <v>0.5751603220865722</v>
      </c>
      <c r="H51" s="513">
        <v>0.76702681119427663</v>
      </c>
      <c r="I51" s="512">
        <v>8.9597230919193194E-2</v>
      </c>
      <c r="J51" s="512">
        <v>0.37580311665485761</v>
      </c>
      <c r="K51" s="512">
        <v>6.5699999999999995E-2</v>
      </c>
      <c r="L51" s="512">
        <v>0.38145630617884313</v>
      </c>
      <c r="M51" s="512">
        <v>7.4160925961372332E-2</v>
      </c>
      <c r="N51" s="513">
        <v>0.36621452823011791</v>
      </c>
      <c r="O51" s="513">
        <v>5.1390496197574</v>
      </c>
      <c r="P51" s="513">
        <v>19.776535857034077</v>
      </c>
      <c r="Q51" s="513">
        <v>21.922168532184187</v>
      </c>
      <c r="R51" s="513">
        <v>1.6370771000274509</v>
      </c>
      <c r="S51" s="513">
        <v>46.242031629286892</v>
      </c>
      <c r="T51" s="512" t="s">
        <v>80</v>
      </c>
      <c r="U51" s="512">
        <v>4.0419357934407221E-2</v>
      </c>
      <c r="V51" s="512">
        <v>4.7434479811513962E-2</v>
      </c>
      <c r="W51" s="512">
        <v>0.38395888903852277</v>
      </c>
      <c r="X51" s="512">
        <v>0.10266771326817513</v>
      </c>
      <c r="Y51" s="512">
        <v>0.53433366848776886</v>
      </c>
      <c r="Z51" s="512">
        <v>0.53433366848776886</v>
      </c>
      <c r="AA51" s="514">
        <v>0.18660042820908357</v>
      </c>
    </row>
    <row r="52" spans="1:27" s="112" customFormat="1">
      <c r="A52" s="125" t="s">
        <v>689</v>
      </c>
      <c r="B52" s="296">
        <v>1548</v>
      </c>
      <c r="C52" s="512">
        <v>6.5576247833622189E-2</v>
      </c>
      <c r="D52" s="512">
        <v>0.10246595144206258</v>
      </c>
      <c r="E52" s="512">
        <v>0.1287927559074887</v>
      </c>
      <c r="F52" s="512">
        <v>0.21773331936373322</v>
      </c>
      <c r="G52" s="513">
        <v>1.1230406760043468</v>
      </c>
      <c r="H52" s="513">
        <v>1.1576883260119293</v>
      </c>
      <c r="I52" s="512">
        <v>0.11190400341528117</v>
      </c>
      <c r="J52" s="512">
        <v>0.37357026284951733</v>
      </c>
      <c r="K52" s="512">
        <v>6.5699999999999995E-2</v>
      </c>
      <c r="L52" s="512">
        <v>0.13500058346634231</v>
      </c>
      <c r="M52" s="512">
        <v>0.10342953842796844</v>
      </c>
      <c r="N52" s="513">
        <v>1.6428307320616382</v>
      </c>
      <c r="O52" s="513">
        <v>2.0885541427672822</v>
      </c>
      <c r="P52" s="513">
        <v>13.952773356683227</v>
      </c>
      <c r="Q52" s="513">
        <v>19.45620670699655</v>
      </c>
      <c r="R52" s="513">
        <v>2.7643975780752923</v>
      </c>
      <c r="S52" s="513">
        <v>79.078821709442309</v>
      </c>
      <c r="T52" s="512">
        <v>0.2859034765943716</v>
      </c>
      <c r="U52" s="512">
        <v>4.1186579049869033E-2</v>
      </c>
      <c r="V52" s="512">
        <v>3.932809856546194E-2</v>
      </c>
      <c r="W52" s="512">
        <v>0.65716452959140015</v>
      </c>
      <c r="X52" s="512">
        <v>0.11487605886746285</v>
      </c>
      <c r="Y52" s="512">
        <v>0.44634026397491028</v>
      </c>
      <c r="Z52" s="512">
        <v>0.44634026397491033</v>
      </c>
      <c r="AA52" s="514">
        <v>0.10466244081141049</v>
      </c>
    </row>
    <row r="53" spans="1:27" s="112" customFormat="1">
      <c r="A53" s="125" t="s">
        <v>622</v>
      </c>
      <c r="B53" s="296">
        <v>1832</v>
      </c>
      <c r="C53" s="512">
        <v>0.22555768442622956</v>
      </c>
      <c r="D53" s="512">
        <v>0.1094090172100248</v>
      </c>
      <c r="E53" s="512">
        <v>0.15028461661979697</v>
      </c>
      <c r="F53" s="512">
        <v>0.30618328833655339</v>
      </c>
      <c r="G53" s="513">
        <v>1.0067152939696256</v>
      </c>
      <c r="H53" s="513">
        <v>1.1212472099030004</v>
      </c>
      <c r="I53" s="512">
        <v>0.10982321568546133</v>
      </c>
      <c r="J53" s="512">
        <v>0.69554926408399675</v>
      </c>
      <c r="K53" s="512">
        <v>7.4499999999999997E-2</v>
      </c>
      <c r="L53" s="512">
        <v>0.23391739719832377</v>
      </c>
      <c r="M53" s="512">
        <v>9.7165450427423625E-2</v>
      </c>
      <c r="N53" s="513">
        <v>1.451332582140876</v>
      </c>
      <c r="O53" s="513">
        <v>1.2222894523844456</v>
      </c>
      <c r="P53" s="513">
        <v>7.0211688298292181</v>
      </c>
      <c r="Q53" s="513">
        <v>10.577326797748654</v>
      </c>
      <c r="R53" s="513">
        <v>1.6658670310855495</v>
      </c>
      <c r="S53" s="513">
        <v>64.704007747124834</v>
      </c>
      <c r="T53" s="512">
        <v>0.12476590159998122</v>
      </c>
      <c r="U53" s="512">
        <v>8.3569178365828528E-2</v>
      </c>
      <c r="V53" s="512">
        <v>4.7809900225116629E-2</v>
      </c>
      <c r="W53" s="512">
        <v>0.71295511411300638</v>
      </c>
      <c r="X53" s="512">
        <v>8.6061057564051247E-2</v>
      </c>
      <c r="Y53" s="512">
        <v>0.79645908215129202</v>
      </c>
      <c r="Z53" s="512">
        <v>0.79645908215129202</v>
      </c>
      <c r="AA53" s="514">
        <v>0.11009706683729671</v>
      </c>
    </row>
    <row r="54" spans="1:27" s="112" customFormat="1">
      <c r="A54" s="125" t="s">
        <v>690</v>
      </c>
      <c r="B54" s="296">
        <v>140</v>
      </c>
      <c r="C54" s="512">
        <v>5.0200416666666664E-2</v>
      </c>
      <c r="D54" s="512">
        <v>7.3582063238203793E-2</v>
      </c>
      <c r="E54" s="512">
        <v>0.12805012241363092</v>
      </c>
      <c r="F54" s="512">
        <v>0.23349150983357081</v>
      </c>
      <c r="G54" s="513">
        <v>0.72673248540203206</v>
      </c>
      <c r="H54" s="513">
        <v>0.76010840945964098</v>
      </c>
      <c r="I54" s="512">
        <v>8.9202190180145496E-2</v>
      </c>
      <c r="J54" s="512">
        <v>0.35550865977630808</v>
      </c>
      <c r="K54" s="512">
        <v>6.5699999999999995E-2</v>
      </c>
      <c r="L54" s="512">
        <v>0.21923460408682288</v>
      </c>
      <c r="M54" s="512">
        <v>8.0417080279027303E-2</v>
      </c>
      <c r="N54" s="513">
        <v>2.1812277740154595</v>
      </c>
      <c r="O54" s="513">
        <v>1.0044524807823128</v>
      </c>
      <c r="P54" s="513">
        <v>8.8270849557783233</v>
      </c>
      <c r="Q54" s="513">
        <v>13.169039986290381</v>
      </c>
      <c r="R54" s="513">
        <v>1.8026558924622069</v>
      </c>
      <c r="S54" s="513">
        <v>133.87204494827162</v>
      </c>
      <c r="T54" s="512">
        <v>0.13156634716952909</v>
      </c>
      <c r="U54" s="512">
        <v>2.6356483004655675E-2</v>
      </c>
      <c r="V54" s="512">
        <v>7.2583319753580164E-3</v>
      </c>
      <c r="W54" s="512">
        <v>4.364067057892862E-2</v>
      </c>
      <c r="X54" s="512">
        <v>8.1991966017553708E-2</v>
      </c>
      <c r="Y54" s="512">
        <v>0.60150665369214262</v>
      </c>
      <c r="Z54" s="512">
        <v>0.60150665369214262</v>
      </c>
      <c r="AA54" s="514">
        <v>7.5575132669539122E-2</v>
      </c>
    </row>
    <row r="55" spans="1:27" s="112" customFormat="1">
      <c r="A55" s="125" t="s">
        <v>691</v>
      </c>
      <c r="B55" s="296">
        <v>36</v>
      </c>
      <c r="C55" s="512">
        <v>7.216314285714287E-2</v>
      </c>
      <c r="D55" s="512">
        <v>0.14913790374495575</v>
      </c>
      <c r="E55" s="512">
        <v>0.16942432319584688</v>
      </c>
      <c r="F55" s="512">
        <v>0.42409460137349425</v>
      </c>
      <c r="G55" s="513">
        <v>0.87051190476478035</v>
      </c>
      <c r="H55" s="513">
        <v>0.9316777107029921</v>
      </c>
      <c r="I55" s="512">
        <v>9.8998797281140846E-2</v>
      </c>
      <c r="J55" s="512">
        <v>0.30370601991749058</v>
      </c>
      <c r="K55" s="512">
        <v>6.5699999999999995E-2</v>
      </c>
      <c r="L55" s="512">
        <v>0.1671788898395993</v>
      </c>
      <c r="M55" s="512">
        <v>9.0661864016333013E-2</v>
      </c>
      <c r="N55" s="513">
        <v>1.5340470392934398</v>
      </c>
      <c r="O55" s="513">
        <v>1.232030082877976</v>
      </c>
      <c r="P55" s="513">
        <v>5.7550248832166426</v>
      </c>
      <c r="Q55" s="513">
        <v>8.2293208286654469</v>
      </c>
      <c r="R55" s="513">
        <v>1.7561517688182717</v>
      </c>
      <c r="S55" s="513">
        <v>11.847866338187274</v>
      </c>
      <c r="T55" s="512">
        <v>2.3309151996768189E-2</v>
      </c>
      <c r="U55" s="512">
        <v>8.2820856409154833E-2</v>
      </c>
      <c r="V55" s="512">
        <v>1.5681400322980307E-2</v>
      </c>
      <c r="W55" s="512">
        <v>9.8175070091666608E-2</v>
      </c>
      <c r="X55" s="512">
        <v>0.14992924499222218</v>
      </c>
      <c r="Y55" s="512">
        <v>0.78217316824523664</v>
      </c>
      <c r="Z55" s="512">
        <v>0.78217316824523664</v>
      </c>
      <c r="AA55" s="514">
        <v>0.14986110374459949</v>
      </c>
    </row>
    <row r="56" spans="1:27" s="112" customFormat="1">
      <c r="A56" s="125" t="s">
        <v>623</v>
      </c>
      <c r="B56" s="296">
        <v>548</v>
      </c>
      <c r="C56" s="512">
        <v>0.15812938709677413</v>
      </c>
      <c r="D56" s="512">
        <v>0.31594019100097365</v>
      </c>
      <c r="E56" s="512">
        <v>0.18249955677562199</v>
      </c>
      <c r="F56" s="512">
        <v>0.32747213138447279</v>
      </c>
      <c r="G56" s="513">
        <v>0.89387196288306059</v>
      </c>
      <c r="H56" s="513">
        <v>1.0156805607417236</v>
      </c>
      <c r="I56" s="512">
        <v>0.10379536001835242</v>
      </c>
      <c r="J56" s="512">
        <v>0.50379767727481561</v>
      </c>
      <c r="K56" s="512">
        <v>6.8199999999999997E-2</v>
      </c>
      <c r="L56" s="512">
        <v>0.22437288709513967</v>
      </c>
      <c r="M56" s="512">
        <v>9.1949503690891901E-2</v>
      </c>
      <c r="N56" s="513">
        <v>0.6400592252236873</v>
      </c>
      <c r="O56" s="513">
        <v>2.5494331061581561</v>
      </c>
      <c r="P56" s="513">
        <v>4.5585159475016965</v>
      </c>
      <c r="Q56" s="513">
        <v>7.8694358105821278</v>
      </c>
      <c r="R56" s="513">
        <v>1.4319196086027774</v>
      </c>
      <c r="S56" s="513">
        <v>17.962340113955602</v>
      </c>
      <c r="T56" s="512">
        <v>5.9598585242162704E-3</v>
      </c>
      <c r="U56" s="512">
        <v>0.31442503101585412</v>
      </c>
      <c r="V56" s="512">
        <v>0.1443228919197149</v>
      </c>
      <c r="W56" s="512">
        <v>0.59162933601576284</v>
      </c>
      <c r="X56" s="512">
        <v>0.15066651084632068</v>
      </c>
      <c r="Y56" s="512">
        <v>0.44928168898043747</v>
      </c>
      <c r="Z56" s="512">
        <v>0.44928168898043741</v>
      </c>
      <c r="AA56" s="514">
        <v>0.31855474196185918</v>
      </c>
    </row>
    <row r="57" spans="1:27" s="112" customFormat="1">
      <c r="A57" s="125" t="s">
        <v>692</v>
      </c>
      <c r="B57" s="296">
        <v>179</v>
      </c>
      <c r="C57" s="512">
        <v>9.0194104477611919E-2</v>
      </c>
      <c r="D57" s="512">
        <v>0.17409116789879855</v>
      </c>
      <c r="E57" s="512">
        <v>0.10213474768823065</v>
      </c>
      <c r="F57" s="512">
        <v>0.16519016799620251</v>
      </c>
      <c r="G57" s="513">
        <v>0.47137829737850173</v>
      </c>
      <c r="H57" s="513">
        <v>0.67213343237645196</v>
      </c>
      <c r="I57" s="512">
        <v>8.4178818988695406E-2</v>
      </c>
      <c r="J57" s="512">
        <v>0.31500689454079139</v>
      </c>
      <c r="K57" s="512">
        <v>6.5699999999999995E-2</v>
      </c>
      <c r="L57" s="512">
        <v>0.38697010564897161</v>
      </c>
      <c r="M57" s="512">
        <v>7.0616151808016864E-2</v>
      </c>
      <c r="N57" s="513">
        <v>0.66470142983201175</v>
      </c>
      <c r="O57" s="513">
        <v>2.9100056336869229</v>
      </c>
      <c r="P57" s="513">
        <v>11.347357731814801</v>
      </c>
      <c r="Q57" s="513">
        <v>16.22649339563943</v>
      </c>
      <c r="R57" s="513">
        <v>2.038517779472103</v>
      </c>
      <c r="S57" s="513">
        <v>24.232799172879478</v>
      </c>
      <c r="T57" s="512">
        <v>6.5329282377489972E-2</v>
      </c>
      <c r="U57" s="512">
        <v>0.14358433840334278</v>
      </c>
      <c r="V57" s="512">
        <v>0.1240093479658206</v>
      </c>
      <c r="W57" s="512">
        <v>0.83980367537669875</v>
      </c>
      <c r="X57" s="512">
        <v>0.16128448737467838</v>
      </c>
      <c r="Y57" s="512">
        <v>0.69747698597032337</v>
      </c>
      <c r="Z57" s="512">
        <v>0.69747698597032337</v>
      </c>
      <c r="AA57" s="514">
        <v>0.17536332519693851</v>
      </c>
    </row>
    <row r="58" spans="1:27" s="112" customFormat="1">
      <c r="A58" s="125" t="s">
        <v>693</v>
      </c>
      <c r="B58" s="296">
        <v>437</v>
      </c>
      <c r="C58" s="512">
        <v>7.4979648093841653E-2</v>
      </c>
      <c r="D58" s="512">
        <v>4.8700398828817389E-2</v>
      </c>
      <c r="E58" s="512">
        <v>0.10190717522939738</v>
      </c>
      <c r="F58" s="512">
        <v>0.23041430225670032</v>
      </c>
      <c r="G58" s="513">
        <v>0.76914615084633831</v>
      </c>
      <c r="H58" s="513">
        <v>0.95299983986783698</v>
      </c>
      <c r="I58" s="512">
        <v>0.10021629085645349</v>
      </c>
      <c r="J58" s="512">
        <v>0.40800244927459106</v>
      </c>
      <c r="K58" s="512">
        <v>6.5699999999999995E-2</v>
      </c>
      <c r="L58" s="512">
        <v>0.3223037966730864</v>
      </c>
      <c r="M58" s="512">
        <v>8.3751133615219422E-2</v>
      </c>
      <c r="N58" s="513">
        <v>2.4092616300678835</v>
      </c>
      <c r="O58" s="513">
        <v>0.60960485962386535</v>
      </c>
      <c r="P58" s="513">
        <v>7.5802355183581627</v>
      </c>
      <c r="Q58" s="513">
        <v>12.034566811785607</v>
      </c>
      <c r="R58" s="513">
        <v>1.301592544900414</v>
      </c>
      <c r="S58" s="513">
        <v>38.633843482565432</v>
      </c>
      <c r="T58" s="512">
        <v>6.2711256881102295E-2</v>
      </c>
      <c r="U58" s="512">
        <v>4.1870931609964766E-2</v>
      </c>
      <c r="V58" s="512">
        <v>2.2181706438933448E-2</v>
      </c>
      <c r="W58" s="512">
        <v>0.43719646591703759</v>
      </c>
      <c r="X58" s="512">
        <v>9.6284313348654116E-2</v>
      </c>
      <c r="Y58" s="512">
        <v>0.51220459292545295</v>
      </c>
      <c r="Z58" s="512">
        <v>0.51220459292545295</v>
      </c>
      <c r="AA58" s="514">
        <v>4.9703678052126221E-2</v>
      </c>
    </row>
    <row r="59" spans="1:27" s="112" customFormat="1">
      <c r="A59" s="125" t="s">
        <v>694</v>
      </c>
      <c r="B59" s="296">
        <v>438</v>
      </c>
      <c r="C59" s="512">
        <v>5.4073194029850731E-2</v>
      </c>
      <c r="D59" s="512">
        <v>8.2364517535187975E-2</v>
      </c>
      <c r="E59" s="512">
        <v>0.10687018671898328</v>
      </c>
      <c r="F59" s="512">
        <v>0.22615723883544117</v>
      </c>
      <c r="G59" s="513">
        <v>0.61110625598482426</v>
      </c>
      <c r="H59" s="513">
        <v>0.77880183257517388</v>
      </c>
      <c r="I59" s="512">
        <v>9.0269584640042422E-2</v>
      </c>
      <c r="J59" s="512">
        <v>0.33083795313025388</v>
      </c>
      <c r="K59" s="512">
        <v>6.5699999999999995E-2</v>
      </c>
      <c r="L59" s="512">
        <v>0.32394015773860135</v>
      </c>
      <c r="M59" s="512">
        <v>7.6942970114919101E-2</v>
      </c>
      <c r="N59" s="513">
        <v>1.5613159703303021</v>
      </c>
      <c r="O59" s="513">
        <v>1.4527002195861074</v>
      </c>
      <c r="P59" s="513">
        <v>10.066296705708428</v>
      </c>
      <c r="Q59" s="513">
        <v>17.200550439305598</v>
      </c>
      <c r="R59" s="513">
        <v>1.9039652615763276</v>
      </c>
      <c r="S59" s="513">
        <v>368.70254755029885</v>
      </c>
      <c r="T59" s="512">
        <v>0.15444680287895513</v>
      </c>
      <c r="U59" s="512">
        <v>6.3285563539990555E-2</v>
      </c>
      <c r="V59" s="512">
        <v>2.9401525254814469E-2</v>
      </c>
      <c r="W59" s="512">
        <v>0.39229166744482608</v>
      </c>
      <c r="X59" s="512">
        <v>0.11623958944351027</v>
      </c>
      <c r="Y59" s="512">
        <v>0.50699856891135331</v>
      </c>
      <c r="Z59" s="512">
        <v>0.50699856891135331</v>
      </c>
      <c r="AA59" s="514">
        <v>8.3691566873251008E-2</v>
      </c>
    </row>
    <row r="60" spans="1:27" s="112" customFormat="1">
      <c r="A60" s="125" t="s">
        <v>695</v>
      </c>
      <c r="B60" s="296">
        <v>269</v>
      </c>
      <c r="C60" s="512">
        <v>3.1712136363636373E-2</v>
      </c>
      <c r="D60" s="512">
        <v>6.9877995392099324E-2</v>
      </c>
      <c r="E60" s="512">
        <v>5.2728666855588621E-2</v>
      </c>
      <c r="F60" s="512">
        <v>0.20538045297098367</v>
      </c>
      <c r="G60" s="513">
        <v>0.58691701866931811</v>
      </c>
      <c r="H60" s="513">
        <v>0.86640849131078868</v>
      </c>
      <c r="I60" s="512">
        <v>9.5271924853846029E-2</v>
      </c>
      <c r="J60" s="512">
        <v>0.34316383153762042</v>
      </c>
      <c r="K60" s="512">
        <v>6.5699999999999995E-2</v>
      </c>
      <c r="L60" s="512">
        <v>0.45102299551231512</v>
      </c>
      <c r="M60" s="512">
        <v>7.4461063158138191E-2</v>
      </c>
      <c r="N60" s="513">
        <v>0.87332834126115777</v>
      </c>
      <c r="O60" s="513">
        <v>1.2574426720984482</v>
      </c>
      <c r="P60" s="513">
        <v>9.3905072816298123</v>
      </c>
      <c r="Q60" s="513">
        <v>17.422383534388768</v>
      </c>
      <c r="R60" s="513">
        <v>0.83913400445088748</v>
      </c>
      <c r="S60" s="513">
        <v>564.66420501498817</v>
      </c>
      <c r="T60" s="512">
        <v>0.23127248565986247</v>
      </c>
      <c r="U60" s="512">
        <v>0.100163451218125</v>
      </c>
      <c r="V60" s="512">
        <v>6.4560554364979955E-2</v>
      </c>
      <c r="W60" s="512">
        <v>1.1950005445747607</v>
      </c>
      <c r="X60" s="512">
        <v>3.8734812012047773E-2</v>
      </c>
      <c r="Y60" s="512">
        <v>0.89287246485083549</v>
      </c>
      <c r="Z60" s="512">
        <v>0.89287246485083549</v>
      </c>
      <c r="AA60" s="514">
        <v>7.0743213812741887E-2</v>
      </c>
    </row>
    <row r="61" spans="1:27" s="112" customFormat="1">
      <c r="A61" s="125" t="s">
        <v>696</v>
      </c>
      <c r="B61" s="296">
        <v>492</v>
      </c>
      <c r="C61" s="512">
        <v>9.4705961538461614E-2</v>
      </c>
      <c r="D61" s="512">
        <v>0.14046122994065985</v>
      </c>
      <c r="E61" s="512">
        <v>7.0509061095973824E-2</v>
      </c>
      <c r="F61" s="512">
        <v>0.22193021233481208</v>
      </c>
      <c r="G61" s="513">
        <v>0.42664852259748909</v>
      </c>
      <c r="H61" s="513">
        <v>0.70294824976129355</v>
      </c>
      <c r="I61" s="512">
        <v>8.5938345061369853E-2</v>
      </c>
      <c r="J61" s="512">
        <v>0.28515599074056369</v>
      </c>
      <c r="K61" s="512">
        <v>6.1199999999999997E-2</v>
      </c>
      <c r="L61" s="512">
        <v>0.49461605837835343</v>
      </c>
      <c r="M61" s="512">
        <v>6.6068141537022618E-2</v>
      </c>
      <c r="N61" s="513">
        <v>0.60835933929095909</v>
      </c>
      <c r="O61" s="513">
        <v>2.2428031241496234</v>
      </c>
      <c r="P61" s="513">
        <v>9.5212249808937699</v>
      </c>
      <c r="Q61" s="513">
        <v>15.894373349360979</v>
      </c>
      <c r="R61" s="513">
        <v>1.3092156724559636</v>
      </c>
      <c r="S61" s="513">
        <v>23.937128067272884</v>
      </c>
      <c r="T61" s="512">
        <v>4.8894777979807257E-2</v>
      </c>
      <c r="U61" s="512">
        <v>0.18962666985428472</v>
      </c>
      <c r="V61" s="512">
        <v>0.11282124652140116</v>
      </c>
      <c r="W61" s="512">
        <v>1.0749431149609059</v>
      </c>
      <c r="X61" s="512">
        <v>0.10420386209633929</v>
      </c>
      <c r="Y61" s="512">
        <v>0.59452604660019892</v>
      </c>
      <c r="Z61" s="512">
        <v>0.59452604660019892</v>
      </c>
      <c r="AA61" s="514">
        <v>0.1404434071462865</v>
      </c>
    </row>
    <row r="62" spans="1:27" s="112" customFormat="1">
      <c r="A62" s="125" t="s">
        <v>697</v>
      </c>
      <c r="B62" s="296">
        <v>823</v>
      </c>
      <c r="C62" s="512">
        <v>0.23166027322404364</v>
      </c>
      <c r="D62" s="512">
        <v>0.12678782153632981</v>
      </c>
      <c r="E62" s="512">
        <v>0.10269894013168175</v>
      </c>
      <c r="F62" s="512">
        <v>0.27555218036402884</v>
      </c>
      <c r="G62" s="513">
        <v>1.1122272531127146</v>
      </c>
      <c r="H62" s="513">
        <v>1.1733808838398774</v>
      </c>
      <c r="I62" s="512">
        <v>0.112800048467257</v>
      </c>
      <c r="J62" s="512">
        <v>0.70789524038942631</v>
      </c>
      <c r="K62" s="512">
        <v>7.4499999999999997E-2</v>
      </c>
      <c r="L62" s="512">
        <v>0.15751587434249664</v>
      </c>
      <c r="M62" s="512">
        <v>0.10380763283414328</v>
      </c>
      <c r="N62" s="513">
        <v>0.85278951418531657</v>
      </c>
      <c r="O62" s="513">
        <v>2.3138332837840294</v>
      </c>
      <c r="P62" s="513">
        <v>8.1912443780464272</v>
      </c>
      <c r="Q62" s="513">
        <v>16.961329808372106</v>
      </c>
      <c r="R62" s="513">
        <v>1.6595540828753375</v>
      </c>
      <c r="S62" s="513">
        <v>43.668297531113026</v>
      </c>
      <c r="T62" s="512">
        <v>0.1045200496032405</v>
      </c>
      <c r="U62" s="512">
        <v>0.18342540915819863</v>
      </c>
      <c r="V62" s="512">
        <v>8.6916995603468578E-2</v>
      </c>
      <c r="W62" s="512">
        <v>1.1399813900044753</v>
      </c>
      <c r="X62" s="512">
        <v>3.3011304254075849E-2</v>
      </c>
      <c r="Y62" s="512">
        <v>1.5292432877623996</v>
      </c>
      <c r="Z62" s="512">
        <v>1.5292432877623996</v>
      </c>
      <c r="AA62" s="514">
        <v>0.12719775590183677</v>
      </c>
    </row>
    <row r="63" spans="1:27" s="112" customFormat="1">
      <c r="A63" s="125" t="s">
        <v>698</v>
      </c>
      <c r="B63" s="296">
        <v>321</v>
      </c>
      <c r="C63" s="512">
        <v>1.2444810606060619E-2</v>
      </c>
      <c r="D63" s="512">
        <v>7.5547164726724875E-2</v>
      </c>
      <c r="E63" s="512">
        <v>0.10343449946067172</v>
      </c>
      <c r="F63" s="512">
        <v>0.18182837004215871</v>
      </c>
      <c r="G63" s="513">
        <v>0.84045319850089784</v>
      </c>
      <c r="H63" s="513">
        <v>0.83383463709598016</v>
      </c>
      <c r="I63" s="512">
        <v>9.3411957778180468E-2</v>
      </c>
      <c r="J63" s="512">
        <v>0.37553461134817656</v>
      </c>
      <c r="K63" s="512">
        <v>6.5699999999999995E-2</v>
      </c>
      <c r="L63" s="512">
        <v>0.17225527053311818</v>
      </c>
      <c r="M63" s="512">
        <v>8.5784236398788322E-2</v>
      </c>
      <c r="N63" s="513">
        <v>1.6459546584453943</v>
      </c>
      <c r="O63" s="513">
        <v>1.3284966418875108</v>
      </c>
      <c r="P63" s="513">
        <v>10.162094800454826</v>
      </c>
      <c r="Q63" s="513">
        <v>16.33410413148988</v>
      </c>
      <c r="R63" s="513">
        <v>1.6114673198853551</v>
      </c>
      <c r="S63" s="513">
        <v>40.614205191646981</v>
      </c>
      <c r="T63" s="512">
        <v>8.4151005518894581E-2</v>
      </c>
      <c r="U63" s="512">
        <v>3.6172415136937502E-2</v>
      </c>
      <c r="V63" s="512">
        <v>2.6847916843477787E-3</v>
      </c>
      <c r="W63" s="512">
        <v>6.2371265601094343E-2</v>
      </c>
      <c r="X63" s="512">
        <v>8.8102395886549056E-2</v>
      </c>
      <c r="Y63" s="512">
        <v>0.66450510081664615</v>
      </c>
      <c r="Z63" s="512">
        <v>0.66450510081664615</v>
      </c>
      <c r="AA63" s="514">
        <v>7.6601904609937585E-2</v>
      </c>
    </row>
    <row r="64" spans="1:27" s="112" customFormat="1">
      <c r="A64" s="125" t="s">
        <v>699</v>
      </c>
      <c r="B64" s="296">
        <v>650</v>
      </c>
      <c r="C64" s="512">
        <v>8.5668185483870937E-2</v>
      </c>
      <c r="D64" s="512">
        <v>0.31117064377034764</v>
      </c>
      <c r="E64" s="512">
        <v>3.460415465330588E-2</v>
      </c>
      <c r="F64" s="512">
        <v>3.301692565825981E-2</v>
      </c>
      <c r="G64" s="513">
        <v>0.49452464538210045</v>
      </c>
      <c r="H64" s="513">
        <v>0.78734679848823808</v>
      </c>
      <c r="I64" s="512">
        <v>9.0757502193678397E-2</v>
      </c>
      <c r="J64" s="512">
        <v>0.25184912324488745</v>
      </c>
      <c r="K64" s="512">
        <v>6.1199999999999997E-2</v>
      </c>
      <c r="L64" s="512">
        <v>0.45710454740859624</v>
      </c>
      <c r="M64" s="512">
        <v>7.0191389399293827E-2</v>
      </c>
      <c r="N64" s="513">
        <v>0.12057399553090244</v>
      </c>
      <c r="O64" s="513">
        <v>10.963769622475731</v>
      </c>
      <c r="P64" s="513">
        <v>20.05881850007929</v>
      </c>
      <c r="Q64" s="513">
        <v>33.079933689832885</v>
      </c>
      <c r="R64" s="513">
        <v>1.45614324862315</v>
      </c>
      <c r="S64" s="513">
        <v>36.793980326828695</v>
      </c>
      <c r="T64" s="512">
        <v>1.069664429672774</v>
      </c>
      <c r="U64" s="512">
        <v>4.7348482113510851E-2</v>
      </c>
      <c r="V64" s="512">
        <v>-6.9858232116719987E-2</v>
      </c>
      <c r="W64" s="512">
        <v>-0.23265421518672788</v>
      </c>
      <c r="X64" s="512">
        <v>3.5187491628849231E-2</v>
      </c>
      <c r="Y64" s="512">
        <v>1.9985981394850141</v>
      </c>
      <c r="Z64" s="512">
        <v>1.9985981394850141</v>
      </c>
      <c r="AA64" s="514">
        <v>0.29343298938675028</v>
      </c>
    </row>
    <row r="65" spans="1:27" s="112" customFormat="1">
      <c r="A65" s="125" t="s">
        <v>700</v>
      </c>
      <c r="B65" s="296">
        <v>879</v>
      </c>
      <c r="C65" s="512">
        <v>5.7720512091038359E-2</v>
      </c>
      <c r="D65" s="512">
        <v>5.5132881617830462E-2</v>
      </c>
      <c r="E65" s="512">
        <v>2.1146449116557203E-2</v>
      </c>
      <c r="F65" s="512">
        <v>0.29682126687447241</v>
      </c>
      <c r="G65" s="513">
        <v>0.4321952750030903</v>
      </c>
      <c r="H65" s="513">
        <v>0.93721382525010932</v>
      </c>
      <c r="I65" s="512">
        <v>9.9314909421781242E-2</v>
      </c>
      <c r="J65" s="512">
        <v>0.41235401305466174</v>
      </c>
      <c r="K65" s="512">
        <v>6.5699999999999995E-2</v>
      </c>
      <c r="L65" s="512">
        <v>0.67427207490044017</v>
      </c>
      <c r="M65" s="512">
        <v>6.5476936582420597E-2</v>
      </c>
      <c r="N65" s="513">
        <v>0.45314505601031874</v>
      </c>
      <c r="O65" s="513">
        <v>1.8901276128687499</v>
      </c>
      <c r="P65" s="513">
        <v>14.910613926783386</v>
      </c>
      <c r="Q65" s="513">
        <v>24.783043140230752</v>
      </c>
      <c r="R65" s="513">
        <v>0.49002187200416442</v>
      </c>
      <c r="S65" s="513">
        <v>53.279715780946972</v>
      </c>
      <c r="T65" s="512">
        <v>3.2456416329960609</v>
      </c>
      <c r="U65" s="512">
        <v>3.0774302205135811E-2</v>
      </c>
      <c r="V65" s="512">
        <v>2.0828016741098767E-2</v>
      </c>
      <c r="W65" s="512">
        <v>-3.6704462969517571</v>
      </c>
      <c r="X65" s="512">
        <v>-1.7116229122804562E-2</v>
      </c>
      <c r="Y65" s="512">
        <v>7.0901179081967166E-3</v>
      </c>
      <c r="Z65" s="512">
        <v>7.0901179081966914E-3</v>
      </c>
      <c r="AA65" s="514">
        <v>5.4881051216714501E-2</v>
      </c>
    </row>
    <row r="66" spans="1:27" s="112" customFormat="1">
      <c r="A66" s="125" t="s">
        <v>701</v>
      </c>
      <c r="B66" s="296">
        <v>309</v>
      </c>
      <c r="C66" s="512">
        <v>7.1752674418604653E-2</v>
      </c>
      <c r="D66" s="512">
        <v>0.14863328964235034</v>
      </c>
      <c r="E66" s="512">
        <v>3.5428705146793783E-2</v>
      </c>
      <c r="F66" s="512">
        <v>0.27251577642034019</v>
      </c>
      <c r="G66" s="513">
        <v>0.52775166295353615</v>
      </c>
      <c r="H66" s="513">
        <v>0.94535241907080036</v>
      </c>
      <c r="I66" s="512">
        <v>9.9779623128942702E-2</v>
      </c>
      <c r="J66" s="512">
        <v>0.3176306571722835</v>
      </c>
      <c r="K66" s="512">
        <v>6.5699999999999995E-2</v>
      </c>
      <c r="L66" s="512">
        <v>0.55463628189212621</v>
      </c>
      <c r="M66" s="512">
        <v>7.168775961015815E-2</v>
      </c>
      <c r="N66" s="513">
        <v>0.26993760898108565</v>
      </c>
      <c r="O66" s="513">
        <v>3.4523419558692625</v>
      </c>
      <c r="P66" s="513">
        <v>13.785148217782979</v>
      </c>
      <c r="Q66" s="513">
        <v>20.446975972530712</v>
      </c>
      <c r="R66" s="513">
        <v>0.71636727266480504</v>
      </c>
      <c r="S66" s="513">
        <v>29.2542097458327</v>
      </c>
      <c r="T66" s="512">
        <v>1.2231403828503178</v>
      </c>
      <c r="U66" s="512">
        <v>8.6813820149535093E-2</v>
      </c>
      <c r="V66" s="512">
        <v>7.1181742296745995E-2</v>
      </c>
      <c r="W66" s="512">
        <v>1.1726856999630171</v>
      </c>
      <c r="X66" s="512">
        <v>2.8230967320701322E-2</v>
      </c>
      <c r="Y66" s="512">
        <v>0.89703000323658122</v>
      </c>
      <c r="Z66" s="512">
        <v>0.89703000323658122</v>
      </c>
      <c r="AA66" s="514">
        <v>0.15464921545883958</v>
      </c>
    </row>
    <row r="67" spans="1:27" s="112" customFormat="1">
      <c r="A67" s="125" t="s">
        <v>702</v>
      </c>
      <c r="B67" s="296">
        <v>749</v>
      </c>
      <c r="C67" s="512">
        <v>7.4275909943714871E-2</v>
      </c>
      <c r="D67" s="512">
        <v>0.17510345882073594</v>
      </c>
      <c r="E67" s="512">
        <v>4.1447470400459013E-2</v>
      </c>
      <c r="F67" s="512">
        <v>0.21824282806506626</v>
      </c>
      <c r="G67" s="513">
        <v>0.56035498608486212</v>
      </c>
      <c r="H67" s="513">
        <v>0.88199839761239596</v>
      </c>
      <c r="I67" s="512">
        <v>9.6162108503667798E-2</v>
      </c>
      <c r="J67" s="512">
        <v>0.35968379636045256</v>
      </c>
      <c r="K67" s="512">
        <v>6.5699999999999995E-2</v>
      </c>
      <c r="L67" s="512">
        <v>0.47785424459110171</v>
      </c>
      <c r="M67" s="512">
        <v>7.3687835636073395E-2</v>
      </c>
      <c r="N67" s="513">
        <v>0.26402837363555315</v>
      </c>
      <c r="O67" s="513">
        <v>3.9947941196473966</v>
      </c>
      <c r="P67" s="513">
        <v>16.687504936509356</v>
      </c>
      <c r="Q67" s="513">
        <v>20.405802401998368</v>
      </c>
      <c r="R67" s="513">
        <v>0.8964444972275748</v>
      </c>
      <c r="S67" s="513">
        <v>94.647202670400375</v>
      </c>
      <c r="T67" s="512">
        <v>0.22078779853759253</v>
      </c>
      <c r="U67" s="512">
        <v>2.2938933571137618E-2</v>
      </c>
      <c r="V67" s="512">
        <v>3.0877327544336957E-2</v>
      </c>
      <c r="W67" s="512">
        <v>0.29482180308598988</v>
      </c>
      <c r="X67" s="512">
        <v>-4.2761271154102089E-4</v>
      </c>
      <c r="Y67" s="512">
        <v>9.063149645655473E-3</v>
      </c>
      <c r="Z67" s="512">
        <v>9.0631496456554661E-3</v>
      </c>
      <c r="AA67" s="514">
        <v>0.17939982235728005</v>
      </c>
    </row>
    <row r="68" spans="1:27" s="112" customFormat="1">
      <c r="A68" s="125" t="s">
        <v>703</v>
      </c>
      <c r="B68" s="296">
        <v>320</v>
      </c>
      <c r="C68" s="512">
        <v>4.9946122448979606E-2</v>
      </c>
      <c r="D68" s="512">
        <v>0.10483252540858064</v>
      </c>
      <c r="E68" s="512">
        <v>9.8280124610970437E-2</v>
      </c>
      <c r="F68" s="512">
        <v>0.24470492031754193</v>
      </c>
      <c r="G68" s="513">
        <v>0.94844428863854446</v>
      </c>
      <c r="H68" s="513">
        <v>1.0667202545900192</v>
      </c>
      <c r="I68" s="512">
        <v>0.1067097265370901</v>
      </c>
      <c r="J68" s="512">
        <v>0.36603477278833879</v>
      </c>
      <c r="K68" s="512">
        <v>6.5699999999999995E-2</v>
      </c>
      <c r="L68" s="512">
        <v>0.24249789964099594</v>
      </c>
      <c r="M68" s="512">
        <v>9.2746875338976659E-2</v>
      </c>
      <c r="N68" s="513">
        <v>1.2590547993679317</v>
      </c>
      <c r="O68" s="513">
        <v>2.0170035035455416</v>
      </c>
      <c r="P68" s="513">
        <v>11.386961680012252</v>
      </c>
      <c r="Q68" s="513">
        <v>19.432345858948352</v>
      </c>
      <c r="R68" s="513">
        <v>2.522150411867047</v>
      </c>
      <c r="S68" s="513">
        <v>78.668747590687403</v>
      </c>
      <c r="T68" s="512">
        <v>0.15389722616578982</v>
      </c>
      <c r="U68" s="512">
        <v>6.2795157392880191E-2</v>
      </c>
      <c r="V68" s="512">
        <v>3.2033004304269121E-2</v>
      </c>
      <c r="W68" s="512">
        <v>0.28881001829043501</v>
      </c>
      <c r="X68" s="512">
        <v>7.8252627866178523E-2</v>
      </c>
      <c r="Y68" s="512">
        <v>0.58330950065908238</v>
      </c>
      <c r="Z68" s="512">
        <v>0.58330950065908238</v>
      </c>
      <c r="AA68" s="514">
        <v>9.92410245346695E-2</v>
      </c>
    </row>
    <row r="69" spans="1:27" s="112" customFormat="1">
      <c r="A69" s="125" t="s">
        <v>704</v>
      </c>
      <c r="B69" s="296">
        <v>33</v>
      </c>
      <c r="C69" s="512">
        <v>6.0185000000000016E-2</v>
      </c>
      <c r="D69" s="512">
        <v>0.12739255796707408</v>
      </c>
      <c r="E69" s="512">
        <v>0.20241035747384928</v>
      </c>
      <c r="F69" s="512">
        <v>0.1319751636706322</v>
      </c>
      <c r="G69" s="513">
        <v>1.2009096051209383</v>
      </c>
      <c r="H69" s="513">
        <v>1.1953705432106245</v>
      </c>
      <c r="I69" s="512">
        <v>0.11405565801732667</v>
      </c>
      <c r="J69" s="512">
        <v>0.31407908075980628</v>
      </c>
      <c r="K69" s="512">
        <v>6.5699999999999995E-2</v>
      </c>
      <c r="L69" s="512">
        <v>0.20135742519601033</v>
      </c>
      <c r="M69" s="512">
        <v>0.10098248731421666</v>
      </c>
      <c r="N69" s="513">
        <v>1.8532614712467494</v>
      </c>
      <c r="O69" s="513">
        <v>0.91219971943003042</v>
      </c>
      <c r="P69" s="513">
        <v>9.8533512802116565</v>
      </c>
      <c r="Q69" s="513">
        <v>7.1615611975273081</v>
      </c>
      <c r="R69" s="513">
        <v>1.2423818744268456</v>
      </c>
      <c r="S69" s="513">
        <v>7.5332385128881656</v>
      </c>
      <c r="T69" s="512">
        <v>-0.64642353760694138</v>
      </c>
      <c r="U69" s="512">
        <v>1.082445077598424E-3</v>
      </c>
      <c r="V69" s="512">
        <v>5.4366874893824338E-3</v>
      </c>
      <c r="W69" s="512">
        <v>0.11098441622112191</v>
      </c>
      <c r="X69" s="512">
        <v>0.19957032463380039</v>
      </c>
      <c r="Y69" s="512">
        <v>0.25667593053994459</v>
      </c>
      <c r="Z69" s="512">
        <v>0.25667593053994464</v>
      </c>
      <c r="AA69" s="514">
        <v>0.12734499906420016</v>
      </c>
    </row>
    <row r="70" spans="1:27" s="112" customFormat="1">
      <c r="A70" s="125" t="s">
        <v>705</v>
      </c>
      <c r="B70" s="296">
        <v>401</v>
      </c>
      <c r="C70" s="512">
        <v>3.456134482758625E-2</v>
      </c>
      <c r="D70" s="512">
        <v>0.10403299523950783</v>
      </c>
      <c r="E70" s="512">
        <v>0.14980478064662475</v>
      </c>
      <c r="F70" s="512">
        <v>0.18963428472134311</v>
      </c>
      <c r="G70" s="513">
        <v>0.81355169557902918</v>
      </c>
      <c r="H70" s="513">
        <v>0.92449263698932371</v>
      </c>
      <c r="I70" s="512">
        <v>9.8588529572090383E-2</v>
      </c>
      <c r="J70" s="512">
        <v>0.33700973355544106</v>
      </c>
      <c r="K70" s="512">
        <v>6.5699999999999995E-2</v>
      </c>
      <c r="L70" s="512">
        <v>0.19118420561826641</v>
      </c>
      <c r="M70" s="512">
        <v>8.9132927829537328E-2</v>
      </c>
      <c r="N70" s="513">
        <v>1.9164377799332746</v>
      </c>
      <c r="O70" s="513">
        <v>2.7726225397663167</v>
      </c>
      <c r="P70" s="513">
        <v>17.094692016883652</v>
      </c>
      <c r="Q70" s="513">
        <v>27.637934106200042</v>
      </c>
      <c r="R70" s="513">
        <v>10.085725547891842</v>
      </c>
      <c r="S70" s="513">
        <v>125.5940324072094</v>
      </c>
      <c r="T70" s="512">
        <v>-2.5221375907373885E-2</v>
      </c>
      <c r="U70" s="512">
        <v>4.5575517119556833E-2</v>
      </c>
      <c r="V70" s="512">
        <v>2.2728735488689106E-2</v>
      </c>
      <c r="W70" s="512">
        <v>0.28750586664140193</v>
      </c>
      <c r="X70" s="512">
        <v>0.29022412597357078</v>
      </c>
      <c r="Y70" s="512">
        <v>0.60283492145650619</v>
      </c>
      <c r="Z70" s="512">
        <v>0.60283492145650619</v>
      </c>
      <c r="AA70" s="514">
        <v>9.7066977634999649E-2</v>
      </c>
    </row>
    <row r="71" spans="1:27" s="112" customFormat="1">
      <c r="A71" s="125" t="s">
        <v>706</v>
      </c>
      <c r="B71" s="296">
        <v>208</v>
      </c>
      <c r="C71" s="512">
        <v>6.6080785714285731E-2</v>
      </c>
      <c r="D71" s="512">
        <v>5.0124355530654113E-2</v>
      </c>
      <c r="E71" s="512">
        <v>0.10287586469596494</v>
      </c>
      <c r="F71" s="512">
        <v>0.23589453873014418</v>
      </c>
      <c r="G71" s="513">
        <v>0.67418209243912264</v>
      </c>
      <c r="H71" s="513">
        <v>0.93029217279112275</v>
      </c>
      <c r="I71" s="512">
        <v>9.891968306637311E-2</v>
      </c>
      <c r="J71" s="512">
        <v>0.36538442781021802</v>
      </c>
      <c r="K71" s="512">
        <v>6.5699999999999995E-2</v>
      </c>
      <c r="L71" s="512">
        <v>0.37178446028949669</v>
      </c>
      <c r="M71" s="512">
        <v>8.0408823640408217E-2</v>
      </c>
      <c r="N71" s="513">
        <v>2.6155464304479135</v>
      </c>
      <c r="O71" s="513">
        <v>0.83600071403612819</v>
      </c>
      <c r="P71" s="513">
        <v>11.861639541973805</v>
      </c>
      <c r="Q71" s="513">
        <v>17.186046585303917</v>
      </c>
      <c r="R71" s="513">
        <v>3.127673636774118</v>
      </c>
      <c r="S71" s="513">
        <v>81.116070753575556</v>
      </c>
      <c r="T71" s="512">
        <v>0.11613663993077378</v>
      </c>
      <c r="U71" s="512">
        <v>2.1324501407629315E-2</v>
      </c>
      <c r="V71" s="512">
        <v>1.6567194986285064E-2</v>
      </c>
      <c r="W71" s="512">
        <v>0.64413267887478365</v>
      </c>
      <c r="X71" s="512">
        <v>0.1840579660107366</v>
      </c>
      <c r="Y71" s="512">
        <v>0.29476809409948779</v>
      </c>
      <c r="Z71" s="512">
        <v>0.29476809409948779</v>
      </c>
      <c r="AA71" s="514">
        <v>4.8158289423475019E-2</v>
      </c>
    </row>
    <row r="72" spans="1:27" s="112" customFormat="1">
      <c r="A72" s="125" t="s">
        <v>707</v>
      </c>
      <c r="B72" s="296">
        <v>117</v>
      </c>
      <c r="C72" s="512">
        <v>4.441772151898734E-2</v>
      </c>
      <c r="D72" s="512">
        <v>0.10656115161321383</v>
      </c>
      <c r="E72" s="512">
        <v>0.24613763986733569</v>
      </c>
      <c r="F72" s="512">
        <v>0.24309177240267593</v>
      </c>
      <c r="G72" s="513">
        <v>0.85050191786947549</v>
      </c>
      <c r="H72" s="513">
        <v>0.97659450522183011</v>
      </c>
      <c r="I72" s="512">
        <v>0.10156354624816649</v>
      </c>
      <c r="J72" s="512">
        <v>0.34112481595208105</v>
      </c>
      <c r="K72" s="512">
        <v>6.5699999999999995E-2</v>
      </c>
      <c r="L72" s="512">
        <v>0.18478286981752373</v>
      </c>
      <c r="M72" s="512">
        <v>9.1874810097840542E-2</v>
      </c>
      <c r="N72" s="513">
        <v>2.8469120837423003</v>
      </c>
      <c r="O72" s="513">
        <v>2.1078259077129489</v>
      </c>
      <c r="P72" s="513">
        <v>14.809875799753357</v>
      </c>
      <c r="Q72" s="513">
        <v>19.779644376508973</v>
      </c>
      <c r="R72" s="513">
        <v>19.117681762335629</v>
      </c>
      <c r="S72" s="513">
        <v>49.093350357290348</v>
      </c>
      <c r="T72" s="512">
        <v>8.7084998587314916E-2</v>
      </c>
      <c r="U72" s="512">
        <v>2.5876991486291891E-2</v>
      </c>
      <c r="V72" s="512">
        <v>5.4774447071132479E-2</v>
      </c>
      <c r="W72" s="512">
        <v>0.62906203570820995</v>
      </c>
      <c r="X72" s="512">
        <v>0.99210018799846311</v>
      </c>
      <c r="Y72" s="512">
        <v>0.53334082648136472</v>
      </c>
      <c r="Z72" s="512">
        <v>0.53334082648136472</v>
      </c>
      <c r="AA72" s="514">
        <v>0.10516457985864275</v>
      </c>
    </row>
    <row r="73" spans="1:27" s="112" customFormat="1">
      <c r="A73" s="125" t="s">
        <v>708</v>
      </c>
      <c r="B73" s="296">
        <v>1038</v>
      </c>
      <c r="C73" s="512">
        <v>9.7916069587628912E-2</v>
      </c>
      <c r="D73" s="512">
        <v>4.9282951494690391E-2</v>
      </c>
      <c r="E73" s="512">
        <v>7.9933995956323903E-2</v>
      </c>
      <c r="F73" s="512">
        <v>0.23116288389908993</v>
      </c>
      <c r="G73" s="513">
        <v>0.62141268044122167</v>
      </c>
      <c r="H73" s="513">
        <v>0.82010753451595642</v>
      </c>
      <c r="I73" s="512">
        <v>9.2628140220861105E-2</v>
      </c>
      <c r="J73" s="512">
        <v>0.36761243934617288</v>
      </c>
      <c r="K73" s="512">
        <v>6.5699999999999995E-2</v>
      </c>
      <c r="L73" s="512">
        <v>0.36711373020195781</v>
      </c>
      <c r="M73" s="512">
        <v>7.665954457984886E-2</v>
      </c>
      <c r="N73" s="513">
        <v>1.9436737117015559</v>
      </c>
      <c r="O73" s="513">
        <v>0.83483563531889537</v>
      </c>
      <c r="P73" s="513">
        <v>12.084949912771686</v>
      </c>
      <c r="Q73" s="513">
        <v>16.185383594810467</v>
      </c>
      <c r="R73" s="513">
        <v>1.5839785215995876</v>
      </c>
      <c r="S73" s="513">
        <v>81.827891794319783</v>
      </c>
      <c r="T73" s="512">
        <v>0.16544401430445746</v>
      </c>
      <c r="U73" s="512">
        <v>3.1005551301192757E-2</v>
      </c>
      <c r="V73" s="512">
        <v>2.7911408779862108E-2</v>
      </c>
      <c r="W73" s="512">
        <v>0.8570172906842205</v>
      </c>
      <c r="X73" s="512">
        <v>0.12488227375888986</v>
      </c>
      <c r="Y73" s="512">
        <v>0.41209669802401261</v>
      </c>
      <c r="Z73" s="512">
        <v>0.41209669802401261</v>
      </c>
      <c r="AA73" s="514">
        <v>4.9734500984664393E-2</v>
      </c>
    </row>
    <row r="74" spans="1:27" s="112" customFormat="1">
      <c r="A74" s="125" t="s">
        <v>641</v>
      </c>
      <c r="B74" s="296">
        <v>253</v>
      </c>
      <c r="C74" s="512">
        <v>1.9390829015544033E-2</v>
      </c>
      <c r="D74" s="512">
        <v>5.924229691082409E-2</v>
      </c>
      <c r="E74" s="512">
        <v>0.10133972617718918</v>
      </c>
      <c r="F74" s="512">
        <v>0.19124132658939955</v>
      </c>
      <c r="G74" s="513">
        <v>1.0445584246223811</v>
      </c>
      <c r="H74" s="513">
        <v>1.104769773812101</v>
      </c>
      <c r="I74" s="512">
        <v>0.10888235408467095</v>
      </c>
      <c r="J74" s="512">
        <v>0.34376130249213976</v>
      </c>
      <c r="K74" s="512">
        <v>6.5699999999999995E-2</v>
      </c>
      <c r="L74" s="512">
        <v>0.12769375354781737</v>
      </c>
      <c r="M74" s="512">
        <v>0.1012524104474077</v>
      </c>
      <c r="N74" s="513">
        <v>2.7232353399824696</v>
      </c>
      <c r="O74" s="513">
        <v>1.8330148893854228</v>
      </c>
      <c r="P74" s="513">
        <v>17.201151727924977</v>
      </c>
      <c r="Q74" s="513">
        <v>31.51981023275394</v>
      </c>
      <c r="R74" s="513">
        <v>5.6014530975621852</v>
      </c>
      <c r="S74" s="513">
        <v>89.066455052842088</v>
      </c>
      <c r="T74" s="512">
        <v>1.5021771148685649E-2</v>
      </c>
      <c r="U74" s="512">
        <v>5.1100683321146527E-2</v>
      </c>
      <c r="V74" s="512">
        <v>1.7283198813406359E-2</v>
      </c>
      <c r="W74" s="512">
        <v>0.40321578384544315</v>
      </c>
      <c r="X74" s="512">
        <v>0.18093021807206139</v>
      </c>
      <c r="Y74" s="512">
        <v>0.18701386879490281</v>
      </c>
      <c r="Z74" s="512">
        <v>0.18701386879490278</v>
      </c>
      <c r="AA74" s="514">
        <v>5.7967130977625049E-2</v>
      </c>
    </row>
    <row r="75" spans="1:27" s="112" customFormat="1">
      <c r="A75" s="125" t="s">
        <v>709</v>
      </c>
      <c r="B75" s="296">
        <v>204</v>
      </c>
      <c r="C75" s="512">
        <v>6.0045660377358499E-2</v>
      </c>
      <c r="D75" s="512">
        <v>4.0244062899986256E-2</v>
      </c>
      <c r="E75" s="512">
        <v>0.10782224576056171</v>
      </c>
      <c r="F75" s="512">
        <v>0.24884311993825056</v>
      </c>
      <c r="G75" s="513">
        <v>0.61968589002028795</v>
      </c>
      <c r="H75" s="513">
        <v>0.77482887462253958</v>
      </c>
      <c r="I75" s="512">
        <v>9.0042728740947015E-2</v>
      </c>
      <c r="J75" s="512">
        <v>0.30763798715832558</v>
      </c>
      <c r="K75" s="512">
        <v>6.5699999999999995E-2</v>
      </c>
      <c r="L75" s="512">
        <v>0.32194327930613215</v>
      </c>
      <c r="M75" s="512">
        <v>7.6871298778632774E-2</v>
      </c>
      <c r="N75" s="513">
        <v>3.5709022365605043</v>
      </c>
      <c r="O75" s="513">
        <v>0.6444372587185917</v>
      </c>
      <c r="P75" s="513">
        <v>9.6365176711622862</v>
      </c>
      <c r="Q75" s="513">
        <v>15.943768531608725</v>
      </c>
      <c r="R75" s="513">
        <v>2.4958635803321796</v>
      </c>
      <c r="S75" s="513">
        <v>35.530277222717778</v>
      </c>
      <c r="T75" s="512">
        <v>-2.5013504837998732E-2</v>
      </c>
      <c r="U75" s="512">
        <v>2.8575691029278094E-2</v>
      </c>
      <c r="V75" s="512">
        <v>1.092709861017801E-2</v>
      </c>
      <c r="W75" s="512">
        <v>0.36041561390054655</v>
      </c>
      <c r="X75" s="512">
        <v>0.11040581375412881</v>
      </c>
      <c r="Y75" s="512">
        <v>0.59551796716665706</v>
      </c>
      <c r="Z75" s="512">
        <v>0.59551796716665706</v>
      </c>
      <c r="AA75" s="514">
        <v>3.8456200299107943E-2</v>
      </c>
    </row>
    <row r="76" spans="1:27" s="112" customFormat="1">
      <c r="A76" s="125" t="s">
        <v>907</v>
      </c>
      <c r="B76" s="296">
        <v>121</v>
      </c>
      <c r="C76" s="512">
        <v>8.2847623762376268E-2</v>
      </c>
      <c r="D76" s="512">
        <v>0.50010652822492285</v>
      </c>
      <c r="E76" s="512">
        <v>4.8001617939278346E-2</v>
      </c>
      <c r="F76" s="512">
        <v>4.4865486286191449E-2</v>
      </c>
      <c r="G76" s="513">
        <v>0.63989642864075202</v>
      </c>
      <c r="H76" s="513">
        <v>0.97488817621458701</v>
      </c>
      <c r="I76" s="512">
        <v>0.10146611486185292</v>
      </c>
      <c r="J76" s="512">
        <v>0.20234299271343784</v>
      </c>
      <c r="K76" s="512">
        <v>6.1199999999999997E-2</v>
      </c>
      <c r="L76" s="512">
        <v>0.4330431695955872</v>
      </c>
      <c r="M76" s="512">
        <v>7.7345283427609324E-2</v>
      </c>
      <c r="N76" s="513">
        <v>0.10213707891072211</v>
      </c>
      <c r="O76" s="513">
        <v>11.511604716091854</v>
      </c>
      <c r="P76" s="513">
        <v>17.299202462732264</v>
      </c>
      <c r="Q76" s="513">
        <v>21.392580282716718</v>
      </c>
      <c r="R76" s="513">
        <v>1.184426488337337</v>
      </c>
      <c r="S76" s="513">
        <v>81.256257370327631</v>
      </c>
      <c r="T76" s="512">
        <v>-1.3814521510392669E-2</v>
      </c>
      <c r="U76" s="512">
        <v>3.0070090098843989E-2</v>
      </c>
      <c r="V76" s="512">
        <v>-5.0879732370639634E-2</v>
      </c>
      <c r="W76" s="512">
        <v>-9.1637571523962305E-2</v>
      </c>
      <c r="X76" s="512">
        <v>4.0437349761788942E-2</v>
      </c>
      <c r="Y76" s="512">
        <v>1.5620772911611089</v>
      </c>
      <c r="Z76" s="512">
        <v>1.5620772911611089</v>
      </c>
      <c r="AA76" s="514">
        <v>0.4920281072585968</v>
      </c>
    </row>
    <row r="77" spans="1:27" s="112" customFormat="1">
      <c r="A77" s="125" t="s">
        <v>710</v>
      </c>
      <c r="B77" s="296">
        <v>633</v>
      </c>
      <c r="C77" s="512">
        <v>5.5416627634660473E-2</v>
      </c>
      <c r="D77" s="512">
        <v>5.8908058390977812E-2</v>
      </c>
      <c r="E77" s="512">
        <v>0.14703998850664671</v>
      </c>
      <c r="F77" s="512">
        <v>0.2471304524677494</v>
      </c>
      <c r="G77" s="513">
        <v>0.96190874436658125</v>
      </c>
      <c r="H77" s="513">
        <v>1.0598913069344804</v>
      </c>
      <c r="I77" s="512">
        <v>0.10631979362595884</v>
      </c>
      <c r="J77" s="512">
        <v>0.39814274696670382</v>
      </c>
      <c r="K77" s="512">
        <v>6.5699999999999995E-2</v>
      </c>
      <c r="L77" s="512">
        <v>0.19321961771110194</v>
      </c>
      <c r="M77" s="512">
        <v>9.5269692445598395E-2</v>
      </c>
      <c r="N77" s="513">
        <v>2.9583766512181544</v>
      </c>
      <c r="O77" s="513">
        <v>1.1949729777178331</v>
      </c>
      <c r="P77" s="513">
        <v>11.889756633073452</v>
      </c>
      <c r="Q77" s="513">
        <v>19.433913304527746</v>
      </c>
      <c r="R77" s="513">
        <v>3.9178839227449673</v>
      </c>
      <c r="S77" s="513">
        <v>39.739255325161146</v>
      </c>
      <c r="T77" s="512">
        <v>6.6936704260866856E-2</v>
      </c>
      <c r="U77" s="512">
        <v>2.2031853834014913E-2</v>
      </c>
      <c r="V77" s="512">
        <v>1.241304877115251E-3</v>
      </c>
      <c r="W77" s="512">
        <v>6.8732176603163872E-2</v>
      </c>
      <c r="X77" s="512">
        <v>0.10914157998940444</v>
      </c>
      <c r="Y77" s="512">
        <v>0.58352060990371024</v>
      </c>
      <c r="Z77" s="512">
        <v>0.58352060990371024</v>
      </c>
      <c r="AA77" s="514">
        <v>6.0264717461323787E-2</v>
      </c>
    </row>
    <row r="78" spans="1:27" s="112" customFormat="1">
      <c r="A78" s="125" t="s">
        <v>711</v>
      </c>
      <c r="B78" s="296">
        <v>92</v>
      </c>
      <c r="C78" s="512">
        <v>6.1804556962025317E-2</v>
      </c>
      <c r="D78" s="512">
        <v>0.10419461897104169</v>
      </c>
      <c r="E78" s="512">
        <v>0.10030589911486042</v>
      </c>
      <c r="F78" s="512">
        <v>0.2380629281392605</v>
      </c>
      <c r="G78" s="513">
        <v>0.76226422182885356</v>
      </c>
      <c r="H78" s="513">
        <v>0.91304203686782293</v>
      </c>
      <c r="I78" s="512">
        <v>9.7934700305152694E-2</v>
      </c>
      <c r="J78" s="512">
        <v>0.30447246680306844</v>
      </c>
      <c r="K78" s="512">
        <v>6.5699999999999995E-2</v>
      </c>
      <c r="L78" s="512">
        <v>0.31344269736678787</v>
      </c>
      <c r="M78" s="512">
        <v>8.2637367580968721E-2</v>
      </c>
      <c r="N78" s="513">
        <v>1.2921480931644265</v>
      </c>
      <c r="O78" s="513">
        <v>0.93745267803648502</v>
      </c>
      <c r="P78" s="513">
        <v>5.7260024611367921</v>
      </c>
      <c r="Q78" s="513">
        <v>8.9385181040095372</v>
      </c>
      <c r="R78" s="513">
        <v>1.0723311730859577</v>
      </c>
      <c r="S78" s="513">
        <v>22.008550905548397</v>
      </c>
      <c r="T78" s="512">
        <v>0.23299294885264391</v>
      </c>
      <c r="U78" s="512">
        <v>6.8906320253801057E-2</v>
      </c>
      <c r="V78" s="512">
        <v>3.3505933306492264E-2</v>
      </c>
      <c r="W78" s="512">
        <v>0.52958429696809051</v>
      </c>
      <c r="X78" s="512">
        <v>0.10107081994905652</v>
      </c>
      <c r="Y78" s="512">
        <v>0.39476594988021463</v>
      </c>
      <c r="Z78" s="512">
        <v>0.39476594988021463</v>
      </c>
      <c r="AA78" s="514">
        <v>0.10357233543979387</v>
      </c>
    </row>
    <row r="79" spans="1:27" s="112" customFormat="1">
      <c r="A79" s="125" t="s">
        <v>712</v>
      </c>
      <c r="B79" s="296">
        <v>665</v>
      </c>
      <c r="C79" s="512">
        <v>7.7384328358208868E-2</v>
      </c>
      <c r="D79" s="512">
        <v>0.21342892802586189</v>
      </c>
      <c r="E79" s="512">
        <v>0.15913647234971032</v>
      </c>
      <c r="F79" s="512">
        <v>0.14728494801798722</v>
      </c>
      <c r="G79" s="513">
        <v>1.6614076139987826</v>
      </c>
      <c r="H79" s="513">
        <v>1.6782559728868123</v>
      </c>
      <c r="I79" s="512">
        <v>0.14162841605183699</v>
      </c>
      <c r="J79" s="512">
        <v>0.42273542251589769</v>
      </c>
      <c r="K79" s="512">
        <v>6.5699999999999995E-2</v>
      </c>
      <c r="L79" s="512">
        <v>5.5576897022523435E-2</v>
      </c>
      <c r="M79" s="512">
        <v>0.13648766667355014</v>
      </c>
      <c r="N79" s="513">
        <v>1.0926794351128142</v>
      </c>
      <c r="O79" s="513">
        <v>8.7089915822144945</v>
      </c>
      <c r="P79" s="513">
        <v>24.786698207920391</v>
      </c>
      <c r="Q79" s="513">
        <v>39.721628897799278</v>
      </c>
      <c r="R79" s="513">
        <v>7.0911935285722025</v>
      </c>
      <c r="S79" s="513">
        <v>137.20492507459227</v>
      </c>
      <c r="T79" s="512">
        <v>0.15613189700892702</v>
      </c>
      <c r="U79" s="512">
        <v>0.16674497372170724</v>
      </c>
      <c r="V79" s="512">
        <v>0.11719594265964474</v>
      </c>
      <c r="W79" s="512">
        <v>0.78223456380558964</v>
      </c>
      <c r="X79" s="512">
        <v>0.15372078320054205</v>
      </c>
      <c r="Y79" s="512">
        <v>0.38497471073014505</v>
      </c>
      <c r="Z79" s="512">
        <v>0.38497471073014511</v>
      </c>
      <c r="AA79" s="514">
        <v>0.22304998196596562</v>
      </c>
    </row>
    <row r="80" spans="1:27" s="112" customFormat="1">
      <c r="A80" s="125" t="s">
        <v>713</v>
      </c>
      <c r="B80" s="296">
        <v>375</v>
      </c>
      <c r="C80" s="512">
        <v>9.6438413284132843E-2</v>
      </c>
      <c r="D80" s="512">
        <v>0.18648608557226617</v>
      </c>
      <c r="E80" s="512">
        <v>0.1681612582174975</v>
      </c>
      <c r="F80" s="512">
        <v>0.1632729299459991</v>
      </c>
      <c r="G80" s="513">
        <v>2.0245749437343714</v>
      </c>
      <c r="H80" s="513">
        <v>2.0188341849907365</v>
      </c>
      <c r="I80" s="512">
        <v>0.16107543196297106</v>
      </c>
      <c r="J80" s="512">
        <v>0.43850961352034451</v>
      </c>
      <c r="K80" s="512">
        <v>6.5699999999999995E-2</v>
      </c>
      <c r="L80" s="512">
        <v>7.0085606463761344E-2</v>
      </c>
      <c r="M80" s="512">
        <v>0.15322970071237746</v>
      </c>
      <c r="N80" s="513">
        <v>1.3347110524026369</v>
      </c>
      <c r="O80" s="513">
        <v>4.7889557663574491</v>
      </c>
      <c r="P80" s="513">
        <v>19.055050981102493</v>
      </c>
      <c r="Q80" s="513">
        <v>25.045126734212634</v>
      </c>
      <c r="R80" s="513">
        <v>4.9647832704837764</v>
      </c>
      <c r="S80" s="513">
        <v>62.228205423909507</v>
      </c>
      <c r="T80" s="512">
        <v>0.34927968291322331</v>
      </c>
      <c r="U80" s="512">
        <v>0.1013150204340442</v>
      </c>
      <c r="V80" s="512">
        <v>7.1452487106247367E-2</v>
      </c>
      <c r="W80" s="512">
        <v>0.79251235764408978</v>
      </c>
      <c r="X80" s="512">
        <v>0.18395242715947255</v>
      </c>
      <c r="Y80" s="512">
        <v>0.36926554052614108</v>
      </c>
      <c r="Z80" s="512">
        <v>0.36926554052614113</v>
      </c>
      <c r="AA80" s="514">
        <v>0.19464169814910937</v>
      </c>
    </row>
    <row r="81" spans="1:27" s="112" customFormat="1">
      <c r="A81" s="125" t="s">
        <v>714</v>
      </c>
      <c r="B81" s="296">
        <v>357</v>
      </c>
      <c r="C81" s="512">
        <v>9.8905818815330976E-2</v>
      </c>
      <c r="D81" s="512">
        <v>0.14562877569821919</v>
      </c>
      <c r="E81" s="512">
        <v>9.5289979675843101E-2</v>
      </c>
      <c r="F81" s="512">
        <v>0.13868025690251345</v>
      </c>
      <c r="G81" s="513">
        <v>0.75068062383430134</v>
      </c>
      <c r="H81" s="513">
        <v>0.83667308158794051</v>
      </c>
      <c r="I81" s="512">
        <v>9.3574032958671394E-2</v>
      </c>
      <c r="J81" s="512">
        <v>0.34385890924876383</v>
      </c>
      <c r="K81" s="512">
        <v>6.5699999999999995E-2</v>
      </c>
      <c r="L81" s="512">
        <v>0.3036986179520979</v>
      </c>
      <c r="M81" s="512">
        <v>8.0076581274269656E-2</v>
      </c>
      <c r="N81" s="513">
        <v>0.74604159884309651</v>
      </c>
      <c r="O81" s="513">
        <v>1.5631628979033525</v>
      </c>
      <c r="P81" s="513">
        <v>7.2263441411124827</v>
      </c>
      <c r="Q81" s="513">
        <v>10.406519873864868</v>
      </c>
      <c r="R81" s="513">
        <v>0.95097445390762725</v>
      </c>
      <c r="S81" s="513">
        <v>26.434953181062451</v>
      </c>
      <c r="T81" s="512">
        <v>-2.0946630263142677E-3</v>
      </c>
      <c r="U81" s="512">
        <v>0.10973486448820233</v>
      </c>
      <c r="V81" s="512">
        <v>4.7978107820970201E-2</v>
      </c>
      <c r="W81" s="512">
        <v>0.51278626408436367</v>
      </c>
      <c r="X81" s="512">
        <v>0.12192809569866123</v>
      </c>
      <c r="Y81" s="512">
        <v>0.45056013361274094</v>
      </c>
      <c r="Z81" s="512">
        <v>0.45056013361274094</v>
      </c>
      <c r="AA81" s="514">
        <v>0.14801483692823528</v>
      </c>
    </row>
    <row r="82" spans="1:27" s="112" customFormat="1">
      <c r="A82" s="125" t="s">
        <v>715</v>
      </c>
      <c r="B82" s="296">
        <v>82</v>
      </c>
      <c r="C82" s="512">
        <v>-1.1848593750000001E-2</v>
      </c>
      <c r="D82" s="512">
        <v>0.11104326222840347</v>
      </c>
      <c r="E82" s="512">
        <v>0.18674644470491369</v>
      </c>
      <c r="F82" s="512">
        <v>0.19010081966149922</v>
      </c>
      <c r="G82" s="513">
        <v>0.75181161013509046</v>
      </c>
      <c r="H82" s="513">
        <v>0.76620979096485398</v>
      </c>
      <c r="I82" s="512">
        <v>8.9550579064093166E-2</v>
      </c>
      <c r="J82" s="512">
        <v>0.36837870667795686</v>
      </c>
      <c r="K82" s="512">
        <v>6.5699999999999995E-2</v>
      </c>
      <c r="L82" s="512">
        <v>0.10497374311291298</v>
      </c>
      <c r="M82" s="512">
        <v>8.5307527868865682E-2</v>
      </c>
      <c r="N82" s="513">
        <v>2.063054907104521</v>
      </c>
      <c r="O82" s="513">
        <v>2.1191307148237168</v>
      </c>
      <c r="P82" s="513">
        <v>14.609529294235351</v>
      </c>
      <c r="Q82" s="513">
        <v>18.74181784305706</v>
      </c>
      <c r="R82" s="513">
        <v>4.404379392393313</v>
      </c>
      <c r="S82" s="513">
        <v>49.046082367731479</v>
      </c>
      <c r="T82" s="512">
        <v>0.19368218656241376</v>
      </c>
      <c r="U82" s="512">
        <v>1.4023266602783727E-2</v>
      </c>
      <c r="V82" s="512">
        <v>-7.4046856870474435E-3</v>
      </c>
      <c r="W82" s="512">
        <v>-5.0069596639942905E-2</v>
      </c>
      <c r="X82" s="512">
        <v>0.2080101698352004</v>
      </c>
      <c r="Y82" s="512">
        <v>0.3675676344734462</v>
      </c>
      <c r="Z82" s="512">
        <v>0.3675676344734462</v>
      </c>
      <c r="AA82" s="514">
        <v>0.11197229343951604</v>
      </c>
    </row>
    <row r="83" spans="1:27" s="112" customFormat="1">
      <c r="A83" s="125" t="s">
        <v>716</v>
      </c>
      <c r="B83" s="296">
        <v>311</v>
      </c>
      <c r="C83" s="512">
        <v>0.12961611702127657</v>
      </c>
      <c r="D83" s="512">
        <v>0.3005706765379933</v>
      </c>
      <c r="E83" s="512">
        <v>0.21551369284962238</v>
      </c>
      <c r="F83" s="512">
        <v>0.16014482156025028</v>
      </c>
      <c r="G83" s="513">
        <v>1.2571994981034138</v>
      </c>
      <c r="H83" s="513">
        <v>1.2601011119394356</v>
      </c>
      <c r="I83" s="512">
        <v>0.11775177349174176</v>
      </c>
      <c r="J83" s="512">
        <v>0.52915911664466964</v>
      </c>
      <c r="K83" s="512">
        <v>6.8199999999999997E-2</v>
      </c>
      <c r="L83" s="512">
        <v>3.7008983305729826E-2</v>
      </c>
      <c r="M83" s="512">
        <v>0.11528135674059869</v>
      </c>
      <c r="N83" s="513">
        <v>1.2108199820984327</v>
      </c>
      <c r="O83" s="513">
        <v>6.6259983044355533</v>
      </c>
      <c r="P83" s="513">
        <v>17.79794122383781</v>
      </c>
      <c r="Q83" s="513">
        <v>21.789297096862128</v>
      </c>
      <c r="R83" s="513">
        <v>6.2033634949669505</v>
      </c>
      <c r="S83" s="513">
        <v>81.084141905873608</v>
      </c>
      <c r="T83" s="512">
        <v>1.6436534451378371E-2</v>
      </c>
      <c r="U83" s="512">
        <v>0.12785219724176686</v>
      </c>
      <c r="V83" s="512">
        <v>9.4886756453533436E-2</v>
      </c>
      <c r="W83" s="512">
        <v>0.42153839341779437</v>
      </c>
      <c r="X83" s="512">
        <v>0.28098010540455348</v>
      </c>
      <c r="Y83" s="512">
        <v>8.3681804380602395E-2</v>
      </c>
      <c r="Z83" s="512">
        <v>8.3681804380602354E-2</v>
      </c>
      <c r="AA83" s="514">
        <v>0.31058338187815349</v>
      </c>
    </row>
    <row r="84" spans="1:27" s="112" customFormat="1">
      <c r="A84" s="125" t="s">
        <v>717</v>
      </c>
      <c r="B84" s="296">
        <v>147</v>
      </c>
      <c r="C84" s="512">
        <v>0.13876399999999994</v>
      </c>
      <c r="D84" s="512">
        <v>4.8592885534827684E-2</v>
      </c>
      <c r="E84" s="512">
        <v>0.13534242363047064</v>
      </c>
      <c r="F84" s="512">
        <v>0.1360800774419946</v>
      </c>
      <c r="G84" s="513">
        <v>1.3183294821552847</v>
      </c>
      <c r="H84" s="513">
        <v>1.370302206754265</v>
      </c>
      <c r="I84" s="512">
        <v>0.12404425600566851</v>
      </c>
      <c r="J84" s="512">
        <v>0.49045487085788775</v>
      </c>
      <c r="K84" s="512">
        <v>6.8199999999999997E-2</v>
      </c>
      <c r="L84" s="512">
        <v>9.5502126247720726E-2</v>
      </c>
      <c r="M84" s="512">
        <v>0.11706837042685928</v>
      </c>
      <c r="N84" s="513">
        <v>1.4171358211200535</v>
      </c>
      <c r="O84" s="513">
        <v>6.0066069047199138</v>
      </c>
      <c r="P84" s="513">
        <v>36.671837030076084</v>
      </c>
      <c r="Q84" s="513">
        <v>95.595691678893957</v>
      </c>
      <c r="R84" s="513">
        <v>8.0961272345955066</v>
      </c>
      <c r="S84" s="513">
        <v>54.19840720169244</v>
      </c>
      <c r="T84" s="512">
        <v>5.9655597420043373E-2</v>
      </c>
      <c r="U84" s="512">
        <v>7.164938473559157E-2</v>
      </c>
      <c r="V84" s="512">
        <v>1.8867821441981214</v>
      </c>
      <c r="W84" s="512">
        <v>48.707438751507134</v>
      </c>
      <c r="X84" s="512">
        <v>3.6759101712570227E-2</v>
      </c>
      <c r="Y84" s="512">
        <v>0.50314426413980151</v>
      </c>
      <c r="Z84" s="512">
        <v>0.50314426413980151</v>
      </c>
      <c r="AA84" s="514">
        <v>1.89933875321686</v>
      </c>
    </row>
    <row r="85" spans="1:27" s="112" customFormat="1">
      <c r="A85" s="125" t="s">
        <v>718</v>
      </c>
      <c r="B85" s="296">
        <v>1567</v>
      </c>
      <c r="C85" s="512">
        <v>0.12663019977802442</v>
      </c>
      <c r="D85" s="512">
        <v>0.23529299232412612</v>
      </c>
      <c r="E85" s="512">
        <v>0.2155025330071699</v>
      </c>
      <c r="F85" s="512">
        <v>0.18289890986131171</v>
      </c>
      <c r="G85" s="513">
        <v>1.3062901950386756</v>
      </c>
      <c r="H85" s="513">
        <v>1.3220217888237162</v>
      </c>
      <c r="I85" s="512">
        <v>0.12128744414183421</v>
      </c>
      <c r="J85" s="512">
        <v>0.51824106765028743</v>
      </c>
      <c r="K85" s="512">
        <v>6.8199999999999997E-2</v>
      </c>
      <c r="L85" s="512">
        <v>4.7382927083984457E-2</v>
      </c>
      <c r="M85" s="512">
        <v>0.11795701740582495</v>
      </c>
      <c r="N85" s="513">
        <v>1.7212276243824696</v>
      </c>
      <c r="O85" s="513">
        <v>9.9497089070054159</v>
      </c>
      <c r="P85" s="513">
        <v>28.175499498690545</v>
      </c>
      <c r="Q85" s="513">
        <v>38.916959564123097</v>
      </c>
      <c r="R85" s="513">
        <v>9.3557348214558846</v>
      </c>
      <c r="S85" s="513">
        <v>126.90444921887325</v>
      </c>
      <c r="T85" s="512">
        <v>0.11839954050265998</v>
      </c>
      <c r="U85" s="512">
        <v>9.893182940943189E-2</v>
      </c>
      <c r="V85" s="512">
        <v>0.16827628965820413</v>
      </c>
      <c r="W85" s="512">
        <v>0.94459048083386654</v>
      </c>
      <c r="X85" s="512">
        <v>0.19997192333925523</v>
      </c>
      <c r="Y85" s="512">
        <v>0.29238301037888953</v>
      </c>
      <c r="Z85" s="512">
        <v>0.29238301037888959</v>
      </c>
      <c r="AA85" s="514">
        <v>0.24855550478055449</v>
      </c>
    </row>
    <row r="86" spans="1:27" s="112" customFormat="1">
      <c r="A86" s="125" t="s">
        <v>719</v>
      </c>
      <c r="B86" s="296">
        <v>727</v>
      </c>
      <c r="C86" s="512">
        <v>8.8677347294938869E-2</v>
      </c>
      <c r="D86" s="512">
        <v>5.5889643798703773E-2</v>
      </c>
      <c r="E86" s="512">
        <v>6.7143665619295564E-2</v>
      </c>
      <c r="F86" s="512">
        <v>0.22305624292718015</v>
      </c>
      <c r="G86" s="513">
        <v>0.93689769811718748</v>
      </c>
      <c r="H86" s="513">
        <v>1.1503164323693125</v>
      </c>
      <c r="I86" s="512">
        <v>0.11148306828828775</v>
      </c>
      <c r="J86" s="512">
        <v>0.36476093072794807</v>
      </c>
      <c r="K86" s="512">
        <v>6.5699999999999995E-2</v>
      </c>
      <c r="L86" s="512">
        <v>0.34918648395176072</v>
      </c>
      <c r="M86" s="512">
        <v>8.9710380234879136E-2</v>
      </c>
      <c r="N86" s="513">
        <v>1.4149409280658292</v>
      </c>
      <c r="O86" s="513">
        <v>0.73781656461847134</v>
      </c>
      <c r="P86" s="513">
        <v>6.7333764064996515</v>
      </c>
      <c r="Q86" s="513">
        <v>12.416542389663983</v>
      </c>
      <c r="R86" s="513">
        <v>0.88660402615972833</v>
      </c>
      <c r="S86" s="513">
        <v>40.615494893065701</v>
      </c>
      <c r="T86" s="512">
        <v>0.14573435255963102</v>
      </c>
      <c r="U86" s="512">
        <v>6.9209707930097855E-2</v>
      </c>
      <c r="V86" s="512">
        <v>4.405337669589425E-2</v>
      </c>
      <c r="W86" s="512">
        <v>1.1489567343320086</v>
      </c>
      <c r="X86" s="512">
        <v>5.8177599115749157E-2</v>
      </c>
      <c r="Y86" s="512">
        <v>0.76260581180671161</v>
      </c>
      <c r="Z86" s="512">
        <v>0.76260581180671161</v>
      </c>
      <c r="AA86" s="514">
        <v>5.6538046440976833E-2</v>
      </c>
    </row>
    <row r="87" spans="1:27" s="112" customFormat="1">
      <c r="A87" s="125" t="s">
        <v>720</v>
      </c>
      <c r="B87" s="296">
        <v>98</v>
      </c>
      <c r="C87" s="512">
        <v>6.5721249999999995E-2</v>
      </c>
      <c r="D87" s="512">
        <v>0.15042561105332769</v>
      </c>
      <c r="E87" s="512">
        <v>9.125758201669891E-2</v>
      </c>
      <c r="F87" s="512">
        <v>0.20573941316505037</v>
      </c>
      <c r="G87" s="513">
        <v>0.66770294376917949</v>
      </c>
      <c r="H87" s="513">
        <v>0.89668652080411071</v>
      </c>
      <c r="I87" s="512">
        <v>9.7000800337914722E-2</v>
      </c>
      <c r="J87" s="512">
        <v>0.29794391722305269</v>
      </c>
      <c r="K87" s="512">
        <v>6.1199999999999997E-2</v>
      </c>
      <c r="L87" s="512">
        <v>0.37176350772858208</v>
      </c>
      <c r="M87" s="512">
        <v>7.7953333317873047E-2</v>
      </c>
      <c r="N87" s="513">
        <v>0.73270451305727935</v>
      </c>
      <c r="O87" s="513">
        <v>2.4164834395924806</v>
      </c>
      <c r="P87" s="513">
        <v>7.9368941512140507</v>
      </c>
      <c r="Q87" s="513">
        <v>16.180334774348271</v>
      </c>
      <c r="R87" s="513">
        <v>1.67383663047263</v>
      </c>
      <c r="S87" s="513">
        <v>37.225399646705654</v>
      </c>
      <c r="T87" s="512">
        <v>-0.11944514701787583</v>
      </c>
      <c r="U87" s="512">
        <v>0.14227790591002004</v>
      </c>
      <c r="V87" s="512">
        <v>4.436514397926499E-3</v>
      </c>
      <c r="W87" s="512">
        <v>0.23214748789030573</v>
      </c>
      <c r="X87" s="512">
        <v>0.12144919744872282</v>
      </c>
      <c r="Y87" s="512">
        <v>0.5651423003823961</v>
      </c>
      <c r="Z87" s="512">
        <v>0.5651423003823961</v>
      </c>
      <c r="AA87" s="514">
        <v>0.15460199014959705</v>
      </c>
    </row>
    <row r="88" spans="1:27" s="112" customFormat="1">
      <c r="A88" s="125" t="s">
        <v>721</v>
      </c>
      <c r="B88" s="296">
        <v>440</v>
      </c>
      <c r="C88" s="512">
        <v>3.2497717391304352E-2</v>
      </c>
      <c r="D88" s="512">
        <v>0.10034189474527085</v>
      </c>
      <c r="E88" s="512">
        <v>0.11508881356882519</v>
      </c>
      <c r="F88" s="512">
        <v>0.13315894255152091</v>
      </c>
      <c r="G88" s="513">
        <v>1.1657942786205602</v>
      </c>
      <c r="H88" s="513">
        <v>1.194848437320267</v>
      </c>
      <c r="I88" s="512">
        <v>0.11402584577098723</v>
      </c>
      <c r="J88" s="512">
        <v>0.45110054710512826</v>
      </c>
      <c r="K88" s="512">
        <v>6.8199999999999997E-2</v>
      </c>
      <c r="L88" s="512">
        <v>0.11717756571463833</v>
      </c>
      <c r="M88" s="512">
        <v>0.10664062589933408</v>
      </c>
      <c r="N88" s="513">
        <v>2.133449316551066</v>
      </c>
      <c r="O88" s="513">
        <v>3.1249197515155034</v>
      </c>
      <c r="P88" s="513">
        <v>19.594893307939277</v>
      </c>
      <c r="Q88" s="513">
        <v>28.77849391695484</v>
      </c>
      <c r="R88" s="513">
        <v>1.4537205694885273</v>
      </c>
      <c r="S88" s="513">
        <v>1214.1471266685842</v>
      </c>
      <c r="T88" s="512">
        <v>0.23096559178353746</v>
      </c>
      <c r="U88" s="512">
        <v>3.1403608045827418E-2</v>
      </c>
      <c r="V88" s="512">
        <v>0.11382499999201402</v>
      </c>
      <c r="W88" s="512">
        <v>1.1182336620949951</v>
      </c>
      <c r="X88" s="512">
        <v>8.7012111237822612E-2</v>
      </c>
      <c r="Y88" s="512">
        <v>0.79802087141084721</v>
      </c>
      <c r="Z88" s="512">
        <v>0.79802087141084721</v>
      </c>
      <c r="AA88" s="514">
        <v>0.10628065173262888</v>
      </c>
    </row>
    <row r="89" spans="1:27" s="112" customFormat="1">
      <c r="A89" s="125" t="s">
        <v>722</v>
      </c>
      <c r="B89" s="296">
        <v>274</v>
      </c>
      <c r="C89" s="512">
        <v>9.6222347417840359E-2</v>
      </c>
      <c r="D89" s="512">
        <v>0.15849933656994836</v>
      </c>
      <c r="E89" s="512">
        <v>9.4436351958960607E-2</v>
      </c>
      <c r="F89" s="512">
        <v>0.25729177159679451</v>
      </c>
      <c r="G89" s="513">
        <v>0.56153373714287003</v>
      </c>
      <c r="H89" s="513">
        <v>0.85506016141987085</v>
      </c>
      <c r="I89" s="512">
        <v>9.4623935217074628E-2</v>
      </c>
      <c r="J89" s="512">
        <v>0.35950142269336272</v>
      </c>
      <c r="K89" s="512">
        <v>6.5699999999999995E-2</v>
      </c>
      <c r="L89" s="512">
        <v>0.44395476550669882</v>
      </c>
      <c r="M89" s="512">
        <v>7.4426890094993439E-2</v>
      </c>
      <c r="N89" s="513">
        <v>0.70691492983469217</v>
      </c>
      <c r="O89" s="513">
        <v>2.1270350277373287</v>
      </c>
      <c r="P89" s="513">
        <v>6.5912517480804089</v>
      </c>
      <c r="Q89" s="513">
        <v>13.150511409746436</v>
      </c>
      <c r="R89" s="513">
        <v>1.4442478756159476</v>
      </c>
      <c r="S89" s="513">
        <v>31.7251055162019</v>
      </c>
      <c r="T89" s="512">
        <v>2.494972503375732E-3</v>
      </c>
      <c r="U89" s="512">
        <v>0.13961160101976128</v>
      </c>
      <c r="V89" s="512">
        <v>-2.4904116834196376E-2</v>
      </c>
      <c r="W89" s="512">
        <v>-0.17043021892032609</v>
      </c>
      <c r="X89" s="512">
        <v>7.1739973693203868E-2</v>
      </c>
      <c r="Y89" s="512">
        <v>1.040007505483598</v>
      </c>
      <c r="Z89" s="512">
        <v>1.040007505483598</v>
      </c>
      <c r="AA89" s="514">
        <v>0.15940387291798466</v>
      </c>
    </row>
    <row r="90" spans="1:27" s="112" customFormat="1">
      <c r="A90" s="125" t="s">
        <v>723</v>
      </c>
      <c r="B90" s="296">
        <v>54</v>
      </c>
      <c r="C90" s="512">
        <v>0.32169511627906971</v>
      </c>
      <c r="D90" s="512">
        <v>0.31816203573924395</v>
      </c>
      <c r="E90" s="512">
        <v>0.21074845170305248</v>
      </c>
      <c r="F90" s="512">
        <v>0.21340542399574022</v>
      </c>
      <c r="G90" s="513">
        <v>0.42818234522060977</v>
      </c>
      <c r="H90" s="513">
        <v>0.49910083760209473</v>
      </c>
      <c r="I90" s="512">
        <v>7.4298657827079603E-2</v>
      </c>
      <c r="J90" s="512">
        <v>0.43507177989988399</v>
      </c>
      <c r="K90" s="512">
        <v>6.5699999999999995E-2</v>
      </c>
      <c r="L90" s="512">
        <v>0.21836442328743838</v>
      </c>
      <c r="M90" s="512">
        <v>6.8802818823385209E-2</v>
      </c>
      <c r="N90" s="513">
        <v>0.81312761419023938</v>
      </c>
      <c r="O90" s="513">
        <v>3.811976834989089</v>
      </c>
      <c r="P90" s="513">
        <v>10.585718837954175</v>
      </c>
      <c r="Q90" s="513">
        <v>11.944817072909601</v>
      </c>
      <c r="R90" s="513">
        <v>4.324858735416174</v>
      </c>
      <c r="S90" s="513">
        <v>24.825429268205777</v>
      </c>
      <c r="T90" s="512">
        <v>0.16015318560811023</v>
      </c>
      <c r="U90" s="512">
        <v>3.0316812433430644E-2</v>
      </c>
      <c r="V90" s="512">
        <v>-6.124985589879158E-3</v>
      </c>
      <c r="W90" s="512">
        <v>-1.5547900434163519E-2</v>
      </c>
      <c r="X90" s="512">
        <v>0.10474313833596573</v>
      </c>
      <c r="Y90" s="512">
        <v>1.9933810028880292</v>
      </c>
      <c r="Z90" s="512">
        <v>1.9933810028880292</v>
      </c>
      <c r="AA90" s="514">
        <v>0.31851588612350995</v>
      </c>
    </row>
    <row r="91" spans="1:27" s="112" customFormat="1">
      <c r="A91" s="125" t="s">
        <v>724</v>
      </c>
      <c r="B91" s="296">
        <v>446</v>
      </c>
      <c r="C91" s="512">
        <v>0.11398623376623374</v>
      </c>
      <c r="D91" s="512">
        <v>6.6782666247013941E-2</v>
      </c>
      <c r="E91" s="512">
        <v>8.7719822672790257E-2</v>
      </c>
      <c r="F91" s="512">
        <v>0.2196352934185786</v>
      </c>
      <c r="G91" s="513">
        <v>0.7080179718509676</v>
      </c>
      <c r="H91" s="513">
        <v>0.92087739800685964</v>
      </c>
      <c r="I91" s="512">
        <v>9.8382099426191694E-2</v>
      </c>
      <c r="J91" s="512">
        <v>0.3542176323049625</v>
      </c>
      <c r="K91" s="512">
        <v>6.5699999999999995E-2</v>
      </c>
      <c r="L91" s="512">
        <v>0.35916401757608279</v>
      </c>
      <c r="M91" s="512">
        <v>8.0692682737672078E-2</v>
      </c>
      <c r="N91" s="513">
        <v>1.6123142590216617</v>
      </c>
      <c r="O91" s="513">
        <v>1.2299670565769731</v>
      </c>
      <c r="P91" s="513">
        <v>10.45563391803228</v>
      </c>
      <c r="Q91" s="513">
        <v>17.314661800139064</v>
      </c>
      <c r="R91" s="513">
        <v>1.9017142768387425</v>
      </c>
      <c r="S91" s="513">
        <v>45.612184510163168</v>
      </c>
      <c r="T91" s="512">
        <v>3.2252271365141083E-2</v>
      </c>
      <c r="U91" s="512">
        <v>4.3282548485499714E-2</v>
      </c>
      <c r="V91" s="512">
        <v>1.0388768796590047E-2</v>
      </c>
      <c r="W91" s="512">
        <v>0.37753566426628327</v>
      </c>
      <c r="X91" s="512">
        <v>0.11920419510260823</v>
      </c>
      <c r="Y91" s="512">
        <v>0.55438147857737052</v>
      </c>
      <c r="Z91" s="512">
        <v>0.55438147857737052</v>
      </c>
      <c r="AA91" s="514">
        <v>6.7305111868644157E-2</v>
      </c>
    </row>
    <row r="92" spans="1:27" s="112" customFormat="1">
      <c r="A92" s="125" t="s">
        <v>725</v>
      </c>
      <c r="B92" s="296">
        <v>54</v>
      </c>
      <c r="C92" s="512">
        <v>1.1922222222222202E-3</v>
      </c>
      <c r="D92" s="512">
        <v>0.22968154884064834</v>
      </c>
      <c r="E92" s="512">
        <v>8.39752026313908E-2</v>
      </c>
      <c r="F92" s="512">
        <v>0.23749901561865872</v>
      </c>
      <c r="G92" s="513">
        <v>0.61340248884171</v>
      </c>
      <c r="H92" s="513">
        <v>0.80094303509046127</v>
      </c>
      <c r="I92" s="512">
        <v>9.1533847303665344E-2</v>
      </c>
      <c r="J92" s="512">
        <v>0.21796118227542896</v>
      </c>
      <c r="K92" s="512">
        <v>6.1199999999999997E-2</v>
      </c>
      <c r="L92" s="512">
        <v>0.32519926850152797</v>
      </c>
      <c r="M92" s="512">
        <v>7.6649968712091898E-2</v>
      </c>
      <c r="N92" s="513">
        <v>0.46351632546624344</v>
      </c>
      <c r="O92" s="513">
        <v>3.7335931446659179</v>
      </c>
      <c r="P92" s="513">
        <v>11.006040774056666</v>
      </c>
      <c r="Q92" s="513">
        <v>15.994348218590789</v>
      </c>
      <c r="R92" s="513">
        <v>1.9506652485134208</v>
      </c>
      <c r="S92" s="513">
        <v>24.631744447251233</v>
      </c>
      <c r="T92" s="512">
        <v>6.2444992242129023E-2</v>
      </c>
      <c r="U92" s="512">
        <v>0.17329726449242247</v>
      </c>
      <c r="V92" s="512">
        <v>0.11132107764862063</v>
      </c>
      <c r="W92" s="512">
        <v>0.6724574315836479</v>
      </c>
      <c r="X92" s="512">
        <v>0.13012236885872019</v>
      </c>
      <c r="Y92" s="512">
        <v>0.38343613016708661</v>
      </c>
      <c r="Z92" s="512">
        <v>0.38343613016708655</v>
      </c>
      <c r="AA92" s="514">
        <v>0.23157174435676822</v>
      </c>
    </row>
    <row r="93" spans="1:27" s="112" customFormat="1">
      <c r="A93" s="125" t="s">
        <v>726</v>
      </c>
      <c r="B93" s="296">
        <v>113</v>
      </c>
      <c r="C93" s="512">
        <v>4.9181604938271582E-2</v>
      </c>
      <c r="D93" s="512">
        <v>7.5329657179919907E-2</v>
      </c>
      <c r="E93" s="512">
        <v>9.4258622061818315E-2</v>
      </c>
      <c r="F93" s="512">
        <v>0.24711593668939988</v>
      </c>
      <c r="G93" s="513">
        <v>0.69727657257099662</v>
      </c>
      <c r="H93" s="513">
        <v>0.85159207810101301</v>
      </c>
      <c r="I93" s="512">
        <v>9.4425907659567848E-2</v>
      </c>
      <c r="J93" s="512">
        <v>0.33872458859943927</v>
      </c>
      <c r="K93" s="512">
        <v>6.5699999999999995E-2</v>
      </c>
      <c r="L93" s="512">
        <v>0.26028933258687587</v>
      </c>
      <c r="M93" s="512">
        <v>8.2635985819035168E-2</v>
      </c>
      <c r="N93" s="513">
        <v>1.529153595252337</v>
      </c>
      <c r="O93" s="513">
        <v>1.5853905197423346</v>
      </c>
      <c r="P93" s="513">
        <v>10.290760835840068</v>
      </c>
      <c r="Q93" s="513">
        <v>20.328257422330534</v>
      </c>
      <c r="R93" s="513">
        <v>2.5622334984026183</v>
      </c>
      <c r="S93" s="513">
        <v>77.87155222990306</v>
      </c>
      <c r="T93" s="512">
        <v>6.700264607480963E-2</v>
      </c>
      <c r="U93" s="512">
        <v>0.11257750993727737</v>
      </c>
      <c r="V93" s="512">
        <v>6.8895839712374188E-2</v>
      </c>
      <c r="W93" s="512">
        <v>1.1478645542405777</v>
      </c>
      <c r="X93" s="512">
        <v>9.1755688750329203E-2</v>
      </c>
      <c r="Y93" s="512">
        <v>0.30221952602123159</v>
      </c>
      <c r="Z93" s="512">
        <v>0.30221952602123159</v>
      </c>
      <c r="AA93" s="514">
        <v>7.6813842914120231E-2</v>
      </c>
    </row>
    <row r="94" spans="1:27" s="112" customFormat="1">
      <c r="A94" s="125" t="s">
        <v>727</v>
      </c>
      <c r="B94" s="296">
        <v>52</v>
      </c>
      <c r="C94" s="512">
        <v>4.313956521739129E-2</v>
      </c>
      <c r="D94" s="512">
        <v>0.1497309632557981</v>
      </c>
      <c r="E94" s="512">
        <v>8.4067957235806526E-2</v>
      </c>
      <c r="F94" s="512">
        <v>0.15316840215453981</v>
      </c>
      <c r="G94" s="513">
        <v>0.4293673465124172</v>
      </c>
      <c r="H94" s="513">
        <v>0.65296500843936944</v>
      </c>
      <c r="I94" s="512">
        <v>8.3084301981887987E-2</v>
      </c>
      <c r="J94" s="512">
        <v>0.21904160884218274</v>
      </c>
      <c r="K94" s="512">
        <v>6.1199999999999997E-2</v>
      </c>
      <c r="L94" s="512">
        <v>0.44426312380056915</v>
      </c>
      <c r="M94" s="512">
        <v>6.6504872240082225E-2</v>
      </c>
      <c r="N94" s="513">
        <v>0.67089623810933319</v>
      </c>
      <c r="O94" s="513">
        <v>2.4083087954547548</v>
      </c>
      <c r="P94" s="513">
        <v>10.29775989560504</v>
      </c>
      <c r="Q94" s="513">
        <v>16.129722995120197</v>
      </c>
      <c r="R94" s="513">
        <v>1.6043714315865321</v>
      </c>
      <c r="S94" s="513">
        <v>16.751606932735751</v>
      </c>
      <c r="T94" s="512">
        <v>-3.2225694249951281E-2</v>
      </c>
      <c r="U94" s="512">
        <v>0.19357492852232017</v>
      </c>
      <c r="V94" s="512">
        <v>0.11661381202132674</v>
      </c>
      <c r="W94" s="512">
        <v>0.99689596321938057</v>
      </c>
      <c r="X94" s="512">
        <v>0.10714233716527913</v>
      </c>
      <c r="Y94" s="512">
        <v>0.67801327431464675</v>
      </c>
      <c r="Z94" s="512">
        <v>0.67801327431464675</v>
      </c>
      <c r="AA94" s="514">
        <v>0.14938493487574075</v>
      </c>
    </row>
    <row r="95" spans="1:27" s="112" customFormat="1">
      <c r="A95" s="125" t="s">
        <v>728</v>
      </c>
      <c r="B95" s="296">
        <v>106</v>
      </c>
      <c r="C95" s="512">
        <v>6.4026588235294113E-2</v>
      </c>
      <c r="D95" s="512">
        <v>0.2619979802373128</v>
      </c>
      <c r="E95" s="512">
        <v>7.0456338035697091E-2</v>
      </c>
      <c r="F95" s="512">
        <v>0.21916734957401024</v>
      </c>
      <c r="G95" s="513">
        <v>0.40705762441097582</v>
      </c>
      <c r="H95" s="513">
        <v>0.66746123038331107</v>
      </c>
      <c r="I95" s="512">
        <v>8.3912036254887051E-2</v>
      </c>
      <c r="J95" s="512">
        <v>0.3134659052139992</v>
      </c>
      <c r="K95" s="512">
        <v>6.5699999999999995E-2</v>
      </c>
      <c r="L95" s="512">
        <v>0.49485393016853568</v>
      </c>
      <c r="M95" s="512">
        <v>6.6700236547699576E-2</v>
      </c>
      <c r="N95" s="513">
        <v>0.31906450065547604</v>
      </c>
      <c r="O95" s="513">
        <v>4.4490269133322533</v>
      </c>
      <c r="P95" s="513">
        <v>11.223810658872942</v>
      </c>
      <c r="Q95" s="513">
        <v>16.829973847096994</v>
      </c>
      <c r="R95" s="513">
        <v>1.3543250533701492</v>
      </c>
      <c r="S95" s="513">
        <v>22.163816089934691</v>
      </c>
      <c r="T95" s="512">
        <v>0.10812369734755466</v>
      </c>
      <c r="U95" s="512">
        <v>0.24975989914155822</v>
      </c>
      <c r="V95" s="512">
        <v>0.13122845913740941</v>
      </c>
      <c r="W95" s="512">
        <v>0.76399340102482038</v>
      </c>
      <c r="X95" s="512">
        <v>0.11510643200063127</v>
      </c>
      <c r="Y95" s="512">
        <v>0.66562553881679976</v>
      </c>
      <c r="Z95" s="512">
        <v>0.48297940904182024</v>
      </c>
      <c r="AA95" s="514">
        <v>0.26216752986427083</v>
      </c>
    </row>
    <row r="96" spans="1:27" ht="14">
      <c r="A96" s="125" t="s">
        <v>939</v>
      </c>
      <c r="B96" s="296">
        <v>47810</v>
      </c>
      <c r="C96" s="512">
        <v>9.1966694121249262E-2</v>
      </c>
      <c r="D96" s="512">
        <v>0.10240304523413575</v>
      </c>
      <c r="E96" s="512">
        <v>6.9313341609557322E-2</v>
      </c>
      <c r="F96" s="512">
        <v>0.21544398218534849</v>
      </c>
      <c r="G96" s="513">
        <v>0.79446024685547756</v>
      </c>
      <c r="H96" s="513">
        <v>1.016327909542543</v>
      </c>
      <c r="I96" s="512">
        <v>0.10383232363487921</v>
      </c>
      <c r="J96" s="512">
        <v>0.4087040282697168</v>
      </c>
      <c r="K96" s="512">
        <v>6.5699999999999995E-2</v>
      </c>
      <c r="L96" s="512">
        <v>0.37081896540542153</v>
      </c>
      <c r="M96" s="512">
        <v>8.3547835156044858E-2</v>
      </c>
      <c r="N96" s="513">
        <v>0.79649018630976298</v>
      </c>
      <c r="O96" s="513">
        <v>2.4842971498154522</v>
      </c>
      <c r="P96" s="513">
        <v>13.21342785074356</v>
      </c>
      <c r="Q96" s="513">
        <v>19.78446438728275</v>
      </c>
      <c r="R96" s="513">
        <v>2.1526525659456675</v>
      </c>
      <c r="S96" s="513">
        <v>74.52514474933345</v>
      </c>
      <c r="T96" s="512">
        <v>-1.2054905343567515</v>
      </c>
      <c r="U96" s="512">
        <v>6.4356964836934163E-2</v>
      </c>
      <c r="V96" s="512">
        <v>4.1558562690575673E-2</v>
      </c>
      <c r="W96" s="512">
        <v>0.68522485423730717</v>
      </c>
      <c r="X96" s="512">
        <v>0.11510643200063127</v>
      </c>
      <c r="Y96" s="512">
        <v>0.48297940904182024</v>
      </c>
      <c r="Z96" s="512">
        <v>0.48297940904182024</v>
      </c>
      <c r="AA96" s="514">
        <v>0.10587551679735265</v>
      </c>
    </row>
    <row r="97" spans="1:27" ht="14">
      <c r="A97" s="125" t="s">
        <v>908</v>
      </c>
      <c r="B97" s="296">
        <v>42750</v>
      </c>
      <c r="C97" s="512">
        <v>8.678596665746692E-2</v>
      </c>
      <c r="D97" s="512">
        <v>9.777263014633325E-2</v>
      </c>
      <c r="E97" s="512">
        <v>0.10997032471851471</v>
      </c>
      <c r="F97" s="512">
        <v>0.22547870642741624</v>
      </c>
      <c r="G97" s="513">
        <v>0.91515519742886497</v>
      </c>
      <c r="H97" s="513">
        <v>1.0480020010286757</v>
      </c>
      <c r="I97" s="512">
        <v>0.10564091425873738</v>
      </c>
      <c r="J97" s="512">
        <v>0.41664366643680406</v>
      </c>
      <c r="K97" s="512">
        <v>6.5699999999999995E-2</v>
      </c>
      <c r="L97" s="512">
        <v>0.22771761651352895</v>
      </c>
      <c r="M97" s="512">
        <v>9.27724883068409E-2</v>
      </c>
      <c r="N97" s="513">
        <v>1.3815053414692071</v>
      </c>
      <c r="O97" s="513">
        <v>1.8953802539663376</v>
      </c>
      <c r="P97" s="513">
        <v>12.152627518309783</v>
      </c>
      <c r="Q97" s="513">
        <v>18.667601887208964</v>
      </c>
      <c r="R97" s="513">
        <v>2.5328727957007104</v>
      </c>
      <c r="S97" s="513">
        <v>77.658970603389889</v>
      </c>
      <c r="T97" s="512">
        <v>0.12219536157105167</v>
      </c>
      <c r="U97" s="512">
        <v>6.476508635962093E-2</v>
      </c>
      <c r="V97" s="512">
        <v>4.0760209215402951E-2</v>
      </c>
      <c r="W97" s="512">
        <v>0.71234198821016526</v>
      </c>
      <c r="X97" s="512">
        <v>0.1112437980672905</v>
      </c>
      <c r="Y97" s="512">
        <v>0.53540530338567249</v>
      </c>
      <c r="Z97" s="512">
        <v>0.53540530338567249</v>
      </c>
      <c r="AA97" s="514">
        <v>0.10142295103506685</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baseColWidth="10" defaultRowHeight="13"/>
  <cols>
    <col min="1" max="1" width="34" bestFit="1" customWidth="1"/>
    <col min="2" max="2" width="16" style="67" customWidth="1"/>
    <col min="3" max="3" width="19.83203125" style="67" bestFit="1" customWidth="1"/>
    <col min="4" max="4" width="22.1640625" style="67" bestFit="1" customWidth="1"/>
    <col min="5" max="5" width="14.1640625" bestFit="1" customWidth="1"/>
  </cols>
  <sheetData>
    <row r="1" spans="1:5">
      <c r="B1" s="54" t="s">
        <v>364</v>
      </c>
      <c r="C1" s="54" t="s">
        <v>395</v>
      </c>
      <c r="D1" s="54" t="s">
        <v>396</v>
      </c>
      <c r="E1" s="54" t="s">
        <v>365</v>
      </c>
    </row>
    <row r="2" spans="1:5" ht="14">
      <c r="A2" s="30" t="s">
        <v>5</v>
      </c>
      <c r="B2" s="71">
        <v>15794.34</v>
      </c>
      <c r="C2" s="71">
        <v>7608.13</v>
      </c>
      <c r="D2" s="71">
        <v>9444.11</v>
      </c>
      <c r="E2" s="72">
        <f>B2-C2+D2</f>
        <v>17630.32</v>
      </c>
    </row>
    <row r="3" spans="1:5" ht="14">
      <c r="A3" s="30" t="s">
        <v>600</v>
      </c>
      <c r="B3" s="71">
        <v>1221.81</v>
      </c>
      <c r="C3" s="71">
        <v>581.41</v>
      </c>
      <c r="D3" s="71">
        <v>756</v>
      </c>
      <c r="E3" s="72">
        <f>B3-C3+D3</f>
        <v>1396.4</v>
      </c>
    </row>
    <row r="4" spans="1:5" ht="14">
      <c r="A4" s="30" t="s">
        <v>18</v>
      </c>
      <c r="B4" s="71">
        <v>1605.23</v>
      </c>
      <c r="C4" s="71">
        <v>908.79</v>
      </c>
      <c r="D4" s="71">
        <v>1165.5</v>
      </c>
      <c r="E4" s="72">
        <f>B4-C4+D4</f>
        <v>1861.94</v>
      </c>
    </row>
    <row r="5" spans="1:5" ht="14">
      <c r="A5" s="30" t="s">
        <v>406</v>
      </c>
      <c r="B5" s="71">
        <v>420.49</v>
      </c>
      <c r="C5" s="71">
        <v>182.82</v>
      </c>
      <c r="D5" s="71">
        <v>287.56</v>
      </c>
      <c r="E5" s="72">
        <f>B5-C5+D5</f>
        <v>525.23</v>
      </c>
    </row>
    <row r="6" spans="1:5" ht="14">
      <c r="A6" s="30" t="s">
        <v>19</v>
      </c>
      <c r="B6" s="71">
        <v>5238.7700000000004</v>
      </c>
      <c r="C6" s="71"/>
      <c r="D6" s="71">
        <v>6105.55</v>
      </c>
      <c r="E6" s="72"/>
    </row>
    <row r="7" spans="1:5" ht="14">
      <c r="A7" s="30" t="s">
        <v>20</v>
      </c>
      <c r="B7" s="71">
        <v>10360</v>
      </c>
      <c r="C7" s="71"/>
      <c r="D7" s="71">
        <v>12594.14</v>
      </c>
      <c r="E7" s="72"/>
    </row>
    <row r="8" spans="1:5" ht="14">
      <c r="A8" s="30" t="s">
        <v>217</v>
      </c>
      <c r="B8" s="71"/>
      <c r="C8" s="71"/>
      <c r="D8" s="71"/>
      <c r="E8" s="72"/>
    </row>
    <row r="9" spans="1:5" ht="14">
      <c r="A9" s="30" t="s">
        <v>218</v>
      </c>
      <c r="B9" s="71">
        <v>3794.48</v>
      </c>
      <c r="C9" s="71"/>
      <c r="D9" s="71">
        <v>5004.25</v>
      </c>
      <c r="E9" s="72"/>
    </row>
    <row r="10" spans="1:5" ht="14">
      <c r="A10" s="30" t="s">
        <v>356</v>
      </c>
      <c r="B10" s="71">
        <v>0</v>
      </c>
      <c r="C10" s="71"/>
      <c r="D10" s="71">
        <v>0</v>
      </c>
      <c r="E10" s="72"/>
    </row>
    <row r="11" spans="1:5" ht="14">
      <c r="A11" s="30" t="s">
        <v>360</v>
      </c>
      <c r="B11" s="71">
        <v>0</v>
      </c>
      <c r="C11" s="71"/>
      <c r="D11" s="71">
        <v>0</v>
      </c>
      <c r="E11" s="72"/>
    </row>
    <row r="12" spans="1:5" ht="14">
      <c r="A12" s="30" t="s">
        <v>21</v>
      </c>
      <c r="B12" s="71"/>
      <c r="C12" s="71"/>
      <c r="D12" s="71"/>
      <c r="E12" s="72"/>
    </row>
    <row r="13" spans="1:5" ht="14">
      <c r="A13" s="30" t="s">
        <v>22</v>
      </c>
      <c r="B13" s="73"/>
      <c r="C13" s="71"/>
      <c r="D13" s="71"/>
      <c r="E13" s="72"/>
    </row>
    <row r="14" spans="1:5" ht="14">
      <c r="A14" s="30" t="s">
        <v>86</v>
      </c>
      <c r="B14" s="68">
        <f>15885/61372</f>
        <v>0.25883138890699342</v>
      </c>
      <c r="C14" s="68">
        <f>6965/27030</f>
        <v>0.25767665556788755</v>
      </c>
      <c r="D14" s="68">
        <f>3941/23906</f>
        <v>0.16485401154521878</v>
      </c>
      <c r="E14" s="1"/>
    </row>
    <row r="15" spans="1:5" ht="14">
      <c r="A15" s="30" t="s">
        <v>87</v>
      </c>
      <c r="B15" s="54"/>
      <c r="C15" s="54"/>
      <c r="D15" s="54"/>
      <c r="E15" s="1"/>
    </row>
    <row r="16" spans="1:5" s="2" customFormat="1" ht="14">
      <c r="A16" s="31" t="s">
        <v>366</v>
      </c>
      <c r="B16" s="76"/>
      <c r="C16" s="76"/>
      <c r="D16" s="76"/>
      <c r="E16" s="77"/>
    </row>
    <row r="17" spans="1:5" ht="14">
      <c r="A17" s="29" t="s">
        <v>367</v>
      </c>
      <c r="B17" s="117">
        <v>172.47</v>
      </c>
      <c r="C17" s="74"/>
      <c r="D17" s="74" t="s">
        <v>80</v>
      </c>
      <c r="E17" s="75"/>
    </row>
    <row r="18" spans="1:5" ht="14">
      <c r="A18" s="29" t="s">
        <v>368</v>
      </c>
      <c r="B18" s="117">
        <v>139.4</v>
      </c>
      <c r="C18" s="698" t="s">
        <v>527</v>
      </c>
      <c r="D18" s="74" t="s">
        <v>80</v>
      </c>
      <c r="E18" s="75"/>
    </row>
    <row r="19" spans="1:5" ht="14">
      <c r="A19" s="29" t="s">
        <v>369</v>
      </c>
      <c r="B19" s="117">
        <v>145.18</v>
      </c>
      <c r="C19" s="698"/>
      <c r="D19" s="74" t="s">
        <v>80</v>
      </c>
      <c r="E19" s="75"/>
    </row>
    <row r="20" spans="1:5" ht="14">
      <c r="A20" s="29" t="s">
        <v>370</v>
      </c>
      <c r="B20" s="117">
        <v>156.53</v>
      </c>
      <c r="C20" s="698"/>
      <c r="D20" s="74" t="s">
        <v>80</v>
      </c>
      <c r="E20" s="75"/>
    </row>
    <row r="21" spans="1:5" ht="14">
      <c r="A21" s="29" t="s">
        <v>371</v>
      </c>
      <c r="B21" s="117">
        <v>151.19999999999999</v>
      </c>
      <c r="C21" s="698"/>
      <c r="D21" s="74" t="s">
        <v>80</v>
      </c>
      <c r="E21" s="75"/>
    </row>
    <row r="22" spans="1:5" ht="14">
      <c r="A22" s="29" t="s">
        <v>372</v>
      </c>
      <c r="B22" s="116">
        <v>943.63</v>
      </c>
      <c r="C22" s="698"/>
      <c r="D22" s="74" t="s">
        <v>80</v>
      </c>
      <c r="E22" s="75"/>
    </row>
    <row r="23" spans="1:5">
      <c r="B23" s="69"/>
      <c r="C23" s="698"/>
    </row>
    <row r="25" spans="1:5" ht="14">
      <c r="A25" s="29" t="s">
        <v>526</v>
      </c>
      <c r="B25" s="115">
        <v>107</v>
      </c>
    </row>
    <row r="29" spans="1:5">
      <c r="D29" s="71">
        <v>75872</v>
      </c>
    </row>
    <row r="30" spans="1:5">
      <c r="D30" s="71">
        <v>2404</v>
      </c>
    </row>
    <row r="31" spans="1:5">
      <c r="D31" s="71">
        <v>24171</v>
      </c>
    </row>
    <row r="32" spans="1:5">
      <c r="D32" s="71">
        <v>276</v>
      </c>
    </row>
    <row r="36" spans="1:5">
      <c r="A36" t="s">
        <v>601</v>
      </c>
      <c r="B36" s="67">
        <v>630.29</v>
      </c>
      <c r="C36" s="67">
        <v>286.14</v>
      </c>
      <c r="D36" s="67">
        <v>426.61</v>
      </c>
      <c r="E36">
        <f>B36-C36+D36</f>
        <v>770.76</v>
      </c>
    </row>
    <row r="37" spans="1:5">
      <c r="A37" t="s">
        <v>602</v>
      </c>
      <c r="B37" s="67">
        <v>2369.4699999999998</v>
      </c>
      <c r="C37" s="67">
        <v>1128.78</v>
      </c>
      <c r="D37" s="67">
        <v>1219.73</v>
      </c>
      <c r="E37">
        <f>B37-C37+D37</f>
        <v>2460.42</v>
      </c>
    </row>
    <row r="38" spans="1:5">
      <c r="A38" t="s">
        <v>603</v>
      </c>
      <c r="B38" s="67">
        <v>9967.5400000000009</v>
      </c>
      <c r="C38" s="67">
        <v>4703.01</v>
      </c>
      <c r="D38" s="67">
        <v>5876.21</v>
      </c>
      <c r="E38">
        <f>B38-C38+D38</f>
        <v>11140.740000000002</v>
      </c>
    </row>
    <row r="40" spans="1:5">
      <c r="A40" t="s">
        <v>604</v>
      </c>
      <c r="B40" s="67">
        <v>13043</v>
      </c>
      <c r="C40" s="67">
        <v>6020.47</v>
      </c>
      <c r="D40" s="67">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6"/>
  <sheetViews>
    <sheetView workbookViewId="0">
      <selection activeCell="K2" sqref="K2:K6"/>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 min="9" max="9" width="20.33203125" customWidth="1"/>
    <col min="10" max="10" width="18.83203125" customWidth="1"/>
  </cols>
  <sheetData>
    <row r="1" spans="1:11" s="121" customFormat="1">
      <c r="A1" s="121" t="s">
        <v>214</v>
      </c>
      <c r="B1" s="121" t="s">
        <v>215</v>
      </c>
      <c r="C1" s="121" t="s">
        <v>408</v>
      </c>
      <c r="D1" s="121" t="s">
        <v>416</v>
      </c>
      <c r="E1" s="121" t="s">
        <v>418</v>
      </c>
      <c r="F1" s="121" t="s">
        <v>442</v>
      </c>
      <c r="G1" t="s">
        <v>205</v>
      </c>
      <c r="H1" s="121" t="s">
        <v>327</v>
      </c>
      <c r="I1" s="121" t="s">
        <v>741</v>
      </c>
      <c r="J1" s="121" t="s">
        <v>848</v>
      </c>
    </row>
    <row r="2" spans="1:11">
      <c r="A2" t="s">
        <v>41</v>
      </c>
      <c r="B2" t="s">
        <v>84</v>
      </c>
      <c r="C2" t="s">
        <v>409</v>
      </c>
      <c r="D2" t="s">
        <v>417</v>
      </c>
      <c r="E2">
        <v>1</v>
      </c>
      <c r="F2" t="s">
        <v>417</v>
      </c>
      <c r="G2" t="s">
        <v>437</v>
      </c>
      <c r="H2" t="s">
        <v>737</v>
      </c>
      <c r="I2" t="s">
        <v>750</v>
      </c>
      <c r="J2" s="54">
        <v>0</v>
      </c>
      <c r="K2" s="502" t="s">
        <v>930</v>
      </c>
    </row>
    <row r="3" spans="1:11">
      <c r="A3" t="s">
        <v>36</v>
      </c>
      <c r="B3" t="s">
        <v>211</v>
      </c>
      <c r="C3" t="s">
        <v>412</v>
      </c>
      <c r="D3" t="s">
        <v>418</v>
      </c>
      <c r="E3">
        <v>2</v>
      </c>
      <c r="F3" t="s">
        <v>447</v>
      </c>
      <c r="G3" t="s">
        <v>436</v>
      </c>
      <c r="H3" t="s">
        <v>739</v>
      </c>
      <c r="I3" t="s">
        <v>742</v>
      </c>
      <c r="J3" s="54">
        <v>1</v>
      </c>
      <c r="K3" s="508" t="s">
        <v>931</v>
      </c>
    </row>
    <row r="4" spans="1:11">
      <c r="C4" t="s">
        <v>410</v>
      </c>
      <c r="D4" t="s">
        <v>419</v>
      </c>
      <c r="F4" t="s">
        <v>448</v>
      </c>
      <c r="G4" t="s">
        <v>435</v>
      </c>
      <c r="H4" t="s">
        <v>749</v>
      </c>
      <c r="I4" t="s">
        <v>751</v>
      </c>
      <c r="J4" s="54">
        <v>2</v>
      </c>
      <c r="K4" s="508" t="s">
        <v>746</v>
      </c>
    </row>
    <row r="5" spans="1:11">
      <c r="C5" t="s">
        <v>411</v>
      </c>
      <c r="F5" t="s">
        <v>449</v>
      </c>
      <c r="G5" t="s">
        <v>434</v>
      </c>
      <c r="H5" t="s">
        <v>271</v>
      </c>
      <c r="I5" t="s">
        <v>752</v>
      </c>
      <c r="J5" s="54">
        <v>3</v>
      </c>
      <c r="K5" s="508" t="s">
        <v>747</v>
      </c>
    </row>
    <row r="6" spans="1:11">
      <c r="F6" t="s">
        <v>446</v>
      </c>
      <c r="G6" t="s">
        <v>433</v>
      </c>
      <c r="H6" t="s">
        <v>461</v>
      </c>
      <c r="K6" s="508" t="s">
        <v>932</v>
      </c>
    </row>
    <row r="7" spans="1:11">
      <c r="G7" t="s">
        <v>432</v>
      </c>
    </row>
    <row r="8" spans="1:11">
      <c r="G8" t="s">
        <v>431</v>
      </c>
    </row>
    <row r="9" spans="1:11">
      <c r="G9" t="s">
        <v>430</v>
      </c>
    </row>
    <row r="10" spans="1:11">
      <c r="G10" t="s">
        <v>429</v>
      </c>
    </row>
    <row r="11" spans="1:11">
      <c r="G11" t="s">
        <v>428</v>
      </c>
    </row>
    <row r="12" spans="1:11">
      <c r="G12" t="s">
        <v>427</v>
      </c>
    </row>
    <row r="13" spans="1:11">
      <c r="G13" t="s">
        <v>426</v>
      </c>
    </row>
    <row r="14" spans="1:11">
      <c r="G14" t="s">
        <v>425</v>
      </c>
    </row>
    <row r="15" spans="1:11">
      <c r="G15" t="s">
        <v>424</v>
      </c>
    </row>
    <row r="16" spans="1:11">
      <c r="G16" t="s">
        <v>423</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2"/>
  <sheetViews>
    <sheetView zoomScale="125" zoomScaleNormal="125" workbookViewId="0">
      <selection activeCell="B4" sqref="B4"/>
    </sheetView>
  </sheetViews>
  <sheetFormatPr baseColWidth="10" defaultRowHeight="14"/>
  <cols>
    <col min="1" max="1" width="23" style="325" bestFit="1" customWidth="1"/>
    <col min="2" max="2" width="16.6640625" style="325" customWidth="1"/>
    <col min="3" max="13" width="15.83203125" style="385" bestFit="1" customWidth="1"/>
    <col min="14" max="14" width="14" style="325" bestFit="1" customWidth="1"/>
  </cols>
  <sheetData>
    <row r="1" spans="1:14">
      <c r="A1" s="393"/>
      <c r="B1" s="387" t="s">
        <v>8</v>
      </c>
      <c r="C1" s="387">
        <v>1</v>
      </c>
      <c r="D1" s="387">
        <v>2</v>
      </c>
      <c r="E1" s="387">
        <v>3</v>
      </c>
      <c r="F1" s="387">
        <v>4</v>
      </c>
      <c r="G1" s="387">
        <v>5</v>
      </c>
      <c r="H1" s="387">
        <v>6</v>
      </c>
      <c r="I1" s="387">
        <v>7</v>
      </c>
      <c r="J1" s="387">
        <v>8</v>
      </c>
      <c r="K1" s="387">
        <v>9</v>
      </c>
      <c r="L1" s="387">
        <v>10</v>
      </c>
      <c r="M1" s="421" t="s">
        <v>32</v>
      </c>
      <c r="N1" s="429" t="s">
        <v>546</v>
      </c>
    </row>
    <row r="2" spans="1:14">
      <c r="A2" s="325" t="s">
        <v>884</v>
      </c>
      <c r="B2" s="394"/>
      <c r="C2" s="395">
        <f>'Input sheet'!B25</f>
        <v>0.15</v>
      </c>
      <c r="D2" s="395">
        <f>'Input sheet'!B27</f>
        <v>0.15</v>
      </c>
      <c r="E2" s="395">
        <f>D2</f>
        <v>0.15</v>
      </c>
      <c r="F2" s="395">
        <f>E2</f>
        <v>0.15</v>
      </c>
      <c r="G2" s="395">
        <f>F2</f>
        <v>0.15</v>
      </c>
      <c r="H2" s="395">
        <f>G2-((G2-$M$2)/5)</f>
        <v>0.12939999999999999</v>
      </c>
      <c r="I2" s="395">
        <f>G2-((G2-$M$2)/5)*2</f>
        <v>0.10879999999999999</v>
      </c>
      <c r="J2" s="395">
        <f>G2-((G2-$M$2)/5)*3</f>
        <v>8.8200000000000001E-2</v>
      </c>
      <c r="K2" s="395">
        <f>G2-((G2-$M$2)/5)*4</f>
        <v>6.7599999999999993E-2</v>
      </c>
      <c r="L2" s="395">
        <f>G2-((G2-$M$2)/5)*5</f>
        <v>4.6999999999999986E-2</v>
      </c>
      <c r="M2" s="422">
        <f>IF('Input sheet'!B78="Yes",'Input sheet'!B79,IF('Input sheet'!B75="Yes",'Input sheet'!B76,'Input sheet'!B33))</f>
        <v>4.7E-2</v>
      </c>
      <c r="N2" s="428"/>
    </row>
    <row r="3" spans="1:14" ht="15" customHeight="1">
      <c r="A3" s="325" t="s">
        <v>885</v>
      </c>
      <c r="B3" s="397">
        <f>'Input sheet'!B10-B14-B23</f>
        <v>48069</v>
      </c>
      <c r="C3" s="398">
        <f>B3*(1+C2)</f>
        <v>55279.35</v>
      </c>
      <c r="D3" s="398">
        <f t="shared" ref="D3:L3" si="0">C3*(1+D2)</f>
        <v>63571.252499999995</v>
      </c>
      <c r="E3" s="398">
        <f t="shared" si="0"/>
        <v>73106.940374999991</v>
      </c>
      <c r="F3" s="398">
        <f t="shared" si="0"/>
        <v>84072.98143124998</v>
      </c>
      <c r="G3" s="398">
        <f t="shared" si="0"/>
        <v>96683.928645937471</v>
      </c>
      <c r="H3" s="398">
        <f t="shared" si="0"/>
        <v>109194.82901272178</v>
      </c>
      <c r="I3" s="398">
        <f t="shared" si="0"/>
        <v>121075.22640930591</v>
      </c>
      <c r="J3" s="398">
        <f t="shared" si="0"/>
        <v>131754.06137860668</v>
      </c>
      <c r="K3" s="398">
        <f t="shared" si="0"/>
        <v>140660.6359278005</v>
      </c>
      <c r="L3" s="398">
        <f t="shared" si="0"/>
        <v>147271.68581640712</v>
      </c>
      <c r="M3" s="423">
        <f>L3*(1+M2)</f>
        <v>154193.45504977825</v>
      </c>
      <c r="N3" s="428"/>
    </row>
    <row r="4" spans="1:14" ht="15" customHeight="1">
      <c r="A4" s="325" t="s">
        <v>15</v>
      </c>
      <c r="B4" s="399">
        <f>B5/B3</f>
        <v>0.72210780336599467</v>
      </c>
      <c r="C4" s="395">
        <f>'Input sheet'!B26</f>
        <v>0.65</v>
      </c>
      <c r="D4" s="395">
        <f>IF(D1&gt;'Input sheet'!$B$29,'Input sheet'!$B$28,'Input sheet'!$B$28-(('Input sheet'!$B$28-$C$15)/'Input sheet'!$B$29)*('Input sheet'!$B$29-D1))</f>
        <v>0.63</v>
      </c>
      <c r="E4" s="395">
        <f>IF(E1&gt;'Input sheet'!$B$29,'Input sheet'!$B$28,'Input sheet'!$B$28-(('Input sheet'!$B$28-$C$4)/'Input sheet'!$B$29)*('Input sheet'!$B$29-E1))</f>
        <v>0.62</v>
      </c>
      <c r="F4" s="395">
        <f>IF(F1&gt;'Input sheet'!$B$29,'Input sheet'!$B$28,'Input sheet'!$B$28-(('Input sheet'!$B$28-$C$4)/'Input sheet'!$B$29)*('Input sheet'!$B$29-F1))</f>
        <v>0.61</v>
      </c>
      <c r="G4" s="395">
        <f>IF(G1&gt;'Input sheet'!$B$29,'Input sheet'!$B$28,'Input sheet'!$B$28-(('Input sheet'!$B$28-$C$4)/'Input sheet'!$B$29)*('Input sheet'!$B$29-G1))</f>
        <v>0.6</v>
      </c>
      <c r="H4" s="395">
        <f>IF(H1&gt;'Input sheet'!$B$29,'Input sheet'!$B$28,'Input sheet'!$B$28-(('Input sheet'!$B$28-$C$4)/'Input sheet'!$B$29)*('Input sheet'!$B$29-H1))</f>
        <v>0.6</v>
      </c>
      <c r="I4" s="395">
        <f>IF(I1&gt;'Input sheet'!$B$29,'Input sheet'!$B$28,'Input sheet'!$B$28-(('Input sheet'!$B$28-$C$4)/'Input sheet'!$B$29)*('Input sheet'!$B$29-I1))</f>
        <v>0.6</v>
      </c>
      <c r="J4" s="395">
        <f>IF(J1&gt;'Input sheet'!$B$29,'Input sheet'!$B$28,'Input sheet'!$B$28-(('Input sheet'!$B$28-$C$4)/'Input sheet'!$B$29)*('Input sheet'!$B$29-J1))</f>
        <v>0.6</v>
      </c>
      <c r="K4" s="395">
        <f>IF(K1&gt;'Input sheet'!$B$29,'Input sheet'!$B$28,'Input sheet'!$B$28-(('Input sheet'!$B$28-$C$4)/'Input sheet'!$B$29)*('Input sheet'!$B$29-K1))</f>
        <v>0.6</v>
      </c>
      <c r="L4" s="395">
        <f>IF(L1&gt;'Input sheet'!$B$29,'Input sheet'!$B$28,'Input sheet'!$B$28-(('Input sheet'!$B$28-$C$4)/'Input sheet'!$B$29)*('Input sheet'!$B$29-L1))</f>
        <v>0.6</v>
      </c>
      <c r="M4" s="422">
        <f>L4</f>
        <v>0.6</v>
      </c>
      <c r="N4" s="428"/>
    </row>
    <row r="5" spans="1:14" ht="15" customHeight="1">
      <c r="A5" s="325" t="s">
        <v>14</v>
      </c>
      <c r="B5" s="397">
        <f>IF('Input sheet'!B16="Yes",IF('Input sheet'!B15="Yes",'Input sheet'!B11+'Operating lease converter'!F32+'R&amp; D converter'!D39,'Input sheet'!B11+'Operating lease converter'!F32),IF('Input sheet'!B15="Yes",'Input sheet'!B11+'R&amp; D converter'!D39,'Input sheet'!B11))-B14*B15-B23*B24</f>
        <v>34711</v>
      </c>
      <c r="C5" s="398">
        <f t="shared" ref="C5:M5" si="1">C4*C3</f>
        <v>35931.577499999999</v>
      </c>
      <c r="D5" s="398">
        <f t="shared" si="1"/>
        <v>40049.889074999999</v>
      </c>
      <c r="E5" s="398">
        <f t="shared" si="1"/>
        <v>45326.303032499993</v>
      </c>
      <c r="F5" s="398">
        <f t="shared" si="1"/>
        <v>51284.518673062485</v>
      </c>
      <c r="G5" s="398">
        <f t="shared" si="1"/>
        <v>58010.357187562484</v>
      </c>
      <c r="H5" s="398">
        <f t="shared" si="1"/>
        <v>65516.897407633063</v>
      </c>
      <c r="I5" s="398">
        <f t="shared" si="1"/>
        <v>72645.135845583543</v>
      </c>
      <c r="J5" s="398">
        <f t="shared" si="1"/>
        <v>79052.436827164012</v>
      </c>
      <c r="K5" s="398">
        <f t="shared" si="1"/>
        <v>84396.381556680295</v>
      </c>
      <c r="L5" s="398">
        <f t="shared" si="1"/>
        <v>88363.01148984427</v>
      </c>
      <c r="M5" s="423">
        <f t="shared" si="1"/>
        <v>92516.073029866951</v>
      </c>
      <c r="N5" s="428"/>
    </row>
    <row r="6" spans="1:14" ht="15" customHeight="1">
      <c r="A6" s="325" t="s">
        <v>122</v>
      </c>
      <c r="B6" s="400">
        <f>'Input sheet'!B22</f>
        <v>0.13500000000000001</v>
      </c>
      <c r="C6" s="401">
        <f>B6</f>
        <v>0.13500000000000001</v>
      </c>
      <c r="D6" s="401">
        <f>C6</f>
        <v>0.13500000000000001</v>
      </c>
      <c r="E6" s="401">
        <f>D6</f>
        <v>0.13500000000000001</v>
      </c>
      <c r="F6" s="401">
        <f>E6</f>
        <v>0.13500000000000001</v>
      </c>
      <c r="G6" s="401">
        <f>F6</f>
        <v>0.13500000000000001</v>
      </c>
      <c r="H6" s="401">
        <f>G6+($M$6-$G$6)/5</f>
        <v>0.158</v>
      </c>
      <c r="I6" s="401">
        <f>H6+($M$6-$G$6)/5</f>
        <v>0.18099999999999999</v>
      </c>
      <c r="J6" s="401">
        <f>I6+($M$6-$G$6)/5</f>
        <v>0.20399999999999999</v>
      </c>
      <c r="K6" s="401">
        <f>J6+($M$6-$G$6)/5</f>
        <v>0.22699999999999998</v>
      </c>
      <c r="L6" s="401">
        <f>K6+($M$6-$G$6)/5</f>
        <v>0.24999999999999997</v>
      </c>
      <c r="M6" s="424">
        <f>IF('Input sheet'!B70="Yes",'Input sheet'!B22,'Input sheet'!B23)</f>
        <v>0.25</v>
      </c>
      <c r="N6" s="428"/>
    </row>
    <row r="7" spans="1:14" ht="15" customHeight="1">
      <c r="A7" s="325" t="s">
        <v>6</v>
      </c>
      <c r="B7" s="397">
        <f>IF(B5&gt;0,B5*(1-B6),B5)</f>
        <v>30025.014999999999</v>
      </c>
      <c r="C7" s="398">
        <f>IF(C5&gt;0,IF(C5&lt;B10,C5,C5-(C5-B10)*C6),C5)</f>
        <v>31080.814537499999</v>
      </c>
      <c r="D7" s="398">
        <f t="shared" ref="D7:L7" si="2">IF(D5&gt;0,IF(D5&lt;C10,D5,D5-(D5-C10)*D6),D5)</f>
        <v>34643.154049874996</v>
      </c>
      <c r="E7" s="398">
        <f t="shared" si="2"/>
        <v>39207.252123112492</v>
      </c>
      <c r="F7" s="398">
        <f t="shared" si="2"/>
        <v>44361.108652199051</v>
      </c>
      <c r="G7" s="398">
        <f t="shared" si="2"/>
        <v>50178.958967241546</v>
      </c>
      <c r="H7" s="398">
        <f t="shared" si="2"/>
        <v>55165.227617227036</v>
      </c>
      <c r="I7" s="398">
        <f t="shared" si="2"/>
        <v>59496.366257532922</v>
      </c>
      <c r="J7" s="398">
        <f t="shared" si="2"/>
        <v>62925.739714422554</v>
      </c>
      <c r="K7" s="398">
        <f t="shared" si="2"/>
        <v>65238.402943313871</v>
      </c>
      <c r="L7" s="398">
        <f t="shared" si="2"/>
        <v>66272.25861738321</v>
      </c>
      <c r="M7" s="425">
        <f>M5*(1-M6)</f>
        <v>69387.05477240021</v>
      </c>
      <c r="N7" s="428"/>
    </row>
    <row r="8" spans="1:14" ht="15" customHeight="1">
      <c r="A8" s="325" t="s">
        <v>9</v>
      </c>
      <c r="B8" s="397"/>
      <c r="C8" s="398">
        <f>IF('Input sheet'!$B$67="No",(D3-C3)/C57,IF('Input sheet'!$B$68=0,(C3-B3)/C57,IF('Input sheet'!$B$68=2,(E3-D3)/C57,IF('Input sheet'!$B$68=3,(F3-E3)/C57,(D3-C3)/C57))))</f>
        <v>4386.4164224999959</v>
      </c>
      <c r="D8" s="398">
        <f>IF('Input sheet'!$B$67="No",(E3-D3)/D57,IF('Input sheet'!$B$68=0,(D3-C3)/D57,IF('Input sheet'!$B$68=2,(F3-E3)/D57,IF('Input sheet'!$B$68=3,(G3-F3)/D57,(E3-D3)/D57))))</f>
        <v>5044.3788858749958</v>
      </c>
      <c r="E8" s="398">
        <f>IF('Input sheet'!$B$67="No",(F3-E3)/E57,IF('Input sheet'!$B$68=0,(E3-D3)/E57,IF('Input sheet'!$B$68=2,(G3-F3)/E57,IF('Input sheet'!$B$68=3,(H3-G3)/E57,(F3-E3)/E57))))</f>
        <v>5004.3601467137223</v>
      </c>
      <c r="F8" s="398">
        <f>IF('Input sheet'!$B$67="No",(G3-F3)/F57,IF('Input sheet'!$B$68=0,(F3-E3)/F57,IF('Input sheet'!$B$68=2,(H3-G3)/F57,IF('Input sheet'!$B$68=3,(I3-H3)/F57,(G3-F3)/F57))))</f>
        <v>4752.1589586336513</v>
      </c>
      <c r="G8" s="398">
        <f>IF('Input sheet'!$B$67="No",(H3-G3)/G57,IF('Input sheet'!$B$68=0,(G3-F3)/G57,IF('Input sheet'!$B$68=2,(I3-H3)/G57,IF('Input sheet'!$B$68=3,(J3-I3)/G57,(H3-G3)/G57))))</f>
        <v>4271.5339877203105</v>
      </c>
      <c r="H8" s="398">
        <f>IF('Input sheet'!$B$67="No",(I3-H3)/H57,IF('Input sheet'!$B$68=0,(H3-G3)/H57,IF('Input sheet'!$B$68=2,(J3-I3)/H57,IF('Input sheet'!$B$68=3,(K3-J3)/H57,(I3-H3)/H57))))</f>
        <v>3562.6298196775256</v>
      </c>
      <c r="I8" s="398">
        <f>IF('Input sheet'!$B$67="No",(J3-I3)/I57,IF('Input sheet'!$B$68=0,(I3-H3)/I57,IF('Input sheet'!$B$68=2,(K3-J3)/I57,IF('Input sheet'!$B$68=3,(L3-K3)/I57,(J3-I3)/I57))))</f>
        <v>2644.4199554426477</v>
      </c>
      <c r="J8" s="398">
        <f>IF('Input sheet'!$B$67="No",(K3-J3)/J57,IF('Input sheet'!$B$68=0,(J3-I3)/J57,IF('Input sheet'!$B$68=2,(L3-K3)/J57,IF('Input sheet'!$B$68=3,(M3-L3)/J57,(K3-J3)/J57))))</f>
        <v>2768.7076933484523</v>
      </c>
      <c r="K8" s="398">
        <f>IF('Input sheet'!$B$67="No",(L3-K3)/K57,IF('Input sheet'!$B$68=0,(K3-J3)/K57,IF('Input sheet'!$B$68=2,L3*L2/K57,IF('Input sheet'!$B$68=3,M3*M2/K57,(L3-K3)/K57))))</f>
        <v>2898.8369549358313</v>
      </c>
      <c r="L8" s="398">
        <f>IF('Input sheet'!$B$67="No",(M3-L3)/L57,IF('Input sheet'!$B$68=0,(L3-K3)/L57,IF('Input sheet'!$B$68=2,M3*M2/L57,IF('Input sheet'!$B$68=3,(M3*(1+M2)^2-M3*(1+M2))/L57,(M3-L3)/L57))))</f>
        <v>3035.0822918178046</v>
      </c>
      <c r="M8" s="426">
        <f>IF(M2&gt;0,(M2/M59)*M7,0)</f>
        <v>16305.957871514049</v>
      </c>
      <c r="N8" s="428"/>
    </row>
    <row r="9" spans="1:14" ht="15" customHeight="1">
      <c r="A9" s="325" t="s">
        <v>10</v>
      </c>
      <c r="B9" s="397"/>
      <c r="C9" s="398">
        <f t="shared" ref="C9:L9" si="3">C7-C8</f>
        <v>26694.398115000004</v>
      </c>
      <c r="D9" s="398">
        <f t="shared" si="3"/>
        <v>29598.775163999999</v>
      </c>
      <c r="E9" s="398">
        <f t="shared" si="3"/>
        <v>34202.891976398772</v>
      </c>
      <c r="F9" s="398">
        <f t="shared" si="3"/>
        <v>39608.949693565402</v>
      </c>
      <c r="G9" s="398">
        <f t="shared" si="3"/>
        <v>45907.424979521238</v>
      </c>
      <c r="H9" s="398">
        <f t="shared" si="3"/>
        <v>51602.597797549512</v>
      </c>
      <c r="I9" s="398">
        <f t="shared" si="3"/>
        <v>56851.946302090277</v>
      </c>
      <c r="J9" s="398">
        <f t="shared" si="3"/>
        <v>60157.032021074105</v>
      </c>
      <c r="K9" s="398">
        <f t="shared" si="3"/>
        <v>62339.565988378039</v>
      </c>
      <c r="L9" s="398">
        <f t="shared" si="3"/>
        <v>63237.176325565408</v>
      </c>
      <c r="M9" s="426">
        <f>M7-M8</f>
        <v>53081.096900886158</v>
      </c>
      <c r="N9" s="430">
        <f>M9/(M30-M2)</f>
        <v>1396870.9710759514</v>
      </c>
    </row>
    <row r="10" spans="1:14" ht="15" customHeight="1">
      <c r="A10" s="325" t="s">
        <v>33</v>
      </c>
      <c r="B10" s="397">
        <f>IF('Input sheet'!B72="Yes",'Input sheet'!B73,0)</f>
        <v>0</v>
      </c>
      <c r="C10" s="398">
        <f>IF(C5&lt;0,B10-C5,IF(B10&gt;C5,B10-C5,0))</f>
        <v>0</v>
      </c>
      <c r="D10" s="398">
        <f t="shared" ref="D10:M10" si="4">IF(D5&lt;0,C10-D5,IF(C10&gt;D5,C10-D5,0))</f>
        <v>0</v>
      </c>
      <c r="E10" s="398">
        <f t="shared" si="4"/>
        <v>0</v>
      </c>
      <c r="F10" s="398">
        <f t="shared" si="4"/>
        <v>0</v>
      </c>
      <c r="G10" s="398">
        <f t="shared" si="4"/>
        <v>0</v>
      </c>
      <c r="H10" s="398">
        <f t="shared" si="4"/>
        <v>0</v>
      </c>
      <c r="I10" s="398">
        <f t="shared" si="4"/>
        <v>0</v>
      </c>
      <c r="J10" s="398">
        <f t="shared" si="4"/>
        <v>0</v>
      </c>
      <c r="K10" s="398">
        <f t="shared" si="4"/>
        <v>0</v>
      </c>
      <c r="L10" s="398">
        <f t="shared" si="4"/>
        <v>0</v>
      </c>
      <c r="M10" s="425">
        <f t="shared" si="4"/>
        <v>0</v>
      </c>
      <c r="N10" s="431"/>
    </row>
    <row r="11" spans="1:14" ht="15" customHeight="1">
      <c r="B11" s="397"/>
      <c r="C11" s="398"/>
      <c r="D11" s="398"/>
      <c r="E11" s="398"/>
      <c r="F11" s="398"/>
      <c r="G11" s="398"/>
      <c r="H11" s="398"/>
      <c r="I11" s="398"/>
      <c r="J11" s="398"/>
      <c r="K11" s="398"/>
      <c r="L11" s="398"/>
      <c r="M11" s="425"/>
      <c r="N11" s="431"/>
    </row>
    <row r="12" spans="1:14" ht="15" customHeight="1">
      <c r="A12" s="325" t="s">
        <v>869</v>
      </c>
      <c r="B12" s="397">
        <f>'Input sheet'!B44</f>
        <v>80000</v>
      </c>
      <c r="C12" s="398">
        <f>(G12-B12)/5+B12</f>
        <v>106400</v>
      </c>
      <c r="D12" s="398">
        <f>(G12-B12)/5+C12</f>
        <v>132800</v>
      </c>
      <c r="E12" s="398">
        <f>(G12-B12)/5+D12</f>
        <v>159200</v>
      </c>
      <c r="F12" s="398">
        <f>(G12-B12)/5+E12</f>
        <v>185600</v>
      </c>
      <c r="G12" s="398">
        <f>B12+3*(L12-B12)/5</f>
        <v>212000</v>
      </c>
      <c r="H12" s="398">
        <f>(L12-G12)/5+G12</f>
        <v>229600</v>
      </c>
      <c r="I12" s="398">
        <f>(L12-G12)/5+H12</f>
        <v>247200</v>
      </c>
      <c r="J12" s="398">
        <f>(L12-G12)/5+I12</f>
        <v>264800</v>
      </c>
      <c r="K12" s="398">
        <f>(L12-G12)/5+J12</f>
        <v>282400</v>
      </c>
      <c r="L12" s="398">
        <f>'Input sheet'!C44</f>
        <v>300000</v>
      </c>
      <c r="M12" s="425">
        <f>L12*(1+M2)</f>
        <v>314100</v>
      </c>
      <c r="N12" s="431"/>
    </row>
    <row r="13" spans="1:14" ht="15" customHeight="1">
      <c r="A13" s="325" t="s">
        <v>874</v>
      </c>
      <c r="B13" s="400">
        <f>'Input sheet'!B45</f>
        <v>0.8</v>
      </c>
      <c r="C13" s="395">
        <f>B13-($B$13-$L$13)/10</f>
        <v>0.78</v>
      </c>
      <c r="D13" s="395">
        <f t="shared" ref="D13:K13" si="5">C13-($B$13-$L$13)/10</f>
        <v>0.76</v>
      </c>
      <c r="E13" s="395">
        <f t="shared" si="5"/>
        <v>0.74</v>
      </c>
      <c r="F13" s="395">
        <f t="shared" si="5"/>
        <v>0.72</v>
      </c>
      <c r="G13" s="395">
        <f t="shared" si="5"/>
        <v>0.7</v>
      </c>
      <c r="H13" s="395">
        <f t="shared" si="5"/>
        <v>0.67999999999999994</v>
      </c>
      <c r="I13" s="395">
        <f t="shared" si="5"/>
        <v>0.65999999999999992</v>
      </c>
      <c r="J13" s="395">
        <f t="shared" si="5"/>
        <v>0.6399999999999999</v>
      </c>
      <c r="K13" s="395">
        <f t="shared" si="5"/>
        <v>0.61999999999999988</v>
      </c>
      <c r="L13" s="401">
        <f>'Input sheet'!C45</f>
        <v>0.6</v>
      </c>
      <c r="M13" s="424">
        <f>L13</f>
        <v>0.6</v>
      </c>
      <c r="N13" s="431"/>
    </row>
    <row r="14" spans="1:14" ht="15" customHeight="1">
      <c r="A14" s="325" t="s">
        <v>876</v>
      </c>
      <c r="B14" s="397">
        <f>B12*B13</f>
        <v>64000</v>
      </c>
      <c r="C14" s="397">
        <f t="shared" ref="C14:M14" si="6">C12*C13</f>
        <v>82992</v>
      </c>
      <c r="D14" s="397">
        <f t="shared" si="6"/>
        <v>100928</v>
      </c>
      <c r="E14" s="397">
        <f t="shared" si="6"/>
        <v>117808</v>
      </c>
      <c r="F14" s="397">
        <f t="shared" si="6"/>
        <v>133632</v>
      </c>
      <c r="G14" s="397">
        <f t="shared" si="6"/>
        <v>148400</v>
      </c>
      <c r="H14" s="397">
        <f t="shared" si="6"/>
        <v>156128</v>
      </c>
      <c r="I14" s="397">
        <f t="shared" si="6"/>
        <v>163151.99999999997</v>
      </c>
      <c r="J14" s="397">
        <f t="shared" si="6"/>
        <v>169471.99999999997</v>
      </c>
      <c r="K14" s="397">
        <f t="shared" si="6"/>
        <v>175087.99999999997</v>
      </c>
      <c r="L14" s="397">
        <f t="shared" si="6"/>
        <v>180000</v>
      </c>
      <c r="M14" s="427">
        <f t="shared" si="6"/>
        <v>188460</v>
      </c>
      <c r="N14" s="431"/>
    </row>
    <row r="15" spans="1:14" ht="15" customHeight="1">
      <c r="A15" s="325" t="s">
        <v>503</v>
      </c>
      <c r="B15" s="400">
        <f>'Input sheet'!B46</f>
        <v>0.65</v>
      </c>
      <c r="C15" s="395">
        <f>B15</f>
        <v>0.65</v>
      </c>
      <c r="D15" s="395">
        <f>IF(D1&gt;'Input sheet'!$B$29,'Input sheet'!$C$46,'Input sheet'!$C$46-(('Input sheet'!$C$46-$C$15)/'Input sheet'!$B$29)*('Input sheet'!$B$29-D1))</f>
        <v>0.63</v>
      </c>
      <c r="E15" s="395">
        <f>IF(E1&gt;'Input sheet'!$B$29,'Input sheet'!$C$46,'Input sheet'!$C$46-(('Input sheet'!$C$46-$C$15)/'Input sheet'!$B$29)*('Input sheet'!$B$29-E1))</f>
        <v>0.62</v>
      </c>
      <c r="F15" s="395">
        <f>IF(F1&gt;'Input sheet'!$B$29,'Input sheet'!$C$46,'Input sheet'!$C$46-(('Input sheet'!$C$46-$C$15)/'Input sheet'!$B$29)*('Input sheet'!$B$29-F1))</f>
        <v>0.61</v>
      </c>
      <c r="G15" s="395">
        <f>IF(G1&gt;'Input sheet'!$B$29,'Input sheet'!$C$46,'Input sheet'!$C$46-(('Input sheet'!$C$46-$C$15)/'Input sheet'!$B$29)*('Input sheet'!$B$29-G1))</f>
        <v>0.6</v>
      </c>
      <c r="H15" s="395">
        <f>IF(H1&gt;'Input sheet'!$B$29,'Input sheet'!$C$46,'Input sheet'!$C$46-(('Input sheet'!$C$46-$C$15)/'Input sheet'!$B$29)*('Input sheet'!$B$29-H1))</f>
        <v>0.6</v>
      </c>
      <c r="I15" s="395">
        <f>IF(I1&gt;'Input sheet'!$B$29,'Input sheet'!$C$46,'Input sheet'!$C$46-(('Input sheet'!$C$46-$C$15)/'Input sheet'!$B$29)*('Input sheet'!$B$29-I1))</f>
        <v>0.6</v>
      </c>
      <c r="J15" s="395">
        <f>IF(J1&gt;'Input sheet'!$B$29,'Input sheet'!$C$46,'Input sheet'!$C$46-(('Input sheet'!$C$46-$C$15)/'Input sheet'!$B$29)*('Input sheet'!$B$29-J1))</f>
        <v>0.6</v>
      </c>
      <c r="K15" s="395">
        <f>IF(K1&gt;'Input sheet'!$B$29,'Input sheet'!$C$46,'Input sheet'!$C$46-(('Input sheet'!$C$46-$C$15)/'Input sheet'!$B$29)*('Input sheet'!$B$29-K1))</f>
        <v>0.6</v>
      </c>
      <c r="L15" s="395">
        <f>IF(L1&gt;'Input sheet'!$B$29,'Input sheet'!$C$46,'Input sheet'!$C$46-(('Input sheet'!$C$46-$C$15)/'Input sheet'!$B$29)*('Input sheet'!$B$29-L1))</f>
        <v>0.6</v>
      </c>
      <c r="M15" s="424">
        <f>L15</f>
        <v>0.6</v>
      </c>
      <c r="N15" s="431"/>
    </row>
    <row r="16" spans="1:14" ht="15" customHeight="1">
      <c r="A16" s="325" t="s">
        <v>854</v>
      </c>
      <c r="B16" s="398">
        <f>B14*B15</f>
        <v>41600</v>
      </c>
      <c r="C16" s="398">
        <f>C14*C15</f>
        <v>53944.800000000003</v>
      </c>
      <c r="D16" s="398">
        <f t="shared" ref="D16:M16" si="7">D14*D15</f>
        <v>63584.639999999999</v>
      </c>
      <c r="E16" s="398">
        <f t="shared" si="7"/>
        <v>73040.960000000006</v>
      </c>
      <c r="F16" s="398">
        <f t="shared" si="7"/>
        <v>81515.520000000004</v>
      </c>
      <c r="G16" s="398">
        <f t="shared" si="7"/>
        <v>89040</v>
      </c>
      <c r="H16" s="398">
        <f t="shared" si="7"/>
        <v>93676.800000000003</v>
      </c>
      <c r="I16" s="398">
        <f t="shared" si="7"/>
        <v>97891.199999999983</v>
      </c>
      <c r="J16" s="398">
        <f t="shared" si="7"/>
        <v>101683.19999999998</v>
      </c>
      <c r="K16" s="398">
        <f t="shared" si="7"/>
        <v>105052.79999999997</v>
      </c>
      <c r="L16" s="398">
        <f t="shared" si="7"/>
        <v>108000</v>
      </c>
      <c r="M16" s="425">
        <f t="shared" si="7"/>
        <v>113076</v>
      </c>
      <c r="N16" s="431"/>
    </row>
    <row r="17" spans="1:14" ht="15" customHeight="1">
      <c r="A17" s="325" t="s">
        <v>505</v>
      </c>
      <c r="B17" s="397">
        <f>B16*(1-B6)</f>
        <v>35984</v>
      </c>
      <c r="C17" s="398">
        <f>C16*(1-C6)</f>
        <v>46662.252</v>
      </c>
      <c r="D17" s="398">
        <f t="shared" ref="D17:M17" si="8">D16*(1-D6)</f>
        <v>55000.713599999995</v>
      </c>
      <c r="E17" s="398">
        <f t="shared" si="8"/>
        <v>63180.430400000005</v>
      </c>
      <c r="F17" s="398">
        <f t="shared" si="8"/>
        <v>70510.924800000008</v>
      </c>
      <c r="G17" s="398">
        <f t="shared" si="8"/>
        <v>77019.600000000006</v>
      </c>
      <c r="H17" s="398">
        <f t="shared" si="8"/>
        <v>78875.865600000005</v>
      </c>
      <c r="I17" s="398">
        <f t="shared" si="8"/>
        <v>80172.892799999987</v>
      </c>
      <c r="J17" s="398">
        <f t="shared" si="8"/>
        <v>80939.827199999985</v>
      </c>
      <c r="K17" s="398">
        <f t="shared" si="8"/>
        <v>81205.814399999988</v>
      </c>
      <c r="L17" s="398">
        <f t="shared" si="8"/>
        <v>81000</v>
      </c>
      <c r="M17" s="425">
        <f t="shared" si="8"/>
        <v>84807</v>
      </c>
      <c r="N17" s="431"/>
    </row>
    <row r="18" spans="1:14" ht="15" customHeight="1">
      <c r="A18" s="325" t="s">
        <v>870</v>
      </c>
      <c r="B18" s="397"/>
      <c r="C18" s="398">
        <f>IF('Input sheet'!$B$67="No",(D14-C14)/C57,IF('Input sheet'!$B$68=0,(D14-B14)/C57,IF('Input sheet'!$B$68=2,(E14-D14)/C57,IF('Input sheet'!$B$68=3,(F14-E14)/C57,(D14-C14)/C57))))</f>
        <v>6329.6</v>
      </c>
      <c r="D18" s="398">
        <f>IF('Input sheet'!$B$67="No",(E14-D14)/D57,IF('Input sheet'!$B$68=0,(E14-C14)/D57,IF('Input sheet'!$B$68=2,(F14-E14)/D57,IF('Input sheet'!$B$68=3,(G14-F14)/D57,(E14-D14)/D57))))</f>
        <v>5907.2</v>
      </c>
      <c r="E18" s="398">
        <f>IF('Input sheet'!$B$67="No",(F14-E14)/E57,IF('Input sheet'!$B$68=0,(F14-D14)/E57,IF('Input sheet'!$B$68=2,(G14-F14)/E57,IF('Input sheet'!$B$68=3,(H14-G14)/E57,(F14-E14)/E57))))</f>
        <v>3091.2</v>
      </c>
      <c r="F18" s="398">
        <f>IF('Input sheet'!$B$67="No",(G14-F14)/F57,IF('Input sheet'!$B$68=0,(G14-E14)/F57,IF('Input sheet'!$B$68=2,(H14-G14)/F57,IF('Input sheet'!$B$68=3,(I14-H14)/F57,(G14-F14)/F57))))</f>
        <v>2809.5999999999885</v>
      </c>
      <c r="G18" s="398">
        <f>IF('Input sheet'!$B$67="No",(H14-G14)/G57,IF('Input sheet'!$B$68=0,(H14-F14)/G57,IF('Input sheet'!$B$68=2,(I14-H14)/G57,IF('Input sheet'!$B$68=3,(J14-I14)/G57,(H14-G14)/G57))))</f>
        <v>2528</v>
      </c>
      <c r="H18" s="398">
        <f>IF('Input sheet'!$B$67="No",(I14-H14)/H57,IF('Input sheet'!$B$68=0,(I14-G14)/H57,IF('Input sheet'!$B$68=2,(J14-I14)/H57,IF('Input sheet'!$B$68=3,(K14-J14)/H57,(I14-H14)/H57))))</f>
        <v>2246.4</v>
      </c>
      <c r="I18" s="398">
        <f>IF('Input sheet'!$B$67="No",(J14-I14)/I57,IF('Input sheet'!$B$68=0,(J14-H14)/I57,IF('Input sheet'!$B$68=2,(K14-J14)/I57,IF('Input sheet'!$B$68=3,(L14-K14)/I57,(J14-I14)/I57))))</f>
        <v>1964.8000000000116</v>
      </c>
      <c r="J18" s="398">
        <f>IF('Input sheet'!$B$67="No",(K14-J14)/J57,IF('Input sheet'!$B$68=0,(K14-I14)/J57,IF('Input sheet'!$B$68=2,(L14-K14)/J57,IF('Input sheet'!$B$68=3,(M14-L14)/J57,(K14-J14)/J57))))</f>
        <v>3384</v>
      </c>
      <c r="K18" s="398">
        <f>IF('Input sheet'!$B$67="No",(L14-K14)/K57,IF('Input sheet'!$B$68=0,(K14-J14)/K57,IF('Input sheet'!$B$68=2,L12*L2/K57,IF('Input sheet'!$B$68=3,M14*M2/K57,(L14-K14)/K57))))</f>
        <v>3543.0480000000002</v>
      </c>
      <c r="L18" s="398">
        <f>IF('Input sheet'!$B$67="No",(M14-L14)/L57,IF('Input sheet'!$B$68=0,(L14-K14)/L57,IF('Input sheet'!$B$68=2,M14*M2/L57,IF('Input sheet'!$B$68=3,(M14*(1+M2)*M2)/L57,(M14-L14)/L57))))</f>
        <v>3709.5712560000002</v>
      </c>
      <c r="M18" s="425">
        <f>IF(M2&gt;0,(M2/M59)*M17,0)</f>
        <v>19929.645</v>
      </c>
      <c r="N18" s="431"/>
    </row>
    <row r="19" spans="1:14" ht="15" customHeight="1">
      <c r="A19" s="325" t="s">
        <v>871</v>
      </c>
      <c r="B19" s="394"/>
      <c r="C19" s="402">
        <f>C17-C18</f>
        <v>40332.652000000002</v>
      </c>
      <c r="D19" s="402">
        <f t="shared" ref="D19:L19" si="9">D17-D18</f>
        <v>49093.513599999998</v>
      </c>
      <c r="E19" s="402">
        <f t="shared" si="9"/>
        <v>60089.230400000008</v>
      </c>
      <c r="F19" s="402">
        <f t="shared" si="9"/>
        <v>67701.324800000017</v>
      </c>
      <c r="G19" s="402">
        <f t="shared" si="9"/>
        <v>74491.600000000006</v>
      </c>
      <c r="H19" s="402">
        <f t="shared" si="9"/>
        <v>76629.46560000001</v>
      </c>
      <c r="I19" s="402">
        <f t="shared" si="9"/>
        <v>78208.092799999969</v>
      </c>
      <c r="J19" s="402">
        <f t="shared" si="9"/>
        <v>77555.827199999985</v>
      </c>
      <c r="K19" s="402">
        <f t="shared" si="9"/>
        <v>77662.766399999993</v>
      </c>
      <c r="L19" s="402">
        <f t="shared" si="9"/>
        <v>77290.428744000004</v>
      </c>
      <c r="M19" s="426">
        <f>M17-M18</f>
        <v>64877.354999999996</v>
      </c>
      <c r="N19" s="430">
        <f>M19/(M30-M2)</f>
        <v>1707298.8157894732</v>
      </c>
    </row>
    <row r="20" spans="1:14" ht="15" customHeight="1">
      <c r="N20" s="431"/>
    </row>
    <row r="21" spans="1:14" ht="15" customHeight="1">
      <c r="A21" s="325" t="s">
        <v>879</v>
      </c>
      <c r="B21" s="397">
        <f>'Input sheet'!B50</f>
        <v>20000</v>
      </c>
      <c r="C21" s="398">
        <f>(G21-B21)/5+B21</f>
        <v>44000</v>
      </c>
      <c r="D21" s="398">
        <f>(G21-B21)/5+C21</f>
        <v>68000</v>
      </c>
      <c r="E21" s="398">
        <f>(G21-B21)/5+D21</f>
        <v>92000</v>
      </c>
      <c r="F21" s="398">
        <f>(G21-B21)/5+E21</f>
        <v>116000</v>
      </c>
      <c r="G21" s="398">
        <f>B21+2*(L21-B21)/3</f>
        <v>140000</v>
      </c>
      <c r="H21" s="398">
        <f>(L21-G21)/5+G21</f>
        <v>152000</v>
      </c>
      <c r="I21" s="398">
        <f>(L21-G21)/5+H21</f>
        <v>164000</v>
      </c>
      <c r="J21" s="398">
        <f>(L21-G21)/5+I21</f>
        <v>176000</v>
      </c>
      <c r="K21" s="398">
        <f>(L21-G21)/5+J21</f>
        <v>188000</v>
      </c>
      <c r="L21" s="398">
        <f>'Input sheet'!C50</f>
        <v>200000</v>
      </c>
      <c r="M21" s="425">
        <f>L21*(1+M2)</f>
        <v>209400</v>
      </c>
      <c r="N21" s="431"/>
    </row>
    <row r="22" spans="1:14" ht="15" customHeight="1">
      <c r="A22" s="325" t="s">
        <v>880</v>
      </c>
      <c r="B22" s="400">
        <f>'Input sheet'!B51</f>
        <v>0.06</v>
      </c>
      <c r="C22" s="395">
        <f>B22-($B$22-$L$22)/10</f>
        <v>6.8999999999999992E-2</v>
      </c>
      <c r="D22" s="395">
        <f t="shared" ref="D22:K22" si="10">C22-($B$22-$L$22)/10</f>
        <v>7.7999999999999986E-2</v>
      </c>
      <c r="E22" s="395">
        <f t="shared" si="10"/>
        <v>8.699999999999998E-2</v>
      </c>
      <c r="F22" s="395">
        <f t="shared" si="10"/>
        <v>9.5999999999999974E-2</v>
      </c>
      <c r="G22" s="395">
        <f t="shared" si="10"/>
        <v>0.10499999999999997</v>
      </c>
      <c r="H22" s="395">
        <f t="shared" si="10"/>
        <v>0.11399999999999996</v>
      </c>
      <c r="I22" s="395">
        <f t="shared" si="10"/>
        <v>0.12299999999999996</v>
      </c>
      <c r="J22" s="395">
        <f t="shared" si="10"/>
        <v>0.13199999999999995</v>
      </c>
      <c r="K22" s="395">
        <f t="shared" si="10"/>
        <v>0.14099999999999996</v>
      </c>
      <c r="L22" s="401">
        <f>'Input sheet'!C51</f>
        <v>0.15</v>
      </c>
      <c r="M22" s="424">
        <f>L22</f>
        <v>0.15</v>
      </c>
      <c r="N22" s="431"/>
    </row>
    <row r="23" spans="1:14" ht="15" customHeight="1">
      <c r="A23" s="325" t="s">
        <v>881</v>
      </c>
      <c r="B23" s="397">
        <f>B21*B22</f>
        <v>1200</v>
      </c>
      <c r="C23" s="397">
        <f t="shared" ref="C23:M23" si="11">C21*C22</f>
        <v>3035.9999999999995</v>
      </c>
      <c r="D23" s="397">
        <f t="shared" si="11"/>
        <v>5303.9999999999991</v>
      </c>
      <c r="E23" s="397">
        <f t="shared" si="11"/>
        <v>8003.9999999999982</v>
      </c>
      <c r="F23" s="397">
        <f t="shared" si="11"/>
        <v>11135.999999999996</v>
      </c>
      <c r="G23" s="397">
        <f t="shared" si="11"/>
        <v>14699.999999999996</v>
      </c>
      <c r="H23" s="397">
        <f t="shared" si="11"/>
        <v>17327.999999999993</v>
      </c>
      <c r="I23" s="397">
        <f t="shared" si="11"/>
        <v>20171.999999999993</v>
      </c>
      <c r="J23" s="397">
        <f t="shared" si="11"/>
        <v>23231.999999999993</v>
      </c>
      <c r="K23" s="397">
        <f t="shared" si="11"/>
        <v>26507.999999999993</v>
      </c>
      <c r="L23" s="397">
        <f t="shared" si="11"/>
        <v>30000</v>
      </c>
      <c r="M23" s="427">
        <f t="shared" si="11"/>
        <v>31410</v>
      </c>
      <c r="N23" s="431"/>
    </row>
    <row r="24" spans="1:14" ht="15" customHeight="1">
      <c r="A24" s="325" t="s">
        <v>503</v>
      </c>
      <c r="B24" s="400">
        <f>'Input sheet'!B52</f>
        <v>0.65</v>
      </c>
      <c r="C24" s="395">
        <f>'Input sheet'!B26</f>
        <v>0.65</v>
      </c>
      <c r="D24" s="395">
        <f>IF(D1&gt;'Input sheet'!$B$29,'Input sheet'!$C$52,'Input sheet'!$C$52-(('Input sheet'!$C$52-$C$24)/'Input sheet'!$B$29)*('Input sheet'!$B$29-D1))</f>
        <v>0.63</v>
      </c>
      <c r="E24" s="395">
        <f>IF(E1&gt;'Input sheet'!$B$29,'Input sheet'!$C$52,'Input sheet'!$C$52-(('Input sheet'!$C$52-$C$24)/'Input sheet'!$B$29)*('Input sheet'!$B$29-E1))</f>
        <v>0.62</v>
      </c>
      <c r="F24" s="395">
        <f>IF(F1&gt;'Input sheet'!$B$29,'Input sheet'!$C$52,'Input sheet'!$C$52-(('Input sheet'!$C$52-$C$24)/'Input sheet'!$B$29)*('Input sheet'!$B$29-F1))</f>
        <v>0.61</v>
      </c>
      <c r="G24" s="395">
        <f>IF(G1&gt;'Input sheet'!$B$29,'Input sheet'!$C$52,'Input sheet'!$C$52-(('Input sheet'!$C$52-$C$24)/'Input sheet'!$B$29)*('Input sheet'!$B$29-G1))</f>
        <v>0.6</v>
      </c>
      <c r="H24" s="395">
        <f>IF(H1&gt;'Input sheet'!$B$29,'Input sheet'!$C$52,'Input sheet'!$C$52-(('Input sheet'!$C$52-$C$24)/'Input sheet'!$B$29)*('Input sheet'!$B$29-H1))</f>
        <v>0.6</v>
      </c>
      <c r="I24" s="395">
        <f>IF(I1&gt;'Input sheet'!$B$29,'Input sheet'!$C$52,'Input sheet'!$C$52-(('Input sheet'!$C$52-$C$24)/'Input sheet'!$B$29)*('Input sheet'!$B$29-I1))</f>
        <v>0.6</v>
      </c>
      <c r="J24" s="395">
        <f>IF(J1&gt;'Input sheet'!$B$29,'Input sheet'!$C$52,'Input sheet'!$C$52-(('Input sheet'!$C$52-$C$24)/'Input sheet'!$B$29)*('Input sheet'!$B$29-J1))</f>
        <v>0.6</v>
      </c>
      <c r="K24" s="395">
        <f>IF(K1&gt;'Input sheet'!$B$29,'Input sheet'!$C$52,'Input sheet'!$C$52-(('Input sheet'!$C$52-$C$24)/'Input sheet'!$B$29)*('Input sheet'!$B$29-K1))</f>
        <v>0.6</v>
      </c>
      <c r="L24" s="395">
        <f>IF(L1&gt;'Input sheet'!$B$29,'Input sheet'!$C$52,'Input sheet'!$C$52-(('Input sheet'!$C$52-$C$24)/'Input sheet'!$B$29)*('Input sheet'!$B$29-L1))</f>
        <v>0.6</v>
      </c>
      <c r="M24" s="424">
        <f>L24</f>
        <v>0.6</v>
      </c>
      <c r="N24" s="431"/>
    </row>
    <row r="25" spans="1:14" ht="15" customHeight="1">
      <c r="A25" s="325" t="s">
        <v>854</v>
      </c>
      <c r="B25" s="397">
        <f>B23*B24</f>
        <v>780</v>
      </c>
      <c r="C25" s="398">
        <f>C23*C24</f>
        <v>1973.3999999999999</v>
      </c>
      <c r="D25" s="398">
        <f t="shared" ref="D25:M25" si="12">D23*D24</f>
        <v>3341.5199999999995</v>
      </c>
      <c r="E25" s="398">
        <f t="shared" si="12"/>
        <v>4962.4799999999987</v>
      </c>
      <c r="F25" s="398">
        <f t="shared" si="12"/>
        <v>6792.9599999999973</v>
      </c>
      <c r="G25" s="398">
        <f t="shared" si="12"/>
        <v>8819.9999999999982</v>
      </c>
      <c r="H25" s="398">
        <f t="shared" si="12"/>
        <v>10396.799999999996</v>
      </c>
      <c r="I25" s="398">
        <f t="shared" si="12"/>
        <v>12103.199999999995</v>
      </c>
      <c r="J25" s="398">
        <f t="shared" si="12"/>
        <v>13939.199999999995</v>
      </c>
      <c r="K25" s="398">
        <f t="shared" si="12"/>
        <v>15904.799999999996</v>
      </c>
      <c r="L25" s="398">
        <f t="shared" si="12"/>
        <v>18000</v>
      </c>
      <c r="M25" s="425">
        <f t="shared" si="12"/>
        <v>18846</v>
      </c>
      <c r="N25" s="431"/>
    </row>
    <row r="26" spans="1:14" ht="15" customHeight="1">
      <c r="A26" s="325" t="s">
        <v>505</v>
      </c>
      <c r="B26" s="397">
        <f>B25*(1-B6)</f>
        <v>674.7</v>
      </c>
      <c r="C26" s="398">
        <f t="shared" ref="C26:M26" si="13">C25*(1-C6)</f>
        <v>1706.9909999999998</v>
      </c>
      <c r="D26" s="398">
        <f t="shared" si="13"/>
        <v>2890.4147999999996</v>
      </c>
      <c r="E26" s="398">
        <f t="shared" si="13"/>
        <v>4292.5451999999987</v>
      </c>
      <c r="F26" s="398">
        <f t="shared" si="13"/>
        <v>5875.9103999999979</v>
      </c>
      <c r="G26" s="398">
        <f t="shared" si="13"/>
        <v>7629.2999999999984</v>
      </c>
      <c r="H26" s="398">
        <f t="shared" si="13"/>
        <v>8754.1055999999953</v>
      </c>
      <c r="I26" s="398">
        <f t="shared" si="13"/>
        <v>9912.5207999999948</v>
      </c>
      <c r="J26" s="398">
        <f t="shared" si="13"/>
        <v>11095.603199999996</v>
      </c>
      <c r="K26" s="398">
        <f t="shared" si="13"/>
        <v>12294.410399999997</v>
      </c>
      <c r="L26" s="398">
        <f t="shared" si="13"/>
        <v>13500</v>
      </c>
      <c r="M26" s="425">
        <f t="shared" si="13"/>
        <v>14134.5</v>
      </c>
      <c r="N26" s="431"/>
    </row>
    <row r="27" spans="1:14" ht="15" customHeight="1">
      <c r="A27" s="325" t="s">
        <v>870</v>
      </c>
      <c r="B27" s="397"/>
      <c r="C27" s="398">
        <f>IF('Input sheet'!$B$67="No",(D23-C23)/C57,IF('Input sheet'!$B$68=0,(D23-B23)/C57,IF('Input sheet'!$B$68=2,(E23-D23)/C57,IF('Input sheet'!$B$68=3,(F23-E23)/C57,(D23-C23)/C57))))</f>
        <v>1252.7999999999993</v>
      </c>
      <c r="D27" s="398">
        <f>IF('Input sheet'!$B$67="No",(E23-D23)/D57,IF('Input sheet'!$B$68=0,(E23-C23)/D57,IF('Input sheet'!$B$68=2,(F23-E23)/D57,IF('Input sheet'!$B$68=3,(G23-F23)/D57,(E23-D23)/D57))))</f>
        <v>1425.6</v>
      </c>
      <c r="E27" s="398">
        <f>IF('Input sheet'!$B$67="No",(F23-E23)/E57,IF('Input sheet'!$B$68=0,(F23-D23)/E57,IF('Input sheet'!$B$68=2,(G23-F23)/E57,IF('Input sheet'!$B$68=3,(H23-G23)/E57,(F23-E23)/E57))))</f>
        <v>1051.1999999999985</v>
      </c>
      <c r="F27" s="398">
        <f>IF('Input sheet'!$B$67="No",(G23-F23)/F57,IF('Input sheet'!$B$68=0,(G23-E23)/F57,IF('Input sheet'!$B$68=2,(H23-G23)/F57,IF('Input sheet'!$B$68=3,(I23-H23)/F57,(G23-F23)/F57))))</f>
        <v>1137.5999999999999</v>
      </c>
      <c r="G27" s="398">
        <f>IF('Input sheet'!$B$67="No",(H23-G23)/G57,IF('Input sheet'!$B$68=0,(H23-F23)/G57,IF('Input sheet'!$B$68=2,(I23-H23)/G57,IF('Input sheet'!$B$68=3,(J23-I23)/G57,(H23-G23)/G57))))</f>
        <v>1224</v>
      </c>
      <c r="H27" s="398">
        <f>IF('Input sheet'!$B$67="No",(I23-H23)/H57,IF('Input sheet'!$B$68=0,(I23-G23)/H57,IF('Input sheet'!$B$68=2,(J23-I23)/H57,IF('Input sheet'!$B$68=3,(K23-J23)/H57,(I23-H23)/H57))))</f>
        <v>1310.4000000000001</v>
      </c>
      <c r="I27" s="398">
        <f>IF('Input sheet'!$B$67="No",(J23-I23)/I57,IF('Input sheet'!$B$68=0,(J23-H23)/I57,IF('Input sheet'!$B$68=2,(K23-J23)/I57,IF('Input sheet'!$B$68=3,(L23-K23)/I57,(J23-I23)/I57))))</f>
        <v>1396.8000000000029</v>
      </c>
      <c r="J27" s="398">
        <f>IF('Input sheet'!$B$67="No",(K23-J23)/J57,IF('Input sheet'!$B$68=0,(K23-I23)/J57,IF('Input sheet'!$B$68=2,(L23-K23)/J57,IF('Input sheet'!$B$68=3,(M23-L23)/J57,(K23-J23)/J57))))</f>
        <v>564</v>
      </c>
      <c r="K27" s="398">
        <f>IF('Input sheet'!$B$67="No",(L23-K23)/K57,IF('Input sheet'!$B$68=0,(K23-J23)/K57,IF('Input sheet'!$B$68=2,L12*L2/K57,IF('Input sheet'!$B$68=3,M23*M2/K57,(L23-K23)/K57))))</f>
        <v>590.50800000000004</v>
      </c>
      <c r="L27" s="398">
        <f>IF('Input sheet'!$B$67="No",(M23-L23)/L57,IF('Input sheet'!$B$68=0,(L23-K23)/L57,IF('Input sheet'!$B$68=2,M23*M2/L57,IF('Input sheet'!$B$68=3,(M23*(1+M2)*M2)/L57,(M23-L23)/L57))))</f>
        <v>618.26187599999992</v>
      </c>
      <c r="M27" s="425">
        <f>IF(M2&gt;0,(M2/M59)*M26,0)</f>
        <v>3321.6074999999996</v>
      </c>
      <c r="N27" s="431"/>
    </row>
    <row r="28" spans="1:14" ht="15" customHeight="1" thickBot="1">
      <c r="A28" s="325" t="s">
        <v>871</v>
      </c>
      <c r="B28" s="394"/>
      <c r="C28" s="402">
        <f>C26-C27</f>
        <v>454.19100000000049</v>
      </c>
      <c r="D28" s="402">
        <f t="shared" ref="D28:L28" si="14">D26-D27</f>
        <v>1464.8147999999997</v>
      </c>
      <c r="E28" s="402">
        <f t="shared" si="14"/>
        <v>3241.3452000000002</v>
      </c>
      <c r="F28" s="402">
        <f t="shared" si="14"/>
        <v>4738.3103999999985</v>
      </c>
      <c r="G28" s="402">
        <f t="shared" si="14"/>
        <v>6405.2999999999984</v>
      </c>
      <c r="H28" s="402">
        <f t="shared" si="14"/>
        <v>7443.7055999999957</v>
      </c>
      <c r="I28" s="402">
        <f t="shared" si="14"/>
        <v>8515.7207999999919</v>
      </c>
      <c r="J28" s="402">
        <f t="shared" si="14"/>
        <v>10531.603199999996</v>
      </c>
      <c r="K28" s="402">
        <f t="shared" si="14"/>
        <v>11703.902399999997</v>
      </c>
      <c r="L28" s="402">
        <f t="shared" si="14"/>
        <v>12881.738124</v>
      </c>
      <c r="M28" s="426">
        <f>M26-M27</f>
        <v>10812.8925</v>
      </c>
      <c r="N28" s="432">
        <f>M28/(M30-M2)</f>
        <v>284549.80263157887</v>
      </c>
    </row>
    <row r="29" spans="1:14" ht="15" customHeight="1"/>
    <row r="30" spans="1:14" ht="15" customHeight="1">
      <c r="A30" s="325" t="s">
        <v>126</v>
      </c>
      <c r="B30" s="399"/>
      <c r="C30" s="395">
        <f>'Input sheet'!B34</f>
        <v>0.11793732266471768</v>
      </c>
      <c r="D30" s="395">
        <f>C30</f>
        <v>0.11793732266471768</v>
      </c>
      <c r="E30" s="395">
        <f t="shared" ref="E30:G30" si="15">D30</f>
        <v>0.11793732266471768</v>
      </c>
      <c r="F30" s="395">
        <f t="shared" si="15"/>
        <v>0.11793732266471768</v>
      </c>
      <c r="G30" s="395">
        <f t="shared" si="15"/>
        <v>0.11793732266471768</v>
      </c>
      <c r="H30" s="395">
        <f>G30-($G$30-$M$30)/5</f>
        <v>0.11134985813177414</v>
      </c>
      <c r="I30" s="395">
        <f t="shared" ref="I30:L30" si="16">H30-($G$30-$M$30)/5</f>
        <v>0.10476239359883061</v>
      </c>
      <c r="J30" s="395">
        <f t="shared" si="16"/>
        <v>9.8174929065887068E-2</v>
      </c>
      <c r="K30" s="395">
        <f t="shared" si="16"/>
        <v>9.158746453294353E-2</v>
      </c>
      <c r="L30" s="395">
        <f t="shared" si="16"/>
        <v>8.4999999999999992E-2</v>
      </c>
      <c r="M30" s="396">
        <f>IF('Input sheet'!B56="Yes",'Input sheet'!B57,IF('Input sheet'!B75="Yes",'Input sheet'!B76+'Country equity risk premiums'!B1,'Input sheet'!B33+'Country equity risk premiums'!B1))</f>
        <v>8.5000000000000006E-2</v>
      </c>
    </row>
    <row r="31" spans="1:14" ht="15" customHeight="1">
      <c r="A31" s="325" t="s">
        <v>127</v>
      </c>
      <c r="B31" s="405"/>
      <c r="C31" s="406">
        <f>1/(1+C30)</f>
        <v>0.89450453055489554</v>
      </c>
      <c r="D31" s="406">
        <f>C31*(1/(1+D30))</f>
        <v>0.80013835518323406</v>
      </c>
      <c r="E31" s="406">
        <f t="shared" ref="E31" si="17">D31*(1/(1+E30))</f>
        <v>0.71572738378214507</v>
      </c>
      <c r="F31" s="406">
        <f t="shared" ref="F31" si="18">E31*(1/(1+F30))</f>
        <v>0.64022138743533119</v>
      </c>
      <c r="G31" s="406">
        <f t="shared" ref="G31" si="19">F31*(1/(1+G30))</f>
        <v>0.57268093161904488</v>
      </c>
      <c r="H31" s="406">
        <f t="shared" ref="H31" si="20">G31*(1/(1+H30))</f>
        <v>0.51530211429706352</v>
      </c>
      <c r="I31" s="406">
        <f t="shared" ref="I31" si="21">H31*(1/(1+I30))</f>
        <v>0.46643705224110282</v>
      </c>
      <c r="J31" s="406">
        <f t="shared" ref="J31" si="22">I31*(1/(1+J30))</f>
        <v>0.42473839084803772</v>
      </c>
      <c r="K31" s="406">
        <f t="shared" ref="K31" si="23">J31*(1/(1+K30))</f>
        <v>0.38910156505852705</v>
      </c>
      <c r="L31" s="406">
        <f t="shared" ref="L31" si="24">K31*(1/(1+L30))</f>
        <v>0.35861895397099269</v>
      </c>
      <c r="M31" s="407"/>
    </row>
    <row r="32" spans="1:14" ht="15" customHeight="1">
      <c r="A32" s="394" t="s">
        <v>883</v>
      </c>
      <c r="B32" s="394"/>
      <c r="C32" s="398">
        <f>C9*C31</f>
        <v>23878.260054303566</v>
      </c>
      <c r="D32" s="398">
        <f t="shared" ref="D32:L32" si="25">D9*D31</f>
        <v>23683.115275161319</v>
      </c>
      <c r="E32" s="398">
        <f t="shared" si="25"/>
        <v>24479.946392051213</v>
      </c>
      <c r="F32" s="398">
        <f t="shared" si="25"/>
        <v>25358.496727670678</v>
      </c>
      <c r="G32" s="398">
        <f t="shared" si="25"/>
        <v>26290.306905503636</v>
      </c>
      <c r="H32" s="398">
        <f t="shared" si="25"/>
        <v>26590.927748298258</v>
      </c>
      <c r="I32" s="398">
        <f t="shared" si="25"/>
        <v>26517.854247316456</v>
      </c>
      <c r="J32" s="398">
        <f t="shared" si="25"/>
        <v>25551.000978824894</v>
      </c>
      <c r="K32" s="398">
        <f t="shared" si="25"/>
        <v>24256.422691147218</v>
      </c>
      <c r="L32" s="398">
        <f t="shared" si="25"/>
        <v>22678.050025953489</v>
      </c>
      <c r="M32" s="404"/>
    </row>
    <row r="33" spans="1:13" ht="15" customHeight="1">
      <c r="A33" s="394" t="s">
        <v>872</v>
      </c>
      <c r="B33" s="394"/>
      <c r="C33" s="398">
        <f>C19*C31</f>
        <v>36077.739943293971</v>
      </c>
      <c r="D33" s="398">
        <f t="shared" ref="D33:L33" si="26">D19*D31</f>
        <v>39281.603222069731</v>
      </c>
      <c r="E33" s="398">
        <f t="shared" si="26"/>
        <v>43007.507667674545</v>
      </c>
      <c r="F33" s="398">
        <f t="shared" si="26"/>
        <v>43343.836094666003</v>
      </c>
      <c r="G33" s="398">
        <f t="shared" si="26"/>
        <v>42659.918885793246</v>
      </c>
      <c r="H33" s="398">
        <f t="shared" si="26"/>
        <v>39487.325641134099</v>
      </c>
      <c r="I33" s="398">
        <f t="shared" si="26"/>
        <v>36479.1522670306</v>
      </c>
      <c r="J33" s="398">
        <f t="shared" si="26"/>
        <v>32940.937245816465</v>
      </c>
      <c r="K33" s="398">
        <f t="shared" si="26"/>
        <v>30218.703953014785</v>
      </c>
      <c r="L33" s="398">
        <f t="shared" si="26"/>
        <v>27717.812708142828</v>
      </c>
      <c r="M33" s="404"/>
    </row>
    <row r="34" spans="1:13" ht="15" customHeight="1">
      <c r="A34" s="394" t="s">
        <v>882</v>
      </c>
      <c r="B34" s="394"/>
      <c r="C34" s="402">
        <f>C28*C31</f>
        <v>406.27590723725899</v>
      </c>
      <c r="D34" s="402">
        <f t="shared" ref="D34:L34" si="27">D28*D31</f>
        <v>1172.0545047200576</v>
      </c>
      <c r="E34" s="402">
        <f t="shared" si="27"/>
        <v>2319.9195199308137</v>
      </c>
      <c r="F34" s="402">
        <f t="shared" si="27"/>
        <v>3033.5676583872582</v>
      </c>
      <c r="G34" s="402">
        <f t="shared" si="27"/>
        <v>3668.1931712994674</v>
      </c>
      <c r="H34" s="402">
        <f t="shared" si="27"/>
        <v>3835.7572338848895</v>
      </c>
      <c r="I34" s="402">
        <f t="shared" si="27"/>
        <v>3972.0477076602419</v>
      </c>
      <c r="J34" s="402">
        <f t="shared" si="27"/>
        <v>4473.1761962180426</v>
      </c>
      <c r="K34" s="402">
        <f t="shared" si="27"/>
        <v>4554.0067411322498</v>
      </c>
      <c r="L34" s="402">
        <f t="shared" si="27"/>
        <v>4619.6354513571378</v>
      </c>
      <c r="M34" s="404"/>
    </row>
    <row r="35" spans="1:13" ht="15" customHeight="1"/>
    <row r="36" spans="1:13" ht="15" customHeight="1"/>
    <row r="37" spans="1:13" ht="15" customHeight="1">
      <c r="A37" s="384" t="s">
        <v>878</v>
      </c>
      <c r="B37" s="397">
        <f>SUM(C32:L32)+N9*L31</f>
        <v>750228.78752593324</v>
      </c>
    </row>
    <row r="38" spans="1:13" ht="15" customHeight="1">
      <c r="A38" s="384" t="s">
        <v>877</v>
      </c>
      <c r="B38" s="419">
        <f>SUM(C33:L33)+N19*L31</f>
        <v>983484.25306297175</v>
      </c>
      <c r="D38" s="408"/>
    </row>
    <row r="39" spans="1:13">
      <c r="A39" s="384" t="s">
        <v>886</v>
      </c>
      <c r="B39" s="397">
        <f>SUM(C34:L34)+N28*L31</f>
        <v>134099.58666421665</v>
      </c>
      <c r="D39" s="409"/>
      <c r="M39" s="408"/>
    </row>
    <row r="40" spans="1:13">
      <c r="A40" s="384" t="s">
        <v>889</v>
      </c>
      <c r="B40" s="403">
        <f>SUM(B37:B39)</f>
        <v>1867812.6272531217</v>
      </c>
    </row>
    <row r="41" spans="1:13">
      <c r="A41" s="384" t="s">
        <v>92</v>
      </c>
      <c r="B41" s="410">
        <f>IF('Input sheet'!B62="Yes",'Input sheet'!B63,0)</f>
        <v>0</v>
      </c>
      <c r="E41" s="408"/>
      <c r="L41" s="408"/>
    </row>
    <row r="42" spans="1:13">
      <c r="A42" s="384" t="s">
        <v>93</v>
      </c>
      <c r="B42" s="411">
        <f>IF('Input sheet'!B64="B",('Input sheet'!B13+'Input sheet'!B14)*'Input sheet'!B65,'Valuation output'!B40*'Input sheet'!B65)</f>
        <v>933906.31362656085</v>
      </c>
    </row>
    <row r="43" spans="1:13">
      <c r="A43" s="384" t="s">
        <v>31</v>
      </c>
      <c r="B43" s="397">
        <f>B40*(1-B41)+B42*B41</f>
        <v>1867812.6272531217</v>
      </c>
    </row>
    <row r="44" spans="1:13">
      <c r="A44" s="384" t="s">
        <v>359</v>
      </c>
      <c r="B44" s="397">
        <f>IF('Input sheet'!B16="Yes",'Input sheet'!B14+'Operating lease converter'!C28,'Input sheet'!B14)</f>
        <v>10225</v>
      </c>
    </row>
    <row r="45" spans="1:13">
      <c r="A45" s="384" t="s">
        <v>361</v>
      </c>
      <c r="B45" s="397">
        <f>'Input sheet'!B19</f>
        <v>0</v>
      </c>
    </row>
    <row r="46" spans="1:13">
      <c r="A46" s="384" t="s">
        <v>358</v>
      </c>
      <c r="B46" s="397">
        <f>IF('Input sheet'!B81="YES",'Input sheet'!B17-'Input sheet'!B82*('Input sheet'!B23-'Input sheet'!B83),'Input sheet'!B17)</f>
        <v>38487</v>
      </c>
    </row>
    <row r="47" spans="1:13">
      <c r="A47" s="384" t="s">
        <v>357</v>
      </c>
      <c r="B47" s="397">
        <f>'Input sheet'!B18</f>
        <v>2237</v>
      </c>
    </row>
    <row r="48" spans="1:13">
      <c r="A48" s="384" t="s">
        <v>37</v>
      </c>
      <c r="B48" s="403">
        <f>B43-B44-B45+B46+B47</f>
        <v>1898311.6272531217</v>
      </c>
    </row>
    <row r="49" spans="1:13">
      <c r="A49" s="384" t="s">
        <v>42</v>
      </c>
      <c r="B49" s="412">
        <f>IF('Input sheet'!B36="No",0,'Option value'!B29)</f>
        <v>0</v>
      </c>
    </row>
    <row r="50" spans="1:13">
      <c r="A50" s="384" t="s">
        <v>43</v>
      </c>
      <c r="B50" s="403">
        <f>B48-B49</f>
        <v>1898311.6272531217</v>
      </c>
    </row>
    <row r="51" spans="1:13">
      <c r="A51" s="384" t="s">
        <v>7</v>
      </c>
      <c r="B51" s="413">
        <f>'Input sheet'!B20</f>
        <v>24490</v>
      </c>
    </row>
    <row r="52" spans="1:13">
      <c r="A52" s="384" t="s">
        <v>77</v>
      </c>
      <c r="B52" s="414">
        <f>B50/B51</f>
        <v>77.513745498289978</v>
      </c>
    </row>
    <row r="53" spans="1:13">
      <c r="A53" s="384" t="s">
        <v>83</v>
      </c>
      <c r="B53" s="397">
        <f>'Input sheet'!B21</f>
        <v>123</v>
      </c>
    </row>
    <row r="54" spans="1:13">
      <c r="A54" s="384" t="s">
        <v>35</v>
      </c>
      <c r="B54" s="400">
        <f>B53/B52</f>
        <v>1.5868153346133105</v>
      </c>
    </row>
    <row r="56" spans="1:13">
      <c r="A56" s="415" t="s">
        <v>11</v>
      </c>
      <c r="B56" s="394"/>
      <c r="C56" s="404"/>
      <c r="D56" s="404"/>
      <c r="E56" s="404"/>
      <c r="F56" s="404"/>
      <c r="G56" s="404"/>
      <c r="H56" s="404"/>
      <c r="I56" s="404"/>
      <c r="J56" s="404"/>
      <c r="K56" s="404"/>
      <c r="L56" s="404"/>
      <c r="M56" s="404" t="s">
        <v>30</v>
      </c>
    </row>
    <row r="57" spans="1:13">
      <c r="A57" s="384" t="s">
        <v>25</v>
      </c>
      <c r="B57" s="394"/>
      <c r="C57" s="416">
        <f>'Input sheet'!B30</f>
        <v>2.5</v>
      </c>
      <c r="D57" s="416">
        <f>'Input sheet'!B30</f>
        <v>2.5</v>
      </c>
      <c r="E57" s="416">
        <f t="shared" ref="E57:L57" si="28">D57</f>
        <v>2.5</v>
      </c>
      <c r="F57" s="416">
        <f t="shared" si="28"/>
        <v>2.5</v>
      </c>
      <c r="G57" s="416">
        <f>'Input sheet'!B31</f>
        <v>2.5</v>
      </c>
      <c r="H57" s="416">
        <f t="shared" si="28"/>
        <v>2.5</v>
      </c>
      <c r="I57" s="416">
        <f t="shared" si="28"/>
        <v>2.5</v>
      </c>
      <c r="J57" s="416">
        <f t="shared" si="28"/>
        <v>2.5</v>
      </c>
      <c r="K57" s="416">
        <f t="shared" si="28"/>
        <v>2.5</v>
      </c>
      <c r="L57" s="416">
        <f t="shared" si="28"/>
        <v>2.5</v>
      </c>
      <c r="M57" s="404"/>
    </row>
    <row r="58" spans="1:13">
      <c r="A58" s="384" t="s">
        <v>12</v>
      </c>
      <c r="B58" s="417">
        <f>IF('Input sheet'!B16="Yes",IF('Input sheet'!B15="Yes",'Input sheet'!B13+'Input sheet'!B14-'Input sheet'!B17+'Operating lease converter'!F33+'R&amp; D converter'!D35,'Input sheet'!B13+'Input sheet'!B14-'Input sheet'!B17+'Operating lease converter'!F33),IF('Input sheet'!B15="Yes",'Input sheet'!B13+'Input sheet'!B14-'Input sheet'!B17+'R&amp; D converter'!D35,'Input sheet'!B13+'Input sheet'!B14-'Input sheet'!B17))</f>
        <v>63537.4</v>
      </c>
      <c r="C58" s="418">
        <f>B58+C8+C18+C27</f>
        <v>75506.216422500001</v>
      </c>
      <c r="D58" s="418">
        <f t="shared" ref="D58:L58" si="29">C58+D8+D18+D27</f>
        <v>87883.395308374995</v>
      </c>
      <c r="E58" s="418">
        <f t="shared" si="29"/>
        <v>97030.155455088709</v>
      </c>
      <c r="F58" s="418">
        <f t="shared" si="29"/>
        <v>105729.51441372235</v>
      </c>
      <c r="G58" s="418">
        <f t="shared" si="29"/>
        <v>113753.04840144266</v>
      </c>
      <c r="H58" s="418">
        <f t="shared" si="29"/>
        <v>120872.47822112018</v>
      </c>
      <c r="I58" s="418">
        <f t="shared" si="29"/>
        <v>126878.49817656285</v>
      </c>
      <c r="J58" s="418">
        <f t="shared" si="29"/>
        <v>133595.2058699113</v>
      </c>
      <c r="K58" s="418">
        <f t="shared" si="29"/>
        <v>140627.59882484714</v>
      </c>
      <c r="L58" s="418">
        <f t="shared" si="29"/>
        <v>147990.51424866496</v>
      </c>
      <c r="M58" s="404"/>
    </row>
    <row r="59" spans="1:13">
      <c r="A59" s="384" t="s">
        <v>13</v>
      </c>
      <c r="B59" s="399">
        <f>((B3*B4+B14*B15+B23*B24)*(1-B6))/B58</f>
        <v>1.0495191021351202</v>
      </c>
      <c r="C59" s="395">
        <f>(C7+C17+C26)/B58</f>
        <v>1.2504455255880786</v>
      </c>
      <c r="D59" s="395">
        <f t="shared" ref="D59:L59" si="30">(D7+D17+D26)/C58</f>
        <v>1.2255187299028909</v>
      </c>
      <c r="E59" s="395">
        <f t="shared" si="30"/>
        <v>1.2138837757551479</v>
      </c>
      <c r="F59" s="395">
        <f t="shared" si="30"/>
        <v>1.2444372915396218</v>
      </c>
      <c r="G59" s="395">
        <f t="shared" si="30"/>
        <v>1.2752149644767743</v>
      </c>
      <c r="H59" s="395">
        <f t="shared" si="30"/>
        <v>1.2553087659971323</v>
      </c>
      <c r="I59" s="395">
        <f t="shared" si="30"/>
        <v>1.237517274891087</v>
      </c>
      <c r="J59" s="395">
        <f t="shared" si="30"/>
        <v>1.2213351540367394</v>
      </c>
      <c r="K59" s="395">
        <f t="shared" si="30"/>
        <v>1.1882060191432768</v>
      </c>
      <c r="L59" s="395">
        <f t="shared" si="30"/>
        <v>1.1432482667760431</v>
      </c>
      <c r="M59" s="395">
        <f>IF('Input sheet'!B59="Yes",'Input sheet'!B60,'Valuation output'!#REF!)</f>
        <v>0.2</v>
      </c>
    </row>
    <row r="62" spans="1:13">
      <c r="B62" s="420"/>
      <c r="C62" s="408"/>
    </row>
  </sheetData>
  <phoneticPr fontId="10" type="noConversion"/>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G14" sqref="G14"/>
    </sheetView>
  </sheetViews>
  <sheetFormatPr baseColWidth="10" defaultRowHeight="16"/>
  <cols>
    <col min="1" max="1" width="20.33203125" style="103" customWidth="1"/>
    <col min="2" max="2" width="19.5" style="103" customWidth="1"/>
    <col min="3" max="3" width="17.6640625" style="103" customWidth="1"/>
    <col min="4" max="4" width="16.5" style="103" customWidth="1"/>
    <col min="5" max="5" width="19.1640625" style="103" customWidth="1"/>
    <col min="6" max="6" width="24.6640625" style="105" customWidth="1"/>
    <col min="7" max="7" width="37.33203125" style="103" customWidth="1"/>
    <col min="8" max="8" width="17" customWidth="1"/>
    <col min="13" max="13" width="12.5" bestFit="1" customWidth="1"/>
  </cols>
  <sheetData>
    <row r="1" spans="1:11">
      <c r="A1" s="559" t="str">
        <f>'Input sheet'!B4</f>
        <v>Nvidia</v>
      </c>
      <c r="B1" s="560"/>
      <c r="C1" s="560"/>
      <c r="D1" s="560"/>
      <c r="E1" s="560"/>
      <c r="F1" s="561"/>
      <c r="G1" s="127">
        <f>'Input sheet'!B3</f>
        <v>44196</v>
      </c>
    </row>
    <row r="2" spans="1:11">
      <c r="A2" s="605" t="s">
        <v>946</v>
      </c>
      <c r="B2" s="605"/>
      <c r="C2" s="605"/>
      <c r="D2" s="605"/>
      <c r="E2" s="605"/>
      <c r="F2" s="605"/>
      <c r="G2" s="605"/>
    </row>
    <row r="3" spans="1:11" ht="16" customHeight="1">
      <c r="A3" s="562" t="s">
        <v>947</v>
      </c>
      <c r="B3" s="563"/>
      <c r="C3" s="563"/>
      <c r="D3" s="563"/>
      <c r="E3" s="563"/>
      <c r="F3" s="563"/>
      <c r="G3" s="564"/>
      <c r="H3" s="571" t="s">
        <v>519</v>
      </c>
      <c r="I3" s="572"/>
      <c r="J3" s="572"/>
      <c r="K3" s="573"/>
    </row>
    <row r="4" spans="1:11" ht="16" customHeight="1">
      <c r="A4" s="565"/>
      <c r="B4" s="566"/>
      <c r="C4" s="566"/>
      <c r="D4" s="566"/>
      <c r="E4" s="566"/>
      <c r="F4" s="566"/>
      <c r="G4" s="567"/>
      <c r="H4" s="574"/>
      <c r="I4" s="575"/>
      <c r="J4" s="575"/>
      <c r="K4" s="576"/>
    </row>
    <row r="5" spans="1:11" ht="12" customHeight="1">
      <c r="A5" s="565"/>
      <c r="B5" s="566"/>
      <c r="C5" s="566"/>
      <c r="D5" s="566"/>
      <c r="E5" s="566"/>
      <c r="F5" s="566"/>
      <c r="G5" s="567"/>
      <c r="H5" s="574"/>
      <c r="I5" s="575"/>
      <c r="J5" s="575"/>
      <c r="K5" s="576"/>
    </row>
    <row r="6" spans="1:11" ht="22" customHeight="1">
      <c r="A6" s="568"/>
      <c r="B6" s="569"/>
      <c r="C6" s="569"/>
      <c r="D6" s="569"/>
      <c r="E6" s="569"/>
      <c r="F6" s="569"/>
      <c r="G6" s="570"/>
      <c r="H6" s="577"/>
      <c r="I6" s="578"/>
      <c r="J6" s="578"/>
      <c r="K6" s="579"/>
    </row>
    <row r="7" spans="1:11">
      <c r="A7" s="545" t="s">
        <v>500</v>
      </c>
      <c r="B7" s="546"/>
      <c r="C7" s="546"/>
      <c r="D7" s="546"/>
      <c r="E7" s="546"/>
      <c r="F7" s="546"/>
      <c r="G7" s="547"/>
    </row>
    <row r="8" spans="1:11">
      <c r="A8" s="91"/>
      <c r="B8" s="88" t="s">
        <v>501</v>
      </c>
      <c r="C8" s="150" t="s">
        <v>633</v>
      </c>
      <c r="D8" s="89" t="s">
        <v>631</v>
      </c>
      <c r="E8" s="88" t="s">
        <v>502</v>
      </c>
      <c r="F8" s="88" t="s">
        <v>30</v>
      </c>
      <c r="G8" s="90" t="s">
        <v>507</v>
      </c>
    </row>
    <row r="9" spans="1:11" ht="85">
      <c r="A9" s="92" t="s">
        <v>508</v>
      </c>
      <c r="B9" s="140">
        <f>'Valuation output'!B3</f>
        <v>48069</v>
      </c>
      <c r="C9" s="151">
        <f>'Input sheet'!B25</f>
        <v>0.15</v>
      </c>
      <c r="D9" s="131">
        <f>'Input sheet'!B27</f>
        <v>0.15</v>
      </c>
      <c r="E9" s="131"/>
      <c r="F9" s="93">
        <f>'Valuation output'!M2</f>
        <v>4.7E-2</v>
      </c>
      <c r="G9" s="438" t="s">
        <v>948</v>
      </c>
      <c r="H9" s="580" t="s">
        <v>520</v>
      </c>
      <c r="I9" s="581"/>
      <c r="J9" s="581"/>
      <c r="K9" s="582"/>
    </row>
    <row r="10" spans="1:11" ht="102">
      <c r="A10" s="92" t="s">
        <v>509</v>
      </c>
      <c r="B10" s="93">
        <f>'Valuation output'!B4</f>
        <v>0.72210780336599467</v>
      </c>
      <c r="C10" s="151">
        <f>'Input sheet'!B26</f>
        <v>0.65</v>
      </c>
      <c r="D10" s="132"/>
      <c r="E10" s="133"/>
      <c r="F10" s="93">
        <f>'Valuation output'!M4</f>
        <v>0.6</v>
      </c>
      <c r="G10" s="476" t="s">
        <v>949</v>
      </c>
      <c r="H10" s="583"/>
      <c r="I10" s="584"/>
      <c r="J10" s="584"/>
      <c r="K10" s="585"/>
    </row>
    <row r="11" spans="1:11">
      <c r="A11" s="92" t="s">
        <v>122</v>
      </c>
      <c r="B11" s="93">
        <f>'Valuation output'!B6</f>
        <v>0.13500000000000001</v>
      </c>
      <c r="C11" s="152"/>
      <c r="D11" s="132">
        <f>B11</f>
        <v>0.13500000000000001</v>
      </c>
      <c r="E11" s="133"/>
      <c r="F11" s="93">
        <f>'Valuation output'!M6</f>
        <v>0.25</v>
      </c>
      <c r="G11" s="249" t="s">
        <v>642</v>
      </c>
      <c r="H11" s="583"/>
      <c r="I11" s="584"/>
      <c r="J11" s="584"/>
      <c r="K11" s="585"/>
    </row>
    <row r="12" spans="1:11" ht="68">
      <c r="A12" s="92" t="s">
        <v>510</v>
      </c>
      <c r="B12" s="94"/>
      <c r="C12" s="153">
        <f>'Input sheet'!B30</f>
        <v>2.5</v>
      </c>
      <c r="D12" s="130">
        <f>'Input sheet'!B30</f>
        <v>2.5</v>
      </c>
      <c r="E12" s="129">
        <f>'Input sheet'!B31</f>
        <v>2.5</v>
      </c>
      <c r="F12" s="95">
        <f>'Valuation output'!M2/'Valuation output'!M59</f>
        <v>0.23499999999999999</v>
      </c>
      <c r="G12" s="248" t="s">
        <v>935</v>
      </c>
      <c r="H12" s="583"/>
      <c r="I12" s="584"/>
      <c r="J12" s="584"/>
      <c r="K12" s="585"/>
    </row>
    <row r="13" spans="1:11" ht="51">
      <c r="A13" s="106" t="s">
        <v>522</v>
      </c>
      <c r="B13" s="108">
        <f>'Valuation output'!B59</f>
        <v>1.0495191021351202</v>
      </c>
      <c r="C13" s="93" t="s">
        <v>523</v>
      </c>
      <c r="D13" s="552">
        <f>Diagnostics!C27</f>
        <v>1.1061030069576139</v>
      </c>
      <c r="E13" s="553"/>
      <c r="F13" s="107">
        <f>'Valuation output'!M59</f>
        <v>0.2</v>
      </c>
      <c r="G13" s="440" t="s">
        <v>893</v>
      </c>
      <c r="H13" s="583"/>
      <c r="I13" s="584"/>
      <c r="J13" s="584"/>
      <c r="K13" s="585"/>
    </row>
    <row r="14" spans="1:11" ht="103" thickBot="1">
      <c r="A14" s="96" t="s">
        <v>511</v>
      </c>
      <c r="B14" s="109"/>
      <c r="C14" s="94"/>
      <c r="D14" s="132">
        <f>'Valuation output'!C30</f>
        <v>0.11793732266471768</v>
      </c>
      <c r="E14" s="133"/>
      <c r="F14" s="97">
        <f>'Valuation output'!M30</f>
        <v>8.5000000000000006E-2</v>
      </c>
      <c r="G14" s="439" t="s">
        <v>936</v>
      </c>
      <c r="H14" s="586"/>
      <c r="I14" s="587"/>
      <c r="J14" s="587"/>
      <c r="K14" s="588"/>
    </row>
    <row r="15" spans="1:11" ht="17" thickBot="1">
      <c r="A15" s="548" t="s">
        <v>504</v>
      </c>
      <c r="B15" s="548"/>
      <c r="C15" s="548"/>
      <c r="D15" s="548"/>
      <c r="E15" s="548"/>
      <c r="F15" s="548"/>
      <c r="G15" s="548"/>
    </row>
    <row r="16" spans="1:11">
      <c r="A16" s="87"/>
      <c r="B16" s="138" t="s">
        <v>5</v>
      </c>
      <c r="C16" s="138" t="s">
        <v>503</v>
      </c>
      <c r="D16" s="139" t="s">
        <v>514</v>
      </c>
      <c r="E16" s="139" t="s">
        <v>505</v>
      </c>
      <c r="F16" s="139" t="s">
        <v>512</v>
      </c>
      <c r="G16" s="435" t="s">
        <v>10</v>
      </c>
      <c r="H16" s="589" t="s">
        <v>521</v>
      </c>
      <c r="I16" s="590"/>
      <c r="J16" s="590"/>
      <c r="K16" s="591"/>
    </row>
    <row r="17" spans="1:11">
      <c r="A17" s="98">
        <v>1</v>
      </c>
      <c r="B17" s="140">
        <f>'Valuation output'!C3+'Valuation output'!C14+'Valuation output'!C23</f>
        <v>141307.35</v>
      </c>
      <c r="C17" s="99">
        <f>'Valuation output'!C4</f>
        <v>0.65</v>
      </c>
      <c r="D17" s="140">
        <f>B17*C17</f>
        <v>91849.777500000011</v>
      </c>
      <c r="E17" s="140">
        <f>'Valuation output'!C7</f>
        <v>31080.814537499999</v>
      </c>
      <c r="F17" s="140">
        <f>'Valuation output'!C8</f>
        <v>4386.4164224999959</v>
      </c>
      <c r="G17" s="436">
        <f>E17-F17</f>
        <v>26694.398115000004</v>
      </c>
      <c r="H17" s="592"/>
      <c r="I17" s="592"/>
      <c r="J17" s="592"/>
      <c r="K17" s="593"/>
    </row>
    <row r="18" spans="1:11">
      <c r="A18" s="98">
        <v>2</v>
      </c>
      <c r="B18" s="140">
        <f>'Valuation output'!D3+'Valuation output'!D14+'Valuation output'!D23</f>
        <v>169803.2525</v>
      </c>
      <c r="C18" s="99">
        <f>'Valuation output'!D4</f>
        <v>0.63</v>
      </c>
      <c r="D18" s="140">
        <f t="shared" ref="D18:D27" si="0">B18*C18</f>
        <v>106976.049075</v>
      </c>
      <c r="E18" s="140">
        <f>'Valuation output'!D7</f>
        <v>34643.154049874996</v>
      </c>
      <c r="F18" s="140">
        <f>'Valuation output'!D8</f>
        <v>5044.3788858749958</v>
      </c>
      <c r="G18" s="436">
        <f t="shared" ref="G18:G27" si="1">E18-F18</f>
        <v>29598.775163999999</v>
      </c>
      <c r="H18" s="592"/>
      <c r="I18" s="592"/>
      <c r="J18" s="592"/>
      <c r="K18" s="593"/>
    </row>
    <row r="19" spans="1:11">
      <c r="A19" s="98">
        <v>3</v>
      </c>
      <c r="B19" s="140">
        <f>'Valuation output'!E3+'Valuation output'!E14+'Valuation output'!E23</f>
        <v>198918.94037500001</v>
      </c>
      <c r="C19" s="99">
        <f>'Valuation output'!E4</f>
        <v>0.62</v>
      </c>
      <c r="D19" s="140">
        <f t="shared" si="0"/>
        <v>123329.7430325</v>
      </c>
      <c r="E19" s="140">
        <f>'Valuation output'!E7</f>
        <v>39207.252123112492</v>
      </c>
      <c r="F19" s="140">
        <f>'Valuation output'!E8</f>
        <v>5004.3601467137223</v>
      </c>
      <c r="G19" s="436">
        <f t="shared" si="1"/>
        <v>34202.891976398772</v>
      </c>
      <c r="H19" s="592"/>
      <c r="I19" s="592"/>
      <c r="J19" s="592"/>
      <c r="K19" s="593"/>
    </row>
    <row r="20" spans="1:11">
      <c r="A20" s="98">
        <v>4</v>
      </c>
      <c r="B20" s="140">
        <f>'Valuation output'!F3+'Valuation output'!F14+'Valuation output'!F23</f>
        <v>228840.98143124999</v>
      </c>
      <c r="C20" s="99">
        <f>'Valuation output'!F4</f>
        <v>0.61</v>
      </c>
      <c r="D20" s="140">
        <f t="shared" si="0"/>
        <v>139592.99867306248</v>
      </c>
      <c r="E20" s="140">
        <f>'Valuation output'!F7</f>
        <v>44361.108652199051</v>
      </c>
      <c r="F20" s="140">
        <f>'Valuation output'!F8</f>
        <v>4752.1589586336513</v>
      </c>
      <c r="G20" s="436">
        <f t="shared" si="1"/>
        <v>39608.949693565402</v>
      </c>
      <c r="H20" s="592"/>
      <c r="I20" s="592"/>
      <c r="J20" s="592"/>
      <c r="K20" s="593"/>
    </row>
    <row r="21" spans="1:11">
      <c r="A21" s="98">
        <v>5</v>
      </c>
      <c r="B21" s="140">
        <f>'Valuation output'!G3+'Valuation output'!G14+'Valuation output'!G23</f>
        <v>259783.92864593747</v>
      </c>
      <c r="C21" s="99">
        <f>'Valuation output'!G4</f>
        <v>0.6</v>
      </c>
      <c r="D21" s="140">
        <f t="shared" si="0"/>
        <v>155870.35718756248</v>
      </c>
      <c r="E21" s="140">
        <f>'Valuation output'!G7</f>
        <v>50178.958967241546</v>
      </c>
      <c r="F21" s="140">
        <f>'Valuation output'!G8</f>
        <v>4271.5339877203105</v>
      </c>
      <c r="G21" s="436">
        <f t="shared" si="1"/>
        <v>45907.424979521238</v>
      </c>
      <c r="H21" s="592"/>
      <c r="I21" s="592"/>
      <c r="J21" s="592"/>
      <c r="K21" s="593"/>
    </row>
    <row r="22" spans="1:11">
      <c r="A22" s="98">
        <v>6</v>
      </c>
      <c r="B22" s="140">
        <f>'Valuation output'!H3+'Valuation output'!H14+'Valuation output'!H23</f>
        <v>282650.82901272178</v>
      </c>
      <c r="C22" s="99">
        <f>'Valuation output'!H4</f>
        <v>0.6</v>
      </c>
      <c r="D22" s="140">
        <f t="shared" si="0"/>
        <v>169590.49740763305</v>
      </c>
      <c r="E22" s="140">
        <f>'Valuation output'!H7</f>
        <v>55165.227617227036</v>
      </c>
      <c r="F22" s="140">
        <f>'Valuation output'!H8</f>
        <v>3562.6298196775256</v>
      </c>
      <c r="G22" s="436">
        <f t="shared" si="1"/>
        <v>51602.597797549512</v>
      </c>
      <c r="H22" s="592"/>
      <c r="I22" s="592"/>
      <c r="J22" s="592"/>
      <c r="K22" s="593"/>
    </row>
    <row r="23" spans="1:11">
      <c r="A23" s="98">
        <v>7</v>
      </c>
      <c r="B23" s="140">
        <f>'Valuation output'!I3+'Valuation output'!I14+'Valuation output'!I23</f>
        <v>304399.22640930588</v>
      </c>
      <c r="C23" s="99">
        <f>'Valuation output'!I4</f>
        <v>0.6</v>
      </c>
      <c r="D23" s="140">
        <f t="shared" si="0"/>
        <v>182639.53584558351</v>
      </c>
      <c r="E23" s="140">
        <f>'Valuation output'!I7</f>
        <v>59496.366257532922</v>
      </c>
      <c r="F23" s="140">
        <f>'Valuation output'!I8</f>
        <v>2644.4199554426477</v>
      </c>
      <c r="G23" s="436">
        <f t="shared" si="1"/>
        <v>56851.946302090277</v>
      </c>
      <c r="H23" s="592"/>
      <c r="I23" s="592"/>
      <c r="J23" s="592"/>
      <c r="K23" s="593"/>
    </row>
    <row r="24" spans="1:11">
      <c r="A24" s="98">
        <v>8</v>
      </c>
      <c r="B24" s="140">
        <f>'Valuation output'!J3+'Valuation output'!J14+'Valuation output'!J23</f>
        <v>324458.06137860665</v>
      </c>
      <c r="C24" s="99">
        <f>'Valuation output'!J4</f>
        <v>0.6</v>
      </c>
      <c r="D24" s="140">
        <f t="shared" si="0"/>
        <v>194674.83682716399</v>
      </c>
      <c r="E24" s="140">
        <f>'Valuation output'!J7</f>
        <v>62925.739714422554</v>
      </c>
      <c r="F24" s="140">
        <f>'Valuation output'!J8</f>
        <v>2768.7076933484523</v>
      </c>
      <c r="G24" s="436">
        <f t="shared" si="1"/>
        <v>60157.032021074105</v>
      </c>
      <c r="H24" s="592"/>
      <c r="I24" s="592"/>
      <c r="J24" s="592"/>
      <c r="K24" s="593"/>
    </row>
    <row r="25" spans="1:11">
      <c r="A25" s="98">
        <v>9</v>
      </c>
      <c r="B25" s="140">
        <f>'Valuation output'!K3+'Valuation output'!K14+'Valuation output'!K23</f>
        <v>342256.63592780044</v>
      </c>
      <c r="C25" s="99">
        <f>'Valuation output'!K4</f>
        <v>0.6</v>
      </c>
      <c r="D25" s="140">
        <f t="shared" si="0"/>
        <v>205353.98155668026</v>
      </c>
      <c r="E25" s="140">
        <f>'Valuation output'!K7</f>
        <v>65238.402943313871</v>
      </c>
      <c r="F25" s="140">
        <f>'Valuation output'!K8</f>
        <v>2898.8369549358313</v>
      </c>
      <c r="G25" s="436">
        <f t="shared" si="1"/>
        <v>62339.565988378039</v>
      </c>
      <c r="H25" s="592"/>
      <c r="I25" s="592"/>
      <c r="J25" s="592"/>
      <c r="K25" s="593"/>
    </row>
    <row r="26" spans="1:11">
      <c r="A26" s="98">
        <v>10</v>
      </c>
      <c r="B26" s="140">
        <f>'Valuation output'!L3+'Valuation output'!L14+'Valuation output'!L23</f>
        <v>357271.68581640709</v>
      </c>
      <c r="C26" s="99">
        <f>'Valuation output'!L4</f>
        <v>0.6</v>
      </c>
      <c r="D26" s="140">
        <f t="shared" si="0"/>
        <v>214363.01148984424</v>
      </c>
      <c r="E26" s="140">
        <f>'Valuation output'!L7</f>
        <v>66272.25861738321</v>
      </c>
      <c r="F26" s="140">
        <f>'Valuation output'!L8</f>
        <v>3035.0822918178046</v>
      </c>
      <c r="G26" s="436">
        <f t="shared" si="1"/>
        <v>63237.176325565408</v>
      </c>
      <c r="H26" s="592"/>
      <c r="I26" s="592"/>
      <c r="J26" s="592"/>
      <c r="K26" s="593"/>
    </row>
    <row r="27" spans="1:11" ht="17" thickBot="1">
      <c r="A27" s="100" t="s">
        <v>32</v>
      </c>
      <c r="B27" s="141">
        <f>'Valuation output'!M3+'Valuation output'!M14+'Valuation output'!M23</f>
        <v>374063.45504977822</v>
      </c>
      <c r="C27" s="101">
        <f>'Valuation output'!M4</f>
        <v>0.6</v>
      </c>
      <c r="D27" s="141">
        <f t="shared" si="0"/>
        <v>224438.07302986694</v>
      </c>
      <c r="E27" s="141">
        <f>'Valuation output'!M7</f>
        <v>69387.05477240021</v>
      </c>
      <c r="F27" s="141">
        <f>'Valuation output'!M8</f>
        <v>16305.957871514049</v>
      </c>
      <c r="G27" s="437">
        <f t="shared" si="1"/>
        <v>53081.096900886158</v>
      </c>
      <c r="H27" s="594"/>
      <c r="I27" s="594"/>
      <c r="J27" s="594"/>
      <c r="K27" s="595"/>
    </row>
    <row r="28" spans="1:11">
      <c r="A28" s="548" t="s">
        <v>506</v>
      </c>
      <c r="B28" s="548"/>
      <c r="C28" s="548"/>
      <c r="D28" s="548"/>
      <c r="E28" s="548"/>
      <c r="F28" s="548"/>
      <c r="G28" s="548"/>
    </row>
    <row r="29" spans="1:11">
      <c r="A29" s="554" t="s">
        <v>891</v>
      </c>
      <c r="B29" s="555"/>
      <c r="C29" s="556"/>
      <c r="D29" s="434">
        <f>'Valuation output'!B37</f>
        <v>750228.78752593324</v>
      </c>
      <c r="E29" s="433"/>
      <c r="F29" s="433"/>
      <c r="G29" s="433"/>
    </row>
    <row r="30" spans="1:11">
      <c r="A30" s="554" t="s">
        <v>877</v>
      </c>
      <c r="B30" s="557"/>
      <c r="C30" s="558"/>
      <c r="D30" s="434">
        <f>'Valuation output'!B38</f>
        <v>983484.25306297175</v>
      </c>
      <c r="E30" s="433"/>
      <c r="F30" s="433"/>
      <c r="G30" s="433"/>
    </row>
    <row r="31" spans="1:11">
      <c r="A31" s="554" t="s">
        <v>886</v>
      </c>
      <c r="B31" s="557"/>
      <c r="C31" s="558"/>
      <c r="D31" s="434">
        <f>'Valuation output'!B39</f>
        <v>134099.58666421665</v>
      </c>
      <c r="E31" s="433"/>
      <c r="F31" s="433"/>
      <c r="G31" s="433"/>
    </row>
    <row r="32" spans="1:11">
      <c r="A32" s="549" t="s">
        <v>31</v>
      </c>
      <c r="B32" s="550"/>
      <c r="C32" s="551"/>
      <c r="D32" s="154">
        <f>'Valuation output'!B40</f>
        <v>1867812.6272531217</v>
      </c>
      <c r="E32" s="102"/>
      <c r="F32" s="103"/>
      <c r="G32" s="104"/>
      <c r="H32" s="596"/>
      <c r="I32" s="584"/>
      <c r="J32" s="584"/>
      <c r="K32" s="584"/>
    </row>
    <row r="33" spans="1:13">
      <c r="A33" s="549" t="s">
        <v>515</v>
      </c>
      <c r="B33" s="550"/>
      <c r="C33" s="551"/>
      <c r="D33" s="155">
        <f>D32-'Valuation output'!B43</f>
        <v>0</v>
      </c>
      <c r="E33" s="597" t="s">
        <v>92</v>
      </c>
      <c r="F33" s="598"/>
      <c r="G33" s="111">
        <f>'Valuation output'!B41</f>
        <v>0</v>
      </c>
      <c r="H33" s="584"/>
      <c r="I33" s="584"/>
      <c r="J33" s="584"/>
      <c r="K33" s="584"/>
    </row>
    <row r="34" spans="1:13">
      <c r="A34" s="549" t="s">
        <v>617</v>
      </c>
      <c r="B34" s="550"/>
      <c r="C34" s="551"/>
      <c r="D34" s="154">
        <f>'Valuation output'!B44+'Valuation output'!B45</f>
        <v>10225</v>
      </c>
      <c r="E34" s="102"/>
      <c r="F34" s="103"/>
      <c r="G34" s="104"/>
      <c r="H34" s="596"/>
      <c r="I34" s="584"/>
      <c r="J34" s="584"/>
      <c r="K34" s="584"/>
    </row>
    <row r="35" spans="1:13">
      <c r="A35" s="549" t="s">
        <v>516</v>
      </c>
      <c r="B35" s="550"/>
      <c r="C35" s="551"/>
      <c r="D35" s="154">
        <f>'Valuation output'!B46+'Valuation output'!B47</f>
        <v>40724</v>
      </c>
      <c r="E35" s="102"/>
      <c r="F35" s="103"/>
      <c r="G35" s="104"/>
      <c r="H35" s="596"/>
      <c r="I35" s="584"/>
      <c r="J35" s="584"/>
      <c r="K35" s="584"/>
    </row>
    <row r="36" spans="1:13">
      <c r="A36" s="549" t="s">
        <v>37</v>
      </c>
      <c r="B36" s="550"/>
      <c r="C36" s="551"/>
      <c r="D36" s="154">
        <f>D32-D33-D34+D35</f>
        <v>1898311.6272531217</v>
      </c>
      <c r="E36" s="102"/>
      <c r="F36" s="103"/>
      <c r="G36" s="104"/>
      <c r="H36" s="596"/>
      <c r="I36" s="584"/>
      <c r="J36" s="584"/>
      <c r="K36" s="584"/>
    </row>
    <row r="37" spans="1:13">
      <c r="A37" s="549" t="s">
        <v>517</v>
      </c>
      <c r="B37" s="550"/>
      <c r="C37" s="551"/>
      <c r="D37" s="154">
        <f>'Valuation output'!B49</f>
        <v>0</v>
      </c>
      <c r="E37" s="102"/>
      <c r="F37" s="103"/>
      <c r="G37" s="104"/>
      <c r="H37" s="596"/>
      <c r="I37" s="584"/>
      <c r="J37" s="584"/>
      <c r="K37" s="584"/>
    </row>
    <row r="38" spans="1:13" ht="17" thickBot="1">
      <c r="A38" s="599" t="s">
        <v>513</v>
      </c>
      <c r="B38" s="600"/>
      <c r="C38" s="600"/>
      <c r="D38" s="156">
        <f>'Valuation output'!B51</f>
        <v>24490</v>
      </c>
      <c r="G38" s="104"/>
      <c r="H38" s="596"/>
      <c r="I38" s="584"/>
      <c r="J38" s="584"/>
      <c r="K38" s="584"/>
    </row>
    <row r="39" spans="1:13" ht="17" thickBot="1">
      <c r="A39" s="601" t="s">
        <v>494</v>
      </c>
      <c r="B39" s="602"/>
      <c r="C39" s="602"/>
      <c r="D39" s="157">
        <f>(D36-D37)/D38</f>
        <v>77.513745498289978</v>
      </c>
      <c r="E39" s="603" t="s">
        <v>518</v>
      </c>
      <c r="F39" s="604"/>
      <c r="G39" s="110">
        <f>'Input sheet'!B21</f>
        <v>123</v>
      </c>
      <c r="H39" s="596"/>
      <c r="I39" s="584"/>
      <c r="J39" s="584"/>
      <c r="K39" s="584"/>
      <c r="M39" s="126"/>
    </row>
    <row r="40" spans="1:13">
      <c r="M40" s="119"/>
    </row>
  </sheetData>
  <mergeCells count="24">
    <mergeCell ref="A1:F1"/>
    <mergeCell ref="A37:C37"/>
    <mergeCell ref="A3:G6"/>
    <mergeCell ref="H3:K6"/>
    <mergeCell ref="H9:K14"/>
    <mergeCell ref="H16:K27"/>
    <mergeCell ref="H32:K39"/>
    <mergeCell ref="E33:F33"/>
    <mergeCell ref="A38:C38"/>
    <mergeCell ref="A39:C39"/>
    <mergeCell ref="A33:C33"/>
    <mergeCell ref="A32:C32"/>
    <mergeCell ref="E39:F39"/>
    <mergeCell ref="A34:C34"/>
    <mergeCell ref="A36:C36"/>
    <mergeCell ref="A2:G2"/>
    <mergeCell ref="A7:G7"/>
    <mergeCell ref="A15:G15"/>
    <mergeCell ref="A28:G28"/>
    <mergeCell ref="A35:C35"/>
    <mergeCell ref="D13:E13"/>
    <mergeCell ref="A29:C29"/>
    <mergeCell ref="A30:C30"/>
    <mergeCell ref="A31:C31"/>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2250C-6F9E-6446-A75C-F66BA1BAE0C3}">
  <dimension ref="A1:P40"/>
  <sheetViews>
    <sheetView zoomScaleNormal="100" workbookViewId="0">
      <selection activeCell="N45" sqref="N45"/>
    </sheetView>
  </sheetViews>
  <sheetFormatPr baseColWidth="10" defaultRowHeight="16"/>
  <cols>
    <col min="1" max="1" width="27.83203125" style="187" customWidth="1"/>
    <col min="2" max="2" width="15.6640625" style="187" customWidth="1"/>
    <col min="3" max="3" width="10.83203125" style="187"/>
    <col min="4" max="4" width="26.83203125" style="187" customWidth="1"/>
    <col min="5" max="5" width="12.6640625" style="187" bestFit="1" customWidth="1"/>
    <col min="6" max="8" width="11.5" style="187" bestFit="1" customWidth="1"/>
    <col min="9" max="9" width="16.6640625" style="187" customWidth="1"/>
    <col min="10" max="10" width="11.5" style="187" bestFit="1" customWidth="1"/>
    <col min="11" max="11" width="13" style="187" bestFit="1" customWidth="1"/>
    <col min="12" max="12" width="18.33203125" style="187" customWidth="1"/>
    <col min="13" max="13" width="13" style="187" bestFit="1" customWidth="1"/>
    <col min="14" max="14" width="16" style="187" bestFit="1" customWidth="1"/>
    <col min="15" max="15" width="21.1640625" style="187" customWidth="1"/>
    <col min="16" max="16" width="10.83203125" style="187"/>
  </cols>
  <sheetData>
    <row r="1" spans="1:16" s="2" customFormat="1">
      <c r="A1" s="310" t="s">
        <v>861</v>
      </c>
      <c r="B1" s="310"/>
      <c r="C1" s="310"/>
      <c r="D1" s="310"/>
      <c r="E1" s="310"/>
      <c r="F1" s="310"/>
      <c r="G1" s="310"/>
      <c r="H1" s="310"/>
      <c r="I1" s="310"/>
      <c r="J1" s="310"/>
      <c r="K1" s="310"/>
      <c r="L1" s="310"/>
      <c r="M1" s="310"/>
      <c r="N1" s="310"/>
      <c r="O1" s="310"/>
      <c r="P1" s="310"/>
    </row>
    <row r="2" spans="1:16" s="2" customFormat="1" ht="17" thickBot="1">
      <c r="A2" s="310"/>
      <c r="B2" s="310"/>
      <c r="C2" s="310"/>
      <c r="D2" s="310"/>
      <c r="E2" s="310"/>
      <c r="F2" s="310"/>
      <c r="G2" s="310"/>
      <c r="H2" s="310"/>
      <c r="I2" s="310"/>
      <c r="J2" s="310"/>
      <c r="K2" s="310"/>
      <c r="L2" s="310"/>
      <c r="M2" s="310"/>
      <c r="N2" s="310"/>
      <c r="O2" s="310"/>
      <c r="P2" s="310"/>
    </row>
    <row r="3" spans="1:16" ht="17" thickBot="1">
      <c r="A3" s="620" t="str">
        <f>'Input sheet'!B4</f>
        <v>Nvidia</v>
      </c>
      <c r="B3" s="621"/>
      <c r="C3" s="621"/>
      <c r="D3" s="621"/>
      <c r="E3" s="621"/>
      <c r="F3" s="621"/>
      <c r="G3" s="621"/>
      <c r="H3" s="621"/>
      <c r="I3" s="621"/>
      <c r="J3" s="621"/>
      <c r="K3" s="621"/>
      <c r="L3" s="621"/>
      <c r="M3" s="621"/>
      <c r="N3" s="619"/>
      <c r="O3" s="618">
        <f>'Input sheet'!B3</f>
        <v>44196</v>
      </c>
      <c r="P3" s="619"/>
    </row>
    <row r="4" spans="1:16" ht="17" thickBot="1">
      <c r="A4" s="441"/>
      <c r="P4" s="442"/>
    </row>
    <row r="5" spans="1:16" ht="17" thickBot="1">
      <c r="A5" s="608" t="s">
        <v>859</v>
      </c>
      <c r="B5" s="609"/>
      <c r="C5" s="610"/>
      <c r="E5" s="615" t="s">
        <v>899</v>
      </c>
      <c r="F5" s="616"/>
      <c r="H5" s="615" t="s">
        <v>900</v>
      </c>
      <c r="I5" s="616"/>
      <c r="K5" s="615" t="s">
        <v>857</v>
      </c>
      <c r="L5" s="616"/>
      <c r="P5" s="442"/>
    </row>
    <row r="6" spans="1:16" ht="14" customHeight="1">
      <c r="A6" s="441"/>
      <c r="B6" s="443" t="s">
        <v>213</v>
      </c>
      <c r="C6" s="443" t="s">
        <v>858</v>
      </c>
      <c r="E6" s="622" t="str">
        <f>'Stories to Numbers'!G9</f>
        <v>The AI business will be big, but the DeepSeek entry has bifurcated it, into commoditized and premium, and Nvidia will continue to maintain its dominance of the latter.</v>
      </c>
      <c r="F6" s="623"/>
      <c r="H6" s="622" t="str">
        <f>'Stories to Numbers'!G10</f>
        <v>Nvidia will continue to have high margins in its core businesses, and while the AI chip market will be smaller than it was pre-DeepSeek, but some of Nvidia's current competitors may shift to the other AI market.</v>
      </c>
      <c r="I6" s="623"/>
      <c r="K6" s="622" t="str">
        <f>'Stories to Numbers'!G12</f>
        <v>Sales to capital stays higher than industry aveage, as company continues to get growth off past R&amp;D, and focuses research on new AI and auto chips.</v>
      </c>
      <c r="L6" s="623"/>
      <c r="O6" s="613" t="s">
        <v>546</v>
      </c>
      <c r="P6" s="614"/>
    </row>
    <row r="7" spans="1:16">
      <c r="A7" s="444" t="s">
        <v>852</v>
      </c>
      <c r="B7" s="445">
        <f>'Input sheet'!I25</f>
        <v>1.286208764772796</v>
      </c>
      <c r="C7" s="445">
        <f>'Input sheet'!K25</f>
        <v>7.7384328358208868E-2</v>
      </c>
      <c r="E7" s="624"/>
      <c r="F7" s="625"/>
      <c r="H7" s="624"/>
      <c r="I7" s="625"/>
      <c r="K7" s="624"/>
      <c r="L7" s="625"/>
      <c r="O7" s="311" t="s">
        <v>856</v>
      </c>
      <c r="P7" s="456">
        <f>'Valuation output'!M2</f>
        <v>4.7E-2</v>
      </c>
    </row>
    <row r="8" spans="1:16">
      <c r="A8" s="444" t="s">
        <v>853</v>
      </c>
      <c r="B8" s="446">
        <f>'Valuation output'!B3+'Valuation output'!B14+'Valuation output'!B23</f>
        <v>113269</v>
      </c>
      <c r="E8" s="624"/>
      <c r="F8" s="625"/>
      <c r="H8" s="624"/>
      <c r="I8" s="625"/>
      <c r="K8" s="624"/>
      <c r="L8" s="625"/>
      <c r="O8" s="311" t="s">
        <v>126</v>
      </c>
      <c r="P8" s="456">
        <f>'Valuation output'!M30</f>
        <v>8.5000000000000006E-2</v>
      </c>
    </row>
    <row r="9" spans="1:16">
      <c r="A9" s="444" t="s">
        <v>503</v>
      </c>
      <c r="B9" s="445">
        <f>B10/B8</f>
        <v>0.68060104706495161</v>
      </c>
      <c r="C9" s="445">
        <f>'Input sheet'!K26</f>
        <v>0.21342892802586189</v>
      </c>
      <c r="E9" s="624"/>
      <c r="F9" s="625"/>
      <c r="H9" s="624"/>
      <c r="I9" s="625"/>
      <c r="K9" s="624"/>
      <c r="L9" s="625"/>
      <c r="O9" s="311" t="s">
        <v>522</v>
      </c>
      <c r="P9" s="456">
        <f>'Valuation output'!M59</f>
        <v>0.2</v>
      </c>
    </row>
    <row r="10" spans="1:16">
      <c r="A10" s="444" t="s">
        <v>854</v>
      </c>
      <c r="B10" s="446">
        <f>'Valuation output'!B5+'Valuation output'!B16+'Valuation output'!B25</f>
        <v>77091</v>
      </c>
      <c r="E10" s="624"/>
      <c r="F10" s="625"/>
      <c r="H10" s="624"/>
      <c r="I10" s="625"/>
      <c r="K10" s="624"/>
      <c r="L10" s="625"/>
      <c r="O10" s="311" t="s">
        <v>466</v>
      </c>
      <c r="P10" s="456">
        <f>P7/P9</f>
        <v>0.23499999999999999</v>
      </c>
    </row>
    <row r="11" spans="1:16">
      <c r="A11" s="444" t="s">
        <v>505</v>
      </c>
      <c r="B11" s="446">
        <f>'Valuation output'!B7</f>
        <v>30025.014999999999</v>
      </c>
      <c r="E11" s="624"/>
      <c r="F11" s="625"/>
      <c r="H11" s="624"/>
      <c r="I11" s="625"/>
      <c r="K11" s="624"/>
      <c r="L11" s="625"/>
      <c r="P11" s="447"/>
    </row>
    <row r="12" spans="1:16">
      <c r="A12" s="441"/>
      <c r="E12" s="624"/>
      <c r="F12" s="625"/>
      <c r="H12" s="624"/>
      <c r="I12" s="625"/>
      <c r="K12" s="624"/>
      <c r="L12" s="625"/>
      <c r="P12" s="447"/>
    </row>
    <row r="13" spans="1:16" ht="17" thickBot="1">
      <c r="A13" s="441"/>
      <c r="E13" s="626"/>
      <c r="F13" s="627"/>
      <c r="H13" s="626"/>
      <c r="I13" s="627"/>
      <c r="K13" s="626"/>
      <c r="L13" s="627"/>
      <c r="P13" s="447"/>
    </row>
    <row r="14" spans="1:16" ht="17" thickBot="1">
      <c r="A14" s="441"/>
      <c r="P14" s="442"/>
    </row>
    <row r="15" spans="1:16">
      <c r="A15" s="448" t="str">
        <f>'Valuation output'!A37</f>
        <v>Value of Rest</v>
      </c>
      <c r="B15" s="487">
        <f>'Valuation output'!B37</f>
        <v>750228.78752593324</v>
      </c>
      <c r="D15" s="311"/>
      <c r="E15" s="314">
        <f>'Valuation output'!C1</f>
        <v>1</v>
      </c>
      <c r="F15" s="314">
        <f>'Valuation output'!D1</f>
        <v>2</v>
      </c>
      <c r="G15" s="314">
        <f>'Valuation output'!E1</f>
        <v>3</v>
      </c>
      <c r="H15" s="314">
        <f>'Valuation output'!F1</f>
        <v>4</v>
      </c>
      <c r="I15" s="314">
        <f>'Valuation output'!G1</f>
        <v>5</v>
      </c>
      <c r="J15" s="314">
        <f>'Valuation output'!H1</f>
        <v>6</v>
      </c>
      <c r="K15" s="314">
        <f>'Valuation output'!I1</f>
        <v>7</v>
      </c>
      <c r="L15" s="314">
        <f>'Valuation output'!J1</f>
        <v>8</v>
      </c>
      <c r="M15" s="314">
        <f>'Valuation output'!K1</f>
        <v>9</v>
      </c>
      <c r="N15" s="314">
        <f>'Valuation output'!L1</f>
        <v>10</v>
      </c>
      <c r="O15" s="449" t="str">
        <f>'Valuation output'!M1</f>
        <v>Terminal year</v>
      </c>
      <c r="P15" s="450"/>
    </row>
    <row r="16" spans="1:16">
      <c r="A16" s="451" t="str">
        <f>'Valuation output'!A38</f>
        <v>Value of AI</v>
      </c>
      <c r="B16" s="471">
        <f>'Valuation output'!B38</f>
        <v>983484.25306297175</v>
      </c>
      <c r="D16" s="311" t="s">
        <v>894</v>
      </c>
      <c r="E16" s="453">
        <f>'Valuation output'!C3</f>
        <v>55279.35</v>
      </c>
      <c r="F16" s="453">
        <f>'Valuation output'!D3</f>
        <v>63571.252499999995</v>
      </c>
      <c r="G16" s="453">
        <f>'Valuation output'!E3</f>
        <v>73106.940374999991</v>
      </c>
      <c r="H16" s="453">
        <f>'Valuation output'!F3</f>
        <v>84072.98143124998</v>
      </c>
      <c r="I16" s="453">
        <f>'Valuation output'!G3</f>
        <v>96683.928645937471</v>
      </c>
      <c r="J16" s="453">
        <f>'Valuation output'!H3</f>
        <v>109194.82901272178</v>
      </c>
      <c r="K16" s="453">
        <f>'Valuation output'!I3</f>
        <v>121075.22640930591</v>
      </c>
      <c r="L16" s="453">
        <f>'Valuation output'!J3</f>
        <v>131754.06137860668</v>
      </c>
      <c r="M16" s="453">
        <f>'Valuation output'!K3</f>
        <v>140660.6359278005</v>
      </c>
      <c r="N16" s="453">
        <f>'Valuation output'!L3</f>
        <v>147271.68581640712</v>
      </c>
      <c r="O16" s="454">
        <f>'Valuation output'!M3</f>
        <v>154193.45504977825</v>
      </c>
      <c r="P16" s="442"/>
    </row>
    <row r="17" spans="1:16">
      <c r="A17" s="451" t="str">
        <f>'Valuation output'!A39</f>
        <v>Value of Auto</v>
      </c>
      <c r="B17" s="471">
        <f>'Valuation output'!B39</f>
        <v>134099.58666421665</v>
      </c>
      <c r="D17" s="311" t="s">
        <v>895</v>
      </c>
      <c r="E17" s="453">
        <f>'Valuation output'!C14</f>
        <v>82992</v>
      </c>
      <c r="F17" s="453">
        <f>'Valuation output'!D14</f>
        <v>100928</v>
      </c>
      <c r="G17" s="453">
        <f>'Valuation output'!E14</f>
        <v>117808</v>
      </c>
      <c r="H17" s="453">
        <f>'Valuation output'!F14</f>
        <v>133632</v>
      </c>
      <c r="I17" s="453">
        <f>'Valuation output'!G14</f>
        <v>148400</v>
      </c>
      <c r="J17" s="453">
        <f>'Valuation output'!H14</f>
        <v>156128</v>
      </c>
      <c r="K17" s="453">
        <f>'Valuation output'!I14</f>
        <v>163151.99999999997</v>
      </c>
      <c r="L17" s="453">
        <f>'Valuation output'!J14</f>
        <v>169471.99999999997</v>
      </c>
      <c r="M17" s="453">
        <f>'Valuation output'!K14</f>
        <v>175087.99999999997</v>
      </c>
      <c r="N17" s="453">
        <f>'Valuation output'!L14</f>
        <v>180000</v>
      </c>
      <c r="O17" s="454">
        <f>'Valuation output'!M14</f>
        <v>188460</v>
      </c>
      <c r="P17" s="442"/>
    </row>
    <row r="18" spans="1:16">
      <c r="A18" s="455" t="str">
        <f>'Valuation output'!A41</f>
        <v>Probability of failure =</v>
      </c>
      <c r="B18" s="456">
        <f>'Valuation output'!B41</f>
        <v>0</v>
      </c>
      <c r="D18" s="311" t="s">
        <v>896</v>
      </c>
      <c r="E18" s="453">
        <f>'Valuation output'!C23</f>
        <v>3035.9999999999995</v>
      </c>
      <c r="F18" s="453">
        <f>'Valuation output'!D23</f>
        <v>5303.9999999999991</v>
      </c>
      <c r="G18" s="453">
        <f>'Valuation output'!E23</f>
        <v>8003.9999999999982</v>
      </c>
      <c r="H18" s="453">
        <f>'Valuation output'!F23</f>
        <v>11135.999999999996</v>
      </c>
      <c r="I18" s="453">
        <f>'Valuation output'!G23</f>
        <v>14699.999999999996</v>
      </c>
      <c r="J18" s="453">
        <f>'Valuation output'!H23</f>
        <v>17327.999999999993</v>
      </c>
      <c r="K18" s="453">
        <f>'Valuation output'!I23</f>
        <v>20171.999999999993</v>
      </c>
      <c r="L18" s="453">
        <f>'Valuation output'!J23</f>
        <v>23231.999999999993</v>
      </c>
      <c r="M18" s="453">
        <f>'Valuation output'!K23</f>
        <v>26507.999999999993</v>
      </c>
      <c r="N18" s="453">
        <f>'Valuation output'!L23</f>
        <v>30000</v>
      </c>
      <c r="O18" s="454">
        <f>'Valuation output'!M23</f>
        <v>31410</v>
      </c>
      <c r="P18" s="442"/>
    </row>
    <row r="19" spans="1:16">
      <c r="A19" s="451" t="str">
        <f>'Valuation output'!A43</f>
        <v>Value of operating assets =</v>
      </c>
      <c r="B19" s="457">
        <f>'Valuation output'!B43</f>
        <v>1867812.6272531217</v>
      </c>
      <c r="D19" s="311" t="s">
        <v>897</v>
      </c>
      <c r="E19" s="453">
        <f>E16+E17+E18</f>
        <v>141307.35</v>
      </c>
      <c r="F19" s="453">
        <f t="shared" ref="F19:N19" si="0">F16+F17+F18</f>
        <v>169803.2525</v>
      </c>
      <c r="G19" s="453">
        <f t="shared" si="0"/>
        <v>198918.94037500001</v>
      </c>
      <c r="H19" s="453">
        <f t="shared" si="0"/>
        <v>228840.98143124999</v>
      </c>
      <c r="I19" s="453">
        <f t="shared" si="0"/>
        <v>259783.92864593747</v>
      </c>
      <c r="J19" s="453">
        <f t="shared" si="0"/>
        <v>282650.82901272178</v>
      </c>
      <c r="K19" s="453">
        <f t="shared" si="0"/>
        <v>304399.22640930588</v>
      </c>
      <c r="L19" s="453">
        <f t="shared" si="0"/>
        <v>324458.06137860665</v>
      </c>
      <c r="M19" s="453">
        <f t="shared" si="0"/>
        <v>342256.63592780044</v>
      </c>
      <c r="N19" s="453">
        <f t="shared" si="0"/>
        <v>357271.68581640709</v>
      </c>
      <c r="O19" s="454">
        <f>O16+O17+O18</f>
        <v>374063.45504977822</v>
      </c>
      <c r="P19" s="442"/>
    </row>
    <row r="20" spans="1:16">
      <c r="A20" s="451" t="str">
        <f>'Valuation output'!A44</f>
        <v xml:space="preserve"> - Debt</v>
      </c>
      <c r="B20" s="457">
        <f>'Valuation output'!B44</f>
        <v>10225</v>
      </c>
      <c r="D20" s="311" t="s">
        <v>898</v>
      </c>
      <c r="E20" s="445">
        <f>'Valuation output'!C4</f>
        <v>0.65</v>
      </c>
      <c r="F20" s="445">
        <f>'Valuation output'!D4</f>
        <v>0.63</v>
      </c>
      <c r="G20" s="445">
        <f>'Valuation output'!E4</f>
        <v>0.62</v>
      </c>
      <c r="H20" s="445">
        <f>'Valuation output'!F4</f>
        <v>0.61</v>
      </c>
      <c r="I20" s="445">
        <f>'Valuation output'!G4</f>
        <v>0.6</v>
      </c>
      <c r="J20" s="445">
        <f>'Valuation output'!H4</f>
        <v>0.6</v>
      </c>
      <c r="K20" s="445">
        <f>'Valuation output'!I4</f>
        <v>0.6</v>
      </c>
      <c r="L20" s="445">
        <f>'Valuation output'!J4</f>
        <v>0.6</v>
      </c>
      <c r="M20" s="445">
        <f>'Valuation output'!K4</f>
        <v>0.6</v>
      </c>
      <c r="N20" s="445">
        <f>'Valuation output'!L4</f>
        <v>0.6</v>
      </c>
      <c r="O20" s="452">
        <f>'Valuation output'!M4</f>
        <v>0.6</v>
      </c>
      <c r="P20" s="442"/>
    </row>
    <row r="21" spans="1:16">
      <c r="A21" s="451" t="str">
        <f>'Valuation output'!A45</f>
        <v xml:space="preserve"> - Minority interests</v>
      </c>
      <c r="B21" s="457">
        <f>'Valuation output'!B45</f>
        <v>0</v>
      </c>
      <c r="D21" s="311" t="s">
        <v>854</v>
      </c>
      <c r="E21" s="453">
        <f>'Valuation output'!C5+'Valuation output'!C16+'Valuation output'!C25</f>
        <v>91849.777499999997</v>
      </c>
      <c r="F21" s="453">
        <f>'Valuation output'!D5+'Valuation output'!D16+'Valuation output'!D25</f>
        <v>106976.049075</v>
      </c>
      <c r="G21" s="453">
        <f>'Valuation output'!E5+'Valuation output'!E16+'Valuation output'!E25</f>
        <v>123329.74303249999</v>
      </c>
      <c r="H21" s="453">
        <f>'Valuation output'!F5+'Valuation output'!F16+'Valuation output'!F25</f>
        <v>139592.99867306248</v>
      </c>
      <c r="I21" s="453">
        <f>'Valuation output'!G5+'Valuation output'!G16+'Valuation output'!G25</f>
        <v>155870.35718756248</v>
      </c>
      <c r="J21" s="453">
        <f>'Valuation output'!H5+'Valuation output'!H16+'Valuation output'!H25</f>
        <v>169590.49740763305</v>
      </c>
      <c r="K21" s="453">
        <f>'Valuation output'!I5+'Valuation output'!I16+'Valuation output'!I25</f>
        <v>182639.53584558351</v>
      </c>
      <c r="L21" s="453">
        <f>'Valuation output'!J5+'Valuation output'!J16+'Valuation output'!J25</f>
        <v>194674.83682716396</v>
      </c>
      <c r="M21" s="453">
        <f>'Valuation output'!K5+'Valuation output'!K16+'Valuation output'!K25</f>
        <v>205353.98155668026</v>
      </c>
      <c r="N21" s="453">
        <f>'Valuation output'!L5+'Valuation output'!L16+'Valuation output'!L25</f>
        <v>214363.01148984427</v>
      </c>
      <c r="O21" s="453">
        <f>'Valuation output'!M5+'Valuation output'!M16+'Valuation output'!M25</f>
        <v>224438.07302986697</v>
      </c>
      <c r="P21" s="442"/>
    </row>
    <row r="22" spans="1:16">
      <c r="A22" s="451" t="str">
        <f>'Valuation output'!A46</f>
        <v xml:space="preserve"> +  Cash</v>
      </c>
      <c r="B22" s="457">
        <f>'Valuation output'!B46</f>
        <v>38487</v>
      </c>
      <c r="D22" s="311" t="s">
        <v>505</v>
      </c>
      <c r="E22" s="453">
        <f>'Valuation output'!C7+'Valuation output'!C17+'Valuation output'!C26</f>
        <v>79450.05753749999</v>
      </c>
      <c r="F22" s="453">
        <f>'Valuation output'!D7+'Valuation output'!D17+'Valuation output'!D26</f>
        <v>92534.282449874998</v>
      </c>
      <c r="G22" s="453">
        <f>'Valuation output'!E7+'Valuation output'!E17+'Valuation output'!E26</f>
        <v>106680.22772311249</v>
      </c>
      <c r="H22" s="453">
        <f>'Valuation output'!F7+'Valuation output'!F17+'Valuation output'!F26</f>
        <v>120747.94385219905</v>
      </c>
      <c r="I22" s="453">
        <f>'Valuation output'!G7+'Valuation output'!G17+'Valuation output'!G26</f>
        <v>134827.85896724154</v>
      </c>
      <c r="J22" s="453">
        <f>'Valuation output'!H7+'Valuation output'!H17+'Valuation output'!H26</f>
        <v>142795.19881722704</v>
      </c>
      <c r="K22" s="453">
        <f>'Valuation output'!I7+'Valuation output'!I17+'Valuation output'!I26</f>
        <v>149581.77985753291</v>
      </c>
      <c r="L22" s="453">
        <f>'Valuation output'!J7+'Valuation output'!J17+'Valuation output'!J26</f>
        <v>154961.17011442254</v>
      </c>
      <c r="M22" s="453">
        <f>'Valuation output'!K7+'Valuation output'!K17+'Valuation output'!K26</f>
        <v>158738.62774331385</v>
      </c>
      <c r="N22" s="453">
        <f>'Valuation output'!L7+'Valuation output'!L17+'Valuation output'!L26</f>
        <v>160772.2586173832</v>
      </c>
      <c r="O22" s="453">
        <f>'Valuation output'!M7+'Valuation output'!M17+'Valuation output'!M26</f>
        <v>168328.55477240021</v>
      </c>
      <c r="P22" s="442"/>
    </row>
    <row r="23" spans="1:16">
      <c r="A23" s="451" t="str">
        <f>'Valuation output'!A47</f>
        <v xml:space="preserve"> + Non-operating assets</v>
      </c>
      <c r="B23" s="457">
        <f>'Valuation output'!B47</f>
        <v>2237</v>
      </c>
      <c r="D23" s="311" t="s">
        <v>534</v>
      </c>
      <c r="E23" s="453">
        <f>'Valuation output'!C8+'Valuation output'!C18+'Valuation output'!C27</f>
        <v>11968.816422499996</v>
      </c>
      <c r="F23" s="453">
        <f>'Valuation output'!D8+'Valuation output'!D18+'Valuation output'!D27</f>
        <v>12377.178885874995</v>
      </c>
      <c r="G23" s="453">
        <f>'Valuation output'!E8+'Valuation output'!E18+'Valuation output'!E27</f>
        <v>9146.760146713721</v>
      </c>
      <c r="H23" s="453">
        <f>'Valuation output'!F8+'Valuation output'!F18+'Valuation output'!F27</f>
        <v>8699.3589586336402</v>
      </c>
      <c r="I23" s="453">
        <f>'Valuation output'!G8+'Valuation output'!G18+'Valuation output'!G27</f>
        <v>8023.5339877203105</v>
      </c>
      <c r="J23" s="453">
        <f>'Valuation output'!H8+'Valuation output'!H18+'Valuation output'!H27</f>
        <v>7119.4298196775253</v>
      </c>
      <c r="K23" s="453">
        <f>'Valuation output'!I8+'Valuation output'!I18+'Valuation output'!I27</f>
        <v>6006.0199554426617</v>
      </c>
      <c r="L23" s="453">
        <f>'Valuation output'!J8+'Valuation output'!J18+'Valuation output'!J27</f>
        <v>6716.7076933484523</v>
      </c>
      <c r="M23" s="453">
        <f>'Valuation output'!K8+'Valuation output'!K18+'Valuation output'!K27</f>
        <v>7032.3929549358309</v>
      </c>
      <c r="N23" s="453">
        <f>'Valuation output'!L8+'Valuation output'!L18+'Valuation output'!L27</f>
        <v>7362.9154238178044</v>
      </c>
      <c r="O23" s="453">
        <f>'Valuation output'!M8+'Valuation output'!M18+'Valuation output'!M27</f>
        <v>39557.210371514047</v>
      </c>
      <c r="P23" s="442"/>
    </row>
    <row r="24" spans="1:16">
      <c r="A24" s="451" t="str">
        <f>'Valuation output'!A48</f>
        <v>Value of equity</v>
      </c>
      <c r="B24" s="457">
        <f>'Valuation output'!B48</f>
        <v>1898311.6272531217</v>
      </c>
      <c r="D24" s="458" t="s">
        <v>10</v>
      </c>
      <c r="E24" s="454">
        <f>'Valuation output'!C9+'Valuation output'!C19+'Valuation output'!C28</f>
        <v>67481.241115000012</v>
      </c>
      <c r="F24" s="454">
        <f>'Valuation output'!D9+'Valuation output'!D19+'Valuation output'!D28</f>
        <v>80157.10356399999</v>
      </c>
      <c r="G24" s="454">
        <f>'Valuation output'!E9+'Valuation output'!E19+'Valuation output'!E28</f>
        <v>97533.467576398776</v>
      </c>
      <c r="H24" s="454">
        <f>'Valuation output'!F9+'Valuation output'!F19+'Valuation output'!F28</f>
        <v>112048.58489356542</v>
      </c>
      <c r="I24" s="454">
        <f>'Valuation output'!G9+'Valuation output'!G19+'Valuation output'!G28</f>
        <v>126804.32497952125</v>
      </c>
      <c r="J24" s="454">
        <f>'Valuation output'!H9+'Valuation output'!H19+'Valuation output'!H28</f>
        <v>135675.76899754952</v>
      </c>
      <c r="K24" s="454">
        <f>'Valuation output'!I9+'Valuation output'!I19+'Valuation output'!I28</f>
        <v>143575.75990209021</v>
      </c>
      <c r="L24" s="454">
        <f>'Valuation output'!J9+'Valuation output'!J19+'Valuation output'!J28</f>
        <v>148244.46242107407</v>
      </c>
      <c r="M24" s="454">
        <f>'Valuation output'!K9+'Valuation output'!K19+'Valuation output'!K28</f>
        <v>151706.23478837803</v>
      </c>
      <c r="N24" s="454">
        <f>'Valuation output'!L9+'Valuation output'!L19+'Valuation output'!L28</f>
        <v>153409.34319356541</v>
      </c>
      <c r="O24" s="454">
        <f>'Valuation output'!M9+'Valuation output'!M19+'Valuation output'!M28</f>
        <v>128771.34440088616</v>
      </c>
      <c r="P24" s="442"/>
    </row>
    <row r="25" spans="1:16">
      <c r="A25" s="451" t="str">
        <f>'Valuation output'!A49</f>
        <v xml:space="preserve"> - Value of options</v>
      </c>
      <c r="B25" s="457">
        <f>'Valuation output'!B49</f>
        <v>0</v>
      </c>
      <c r="N25" s="459">
        <f>'Valuation output'!N9+'Valuation output'!N19+'Valuation output'!N28</f>
        <v>3388719.5894970032</v>
      </c>
      <c r="P25" s="442"/>
    </row>
    <row r="26" spans="1:16">
      <c r="A26" s="451" t="str">
        <f>'Valuation output'!A50</f>
        <v>Value of equity in common stock</v>
      </c>
      <c r="B26" s="457">
        <f>'Valuation output'!B50</f>
        <v>1898311.6272531217</v>
      </c>
      <c r="P26" s="442"/>
    </row>
    <row r="27" spans="1:16">
      <c r="A27" s="460" t="str">
        <f>'Valuation output'!A51</f>
        <v>Number of shares</v>
      </c>
      <c r="B27" s="461">
        <f>'Valuation output'!B51</f>
        <v>24490</v>
      </c>
      <c r="D27" s="458" t="s">
        <v>542</v>
      </c>
      <c r="E27" s="452">
        <f>'Valuation output'!C30</f>
        <v>0.11793732266471768</v>
      </c>
      <c r="F27" s="452">
        <f>'Valuation output'!D30</f>
        <v>0.11793732266471768</v>
      </c>
      <c r="G27" s="452">
        <f>'Valuation output'!E30</f>
        <v>0.11793732266471768</v>
      </c>
      <c r="H27" s="452">
        <f>'Valuation output'!F30</f>
        <v>0.11793732266471768</v>
      </c>
      <c r="I27" s="452">
        <f>'Valuation output'!G30</f>
        <v>0.11793732266471768</v>
      </c>
      <c r="J27" s="452">
        <f>'Valuation output'!H30</f>
        <v>0.11134985813177414</v>
      </c>
      <c r="K27" s="452">
        <f>'Valuation output'!I30</f>
        <v>0.10476239359883061</v>
      </c>
      <c r="L27" s="452">
        <f>'Valuation output'!J30</f>
        <v>9.8174929065887068E-2</v>
      </c>
      <c r="M27" s="452">
        <f>'Valuation output'!K30</f>
        <v>9.158746453294353E-2</v>
      </c>
      <c r="N27" s="452">
        <f>'Valuation output'!L30</f>
        <v>8.4999999999999992E-2</v>
      </c>
      <c r="O27" s="462"/>
      <c r="P27" s="442"/>
    </row>
    <row r="28" spans="1:16">
      <c r="A28" s="472" t="str">
        <f>'Valuation output'!A52</f>
        <v>Estimated value /share</v>
      </c>
      <c r="B28" s="473">
        <f>'Valuation output'!B52</f>
        <v>77.513745498289978</v>
      </c>
      <c r="D28" s="311" t="s">
        <v>855</v>
      </c>
      <c r="E28" s="465">
        <f>'Valuation output'!C31</f>
        <v>0.89450453055489554</v>
      </c>
      <c r="F28" s="465">
        <f>'Valuation output'!D31</f>
        <v>0.80013835518323406</v>
      </c>
      <c r="G28" s="465">
        <f>'Valuation output'!E31</f>
        <v>0.71572738378214507</v>
      </c>
      <c r="H28" s="465">
        <f>'Valuation output'!F31</f>
        <v>0.64022138743533119</v>
      </c>
      <c r="I28" s="465">
        <f>'Valuation output'!G31</f>
        <v>0.57268093161904488</v>
      </c>
      <c r="J28" s="465">
        <f>'Valuation output'!H31</f>
        <v>0.51530211429706352</v>
      </c>
      <c r="K28" s="465">
        <f>'Valuation output'!I31</f>
        <v>0.46643705224110282</v>
      </c>
      <c r="L28" s="465">
        <f>'Valuation output'!J31</f>
        <v>0.42473839084803772</v>
      </c>
      <c r="M28" s="465">
        <f>'Valuation output'!K31</f>
        <v>0.38910156505852705</v>
      </c>
      <c r="N28" s="465">
        <f>'Valuation output'!L31</f>
        <v>0.35861895397099269</v>
      </c>
      <c r="P28" s="442"/>
    </row>
    <row r="29" spans="1:16">
      <c r="A29" s="463"/>
      <c r="B29" s="464"/>
      <c r="P29" s="442"/>
    </row>
    <row r="30" spans="1:16">
      <c r="A30" s="474" t="s">
        <v>862</v>
      </c>
      <c r="B30" s="475">
        <f>'Stories to Numbers'!G39</f>
        <v>123</v>
      </c>
      <c r="D30" s="458" t="s">
        <v>533</v>
      </c>
      <c r="E30" s="467">
        <f>'Valuation output'!C57</f>
        <v>2.5</v>
      </c>
      <c r="F30" s="467">
        <f>'Valuation output'!D57</f>
        <v>2.5</v>
      </c>
      <c r="G30" s="467">
        <f>'Valuation output'!E57</f>
        <v>2.5</v>
      </c>
      <c r="H30" s="467">
        <f>'Valuation output'!F57</f>
        <v>2.5</v>
      </c>
      <c r="I30" s="467">
        <f>'Valuation output'!G57</f>
        <v>2.5</v>
      </c>
      <c r="J30" s="467">
        <f>'Valuation output'!H57</f>
        <v>2.5</v>
      </c>
      <c r="K30" s="467">
        <f>'Valuation output'!I57</f>
        <v>2.5</v>
      </c>
      <c r="L30" s="467">
        <f>'Valuation output'!J57</f>
        <v>2.5</v>
      </c>
      <c r="M30" s="467">
        <f>'Valuation output'!K57</f>
        <v>2.5</v>
      </c>
      <c r="N30" s="467">
        <f>'Valuation output'!L57</f>
        <v>2.5</v>
      </c>
      <c r="P30" s="442"/>
    </row>
    <row r="31" spans="1:16">
      <c r="A31" s="451" t="s">
        <v>863</v>
      </c>
      <c r="B31" s="466">
        <f>B30/B28-1</f>
        <v>0.58681533461331048</v>
      </c>
      <c r="D31" s="311" t="s">
        <v>860</v>
      </c>
      <c r="E31" s="445">
        <f>'Valuation output'!C59</f>
        <v>1.2504455255880786</v>
      </c>
      <c r="F31" s="445">
        <f>'Valuation output'!D59</f>
        <v>1.2255187299028909</v>
      </c>
      <c r="G31" s="445">
        <f>'Valuation output'!E59</f>
        <v>1.2138837757551479</v>
      </c>
      <c r="H31" s="445">
        <f>'Valuation output'!F59</f>
        <v>1.2444372915396218</v>
      </c>
      <c r="I31" s="445">
        <f>'Valuation output'!G59</f>
        <v>1.2752149644767743</v>
      </c>
      <c r="J31" s="445">
        <f>'Valuation output'!H59</f>
        <v>1.2553087659971323</v>
      </c>
      <c r="K31" s="445">
        <f>'Valuation output'!I59</f>
        <v>1.237517274891087</v>
      </c>
      <c r="L31" s="445">
        <f>'Valuation output'!J59</f>
        <v>1.2213351540367394</v>
      </c>
      <c r="M31" s="445">
        <f>'Valuation output'!K59</f>
        <v>1.1882060191432768</v>
      </c>
      <c r="N31" s="445">
        <f>'Valuation output'!L59</f>
        <v>1.1432482667760431</v>
      </c>
      <c r="O31" s="452">
        <f>'Valuation output'!M59</f>
        <v>0.2</v>
      </c>
      <c r="P31" s="442"/>
    </row>
    <row r="32" spans="1:16">
      <c r="A32" s="441"/>
      <c r="P32" s="442"/>
    </row>
    <row r="33" spans="1:16" ht="14" customHeight="1" thickBot="1">
      <c r="A33" s="441"/>
      <c r="P33" s="442"/>
    </row>
    <row r="34" spans="1:16">
      <c r="A34" s="441"/>
      <c r="D34" s="615" t="s">
        <v>864</v>
      </c>
      <c r="E34" s="616"/>
      <c r="G34" s="615" t="s">
        <v>865</v>
      </c>
      <c r="H34" s="617"/>
      <c r="I34" s="616"/>
      <c r="L34" s="613" t="s">
        <v>906</v>
      </c>
      <c r="M34" s="613"/>
      <c r="N34" s="613"/>
      <c r="O34" s="613"/>
      <c r="P34" s="614"/>
    </row>
    <row r="35" spans="1:16">
      <c r="A35" s="441"/>
      <c r="D35" s="606" t="str">
        <f>'Stories to Numbers'!G14</f>
        <v>Initial cost of capital computed based upon industry( (semiconductors) and Nvidia's low debt mix and geographic exposure. Over time, Nvidia's cost of capital will drift down but will remain higher (third quartile) of all companies in market.</v>
      </c>
      <c r="E35" s="606"/>
      <c r="G35" s="606" t="str">
        <f>'Stories to Numbers'!G13</f>
        <v>Strong competitive edges allow NVIDIA to earn well above its cost of capital for the next decade and beyond.</v>
      </c>
      <c r="H35" s="606"/>
      <c r="I35" s="606"/>
      <c r="L35" s="486"/>
      <c r="M35" s="611" t="s">
        <v>901</v>
      </c>
      <c r="N35" s="611"/>
      <c r="O35" s="611" t="s">
        <v>902</v>
      </c>
      <c r="P35" s="612"/>
    </row>
    <row r="36" spans="1:16">
      <c r="A36" s="441"/>
      <c r="D36" s="606"/>
      <c r="E36" s="606"/>
      <c r="G36" s="606"/>
      <c r="H36" s="606"/>
      <c r="I36" s="606"/>
      <c r="L36" s="486"/>
      <c r="M36" s="477" t="s">
        <v>388</v>
      </c>
      <c r="N36" s="478" t="s">
        <v>937</v>
      </c>
      <c r="O36" s="477" t="s">
        <v>388</v>
      </c>
      <c r="P36" s="484" t="s">
        <v>937</v>
      </c>
    </row>
    <row r="37" spans="1:16">
      <c r="A37" s="441"/>
      <c r="D37" s="606"/>
      <c r="E37" s="606"/>
      <c r="G37" s="606"/>
      <c r="H37" s="606"/>
      <c r="I37" s="606"/>
      <c r="L37" s="479" t="s">
        <v>904</v>
      </c>
      <c r="M37" s="480">
        <f>'Input sheet'!B44</f>
        <v>80000</v>
      </c>
      <c r="N37" s="481">
        <f>'Input sheet'!C44</f>
        <v>300000</v>
      </c>
      <c r="O37" s="480">
        <f>'Input sheet'!B50</f>
        <v>20000</v>
      </c>
      <c r="P37" s="480">
        <f>'Input sheet'!C50</f>
        <v>200000</v>
      </c>
    </row>
    <row r="38" spans="1:16" ht="16" customHeight="1">
      <c r="A38" s="441"/>
      <c r="D38" s="606"/>
      <c r="E38" s="606"/>
      <c r="G38" s="606"/>
      <c r="H38" s="606"/>
      <c r="I38" s="606"/>
      <c r="L38" s="482" t="s">
        <v>903</v>
      </c>
      <c r="M38" s="483">
        <f>'Input sheet'!B45</f>
        <v>0.8</v>
      </c>
      <c r="N38" s="483">
        <f>'Input sheet'!C45</f>
        <v>0.6</v>
      </c>
      <c r="O38" s="480">
        <f>'Input sheet'!B51</f>
        <v>0.06</v>
      </c>
      <c r="P38" s="480">
        <f>'Input sheet'!C51</f>
        <v>0.15</v>
      </c>
    </row>
    <row r="39" spans="1:16">
      <c r="A39" s="441"/>
      <c r="D39" s="606"/>
      <c r="E39" s="606"/>
      <c r="G39" s="606"/>
      <c r="H39" s="606"/>
      <c r="I39" s="606"/>
      <c r="L39" s="479" t="s">
        <v>905</v>
      </c>
      <c r="M39" s="480">
        <f>M37*M38</f>
        <v>64000</v>
      </c>
      <c r="N39" s="481">
        <f t="shared" ref="N39:P39" si="1">N37*N38</f>
        <v>180000</v>
      </c>
      <c r="O39" s="480">
        <f t="shared" si="1"/>
        <v>1200</v>
      </c>
      <c r="P39" s="485">
        <f t="shared" si="1"/>
        <v>30000</v>
      </c>
    </row>
    <row r="40" spans="1:16" ht="17" thickBot="1">
      <c r="A40" s="468"/>
      <c r="B40" s="469"/>
      <c r="C40" s="469"/>
      <c r="D40" s="607"/>
      <c r="E40" s="607"/>
      <c r="F40" s="469"/>
      <c r="G40" s="607"/>
      <c r="H40" s="607"/>
      <c r="I40" s="607"/>
      <c r="J40" s="469"/>
      <c r="K40" s="469"/>
      <c r="L40" s="469"/>
      <c r="M40" s="469"/>
      <c r="N40" s="469"/>
      <c r="O40" s="469"/>
      <c r="P40" s="470"/>
    </row>
  </sheetData>
  <mergeCells count="17">
    <mergeCell ref="O3:P3"/>
    <mergeCell ref="A3:N3"/>
    <mergeCell ref="O6:P6"/>
    <mergeCell ref="E5:F5"/>
    <mergeCell ref="H5:I5"/>
    <mergeCell ref="K5:L5"/>
    <mergeCell ref="E6:F13"/>
    <mergeCell ref="H6:I13"/>
    <mergeCell ref="K6:L13"/>
    <mergeCell ref="G35:I40"/>
    <mergeCell ref="A5:C5"/>
    <mergeCell ref="M35:N35"/>
    <mergeCell ref="O35:P35"/>
    <mergeCell ref="L34:P34"/>
    <mergeCell ref="D34:E34"/>
    <mergeCell ref="G34:I34"/>
    <mergeCell ref="D35:E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2"/>
  <sheetViews>
    <sheetView zoomScale="125" zoomScaleNormal="125" workbookViewId="0">
      <selection activeCell="D42" sqref="D42"/>
    </sheetView>
  </sheetViews>
  <sheetFormatPr baseColWidth="10" defaultRowHeight="16"/>
  <cols>
    <col min="1" max="1" width="61.6640625" style="5" customWidth="1"/>
    <col min="2" max="2" width="17.6640625" style="250" customWidth="1"/>
    <col min="3" max="3" width="21" style="250" customWidth="1"/>
    <col min="4" max="4" width="20.5" style="250" customWidth="1"/>
    <col min="5" max="5" width="17.6640625" style="250" customWidth="1"/>
    <col min="6" max="6" width="11.1640625" style="5" customWidth="1"/>
    <col min="7" max="7" width="72" style="5" customWidth="1"/>
    <col min="8" max="16384" width="10.83203125" style="5"/>
  </cols>
  <sheetData>
    <row r="1" spans="1:7">
      <c r="A1" s="259" t="s">
        <v>788</v>
      </c>
      <c r="B1" s="260"/>
      <c r="C1" s="261"/>
      <c r="D1" s="630" t="s">
        <v>786</v>
      </c>
      <c r="E1" s="631"/>
      <c r="G1" s="251" t="s">
        <v>792</v>
      </c>
    </row>
    <row r="2" spans="1:7" ht="34">
      <c r="A2" s="262"/>
      <c r="B2" s="263" t="s">
        <v>751</v>
      </c>
      <c r="C2" s="263" t="s">
        <v>784</v>
      </c>
      <c r="D2" s="263" t="s">
        <v>633</v>
      </c>
      <c r="E2" s="264" t="s">
        <v>631</v>
      </c>
      <c r="G2" s="279" t="s">
        <v>790</v>
      </c>
    </row>
    <row r="3" spans="1:7" ht="34">
      <c r="A3" s="257" t="s">
        <v>785</v>
      </c>
      <c r="B3" s="254">
        <f>'Input sheet'!J25</f>
        <v>5.1318863639999997E-2</v>
      </c>
      <c r="C3" s="254">
        <f>'Input sheet'!I25</f>
        <v>1.286208764772796</v>
      </c>
      <c r="D3" s="254">
        <f>C7/B7-1</f>
        <v>0.24753771994102536</v>
      </c>
      <c r="E3" s="254">
        <f>(D7/B7)^(1/5)-1</f>
        <v>0.18059310578952315</v>
      </c>
      <c r="G3" s="279" t="s">
        <v>791</v>
      </c>
    </row>
    <row r="4" spans="1:7" ht="17" thickBot="1"/>
    <row r="5" spans="1:7">
      <c r="A5" s="259" t="s">
        <v>789</v>
      </c>
      <c r="B5" s="261"/>
      <c r="C5" s="261"/>
      <c r="D5" s="261"/>
      <c r="E5" s="265"/>
    </row>
    <row r="6" spans="1:7">
      <c r="A6" s="262"/>
      <c r="B6" s="250" t="s">
        <v>784</v>
      </c>
      <c r="C6" s="250" t="s">
        <v>633</v>
      </c>
      <c r="D6" s="250" t="s">
        <v>371</v>
      </c>
      <c r="E6" s="266" t="s">
        <v>787</v>
      </c>
      <c r="G6" s="257" t="s">
        <v>793</v>
      </c>
    </row>
    <row r="7" spans="1:7">
      <c r="A7" s="276" t="s">
        <v>5</v>
      </c>
      <c r="B7" s="277">
        <f>'Valuation output'!B3+'Valuation output'!B14+'Valuation output'!B23</f>
        <v>113269</v>
      </c>
      <c r="C7" s="277">
        <f>'Valuation output'!C3+'Valuation output'!C14+'Valuation output'!C23</f>
        <v>141307.35</v>
      </c>
      <c r="D7" s="277">
        <f>'Valuation output'!G3+'Valuation output'!G14+'Valuation output'!G23</f>
        <v>259783.92864593747</v>
      </c>
      <c r="E7" s="277">
        <f>'Valuation output'!L3+'Valuation output'!L14+'Valuation output'!L23</f>
        <v>357271.68581640709</v>
      </c>
      <c r="G7" s="257" t="s">
        <v>794</v>
      </c>
    </row>
    <row r="8" spans="1:7">
      <c r="G8" s="257" t="s">
        <v>795</v>
      </c>
    </row>
    <row r="9" spans="1:7">
      <c r="G9" s="257" t="s">
        <v>796</v>
      </c>
    </row>
    <row r="10" spans="1:7" ht="17" thickBot="1"/>
    <row r="11" spans="1:7">
      <c r="A11" s="267" t="s">
        <v>800</v>
      </c>
      <c r="B11" s="268" t="s">
        <v>784</v>
      </c>
      <c r="C11" s="268" t="s">
        <v>633</v>
      </c>
      <c r="D11" s="268" t="s">
        <v>371</v>
      </c>
      <c r="E11" s="269" t="s">
        <v>787</v>
      </c>
      <c r="G11" s="257" t="s">
        <v>797</v>
      </c>
    </row>
    <row r="12" spans="1:7" ht="34">
      <c r="A12" s="276" t="s">
        <v>503</v>
      </c>
      <c r="B12" s="278">
        <f>'Valuation output'!B4</f>
        <v>0.72210780336599467</v>
      </c>
      <c r="C12" s="278">
        <f>'Valuation output'!C4</f>
        <v>0.65</v>
      </c>
      <c r="D12" s="278">
        <f>'Valuation output'!G4</f>
        <v>0.6</v>
      </c>
      <c r="E12" s="278">
        <f>'Valuation output'!M4</f>
        <v>0.6</v>
      </c>
      <c r="G12" s="279" t="s">
        <v>798</v>
      </c>
    </row>
    <row r="13" spans="1:7">
      <c r="G13" s="257" t="s">
        <v>799</v>
      </c>
    </row>
    <row r="14" spans="1:7" ht="17" thickBot="1"/>
    <row r="15" spans="1:7">
      <c r="A15" s="267" t="s">
        <v>816</v>
      </c>
      <c r="B15" s="261"/>
      <c r="C15" s="261"/>
      <c r="D15" s="261"/>
      <c r="E15" s="265"/>
    </row>
    <row r="16" spans="1:7">
      <c r="A16" s="262"/>
      <c r="B16" s="263" t="s">
        <v>784</v>
      </c>
      <c r="C16" s="263" t="s">
        <v>633</v>
      </c>
      <c r="D16" s="263" t="s">
        <v>371</v>
      </c>
      <c r="E16" s="264" t="s">
        <v>787</v>
      </c>
      <c r="G16" s="257" t="s">
        <v>801</v>
      </c>
    </row>
    <row r="17" spans="1:7">
      <c r="A17" s="276" t="s">
        <v>533</v>
      </c>
      <c r="B17" s="386">
        <f>'Input sheet'!I27</f>
        <v>1.7827138032088188</v>
      </c>
      <c r="C17" s="386">
        <f>'Valuation output'!C57</f>
        <v>2.5</v>
      </c>
      <c r="D17" s="386">
        <f>'Valuation output'!G57</f>
        <v>2.5</v>
      </c>
      <c r="E17" s="386">
        <f>'Valuation output'!L57</f>
        <v>2.5</v>
      </c>
      <c r="G17" s="257" t="s">
        <v>802</v>
      </c>
    </row>
    <row r="18" spans="1:7">
      <c r="A18" s="262"/>
      <c r="E18" s="266"/>
      <c r="G18" s="257" t="s">
        <v>803</v>
      </c>
    </row>
    <row r="19" spans="1:7">
      <c r="A19" s="270" t="s">
        <v>808</v>
      </c>
      <c r="E19" s="266"/>
    </row>
    <row r="20" spans="1:7">
      <c r="A20" s="262"/>
      <c r="B20" s="258" t="s">
        <v>804</v>
      </c>
      <c r="C20" s="258" t="s">
        <v>805</v>
      </c>
      <c r="E20" s="266"/>
    </row>
    <row r="21" spans="1:7">
      <c r="A21" s="262" t="s">
        <v>890</v>
      </c>
      <c r="B21" s="252">
        <f>('Valuation output'!C7+'Valuation output'!C17+'Valuation output'!C26)*'Valuation output'!C31+('Valuation output'!D7+'Valuation output'!D17+'Valuation output'!D26)*'Valuation output'!D31+('Valuation output'!E7+'Valuation output'!E17+'Valuation output'!E26)*'Valuation output'!E31+('Valuation output'!F7+'Valuation output'!F17+'Valuation output'!F26)*'Valuation output'!F31+('Valuation output'!G7+'Valuation output'!G17+'Valuation output'!G26)*'Valuation output'!G31+('Valuation output'!H7+'Valuation output'!H17+'Valuation output'!H26)*'Valuation output'!H31+('Valuation output'!I7+'Valuation output'!I17+'Valuation output'!I26)*'Valuation output'!I31+('Valuation output'!J7+'Valuation output'!J17+'Valuation output'!J26)*'Valuation output'!J31+('Valuation output'!K7+'Valuation output'!K17+'Valuation output'!K26)*'Valuation output'!K31+('Valuation output'!L7+'Valuation output'!L17+'Valuation output'!L26)*'Valuation output'!C31+('Valuation output'!M7+'Valuation output'!M17+'Valuation output'!M26)*'Valuation output'!M31</f>
        <v>790729.45786877058</v>
      </c>
      <c r="C21" s="253">
        <f>B21/B21</f>
        <v>1</v>
      </c>
      <c r="E21" s="266"/>
      <c r="G21" s="257" t="s">
        <v>809</v>
      </c>
    </row>
    <row r="22" spans="1:7">
      <c r="A22" s="271" t="s">
        <v>806</v>
      </c>
      <c r="B22" s="255">
        <f>B21-B23</f>
        <v>138175.90510207601</v>
      </c>
      <c r="C22" s="256">
        <f>B22/B21</f>
        <v>0.17474485581262825</v>
      </c>
      <c r="E22" s="266"/>
      <c r="G22" s="257" t="s">
        <v>815</v>
      </c>
    </row>
    <row r="23" spans="1:7">
      <c r="A23" s="262" t="s">
        <v>807</v>
      </c>
      <c r="B23" s="252">
        <f>SUM('Valuation output'!C32:L32)+SUM('Valuation output'!C33:L33)+SUM('Valuation output'!C34:L34)</f>
        <v>652553.55276669457</v>
      </c>
      <c r="C23" s="254">
        <f>C21-C22</f>
        <v>0.82525514418737178</v>
      </c>
      <c r="E23" s="266"/>
    </row>
    <row r="24" spans="1:7">
      <c r="A24" s="262"/>
      <c r="E24" s="266"/>
    </row>
    <row r="25" spans="1:7">
      <c r="A25" s="270" t="s">
        <v>810</v>
      </c>
      <c r="E25" s="266"/>
    </row>
    <row r="26" spans="1:7">
      <c r="A26" s="262"/>
      <c r="B26" s="263" t="s">
        <v>811</v>
      </c>
      <c r="C26" s="263" t="s">
        <v>812</v>
      </c>
      <c r="D26" s="263" t="s">
        <v>813</v>
      </c>
      <c r="E26" s="264" t="s">
        <v>814</v>
      </c>
    </row>
    <row r="27" spans="1:7" ht="17" thickBot="1">
      <c r="A27" s="272" t="s">
        <v>522</v>
      </c>
      <c r="B27" s="273">
        <f>'Valuation output'!B59</f>
        <v>1.0495191021351202</v>
      </c>
      <c r="C27" s="274">
        <f>('Valuation output'!L7-'Valuation output'!B7+'Valuation output'!L17-'Valuation output'!B17+'Valuation output'!L26-'Valuation output'!B26-'Valuation output'!B26)/('Valuation output'!L58-'Valuation output'!B58)</f>
        <v>1.1061030069576139</v>
      </c>
      <c r="D27" s="273">
        <f>'Valuation output'!L59</f>
        <v>1.1432482667760431</v>
      </c>
      <c r="E27" s="275">
        <f>'Valuation output'!M59</f>
        <v>0.2</v>
      </c>
    </row>
    <row r="28" spans="1:7" ht="17" thickBot="1"/>
    <row r="29" spans="1:7">
      <c r="A29" s="267" t="s">
        <v>817</v>
      </c>
      <c r="B29" s="261"/>
      <c r="C29" s="261"/>
      <c r="D29" s="261"/>
      <c r="E29" s="265"/>
    </row>
    <row r="30" spans="1:7">
      <c r="A30" s="262"/>
      <c r="B30" s="263" t="s">
        <v>751</v>
      </c>
      <c r="C30" s="263" t="s">
        <v>820</v>
      </c>
      <c r="D30" s="263" t="s">
        <v>821</v>
      </c>
      <c r="E30" s="264" t="s">
        <v>818</v>
      </c>
      <c r="G30" s="257" t="s">
        <v>827</v>
      </c>
    </row>
    <row r="31" spans="1:7">
      <c r="A31" s="280" t="s">
        <v>126</v>
      </c>
      <c r="B31" s="256">
        <f>'Input sheet'!J31</f>
        <v>0.10763510523051874</v>
      </c>
      <c r="C31" s="256">
        <f>(1/'Valuation output'!L31)^(1/10)-1</f>
        <v>0.10799213106607009</v>
      </c>
      <c r="D31" s="256">
        <f>'Valuation output'!C30</f>
        <v>0.11793732266471768</v>
      </c>
      <c r="E31" s="281">
        <f>'Valuation output'!M30</f>
        <v>8.5000000000000006E-2</v>
      </c>
      <c r="G31" s="257" t="s">
        <v>828</v>
      </c>
    </row>
    <row r="32" spans="1:7">
      <c r="A32" s="262"/>
      <c r="E32" s="266"/>
      <c r="G32" s="257" t="s">
        <v>829</v>
      </c>
    </row>
    <row r="33" spans="1:6" ht="17" thickBot="1">
      <c r="A33" s="272" t="s">
        <v>819</v>
      </c>
      <c r="B33" s="273">
        <f>'Valuation output'!B41</f>
        <v>0</v>
      </c>
      <c r="C33" s="282"/>
      <c r="D33" s="282"/>
      <c r="E33" s="283"/>
    </row>
    <row r="34" spans="1:6" ht="17" thickBot="1"/>
    <row r="35" spans="1:6">
      <c r="A35" s="267" t="s">
        <v>822</v>
      </c>
      <c r="B35" s="261"/>
      <c r="C35" s="261"/>
      <c r="D35" s="261"/>
      <c r="E35" s="265"/>
    </row>
    <row r="36" spans="1:6" s="51" customFormat="1" ht="14" thickBot="1">
      <c r="A36" s="295" t="s">
        <v>17</v>
      </c>
      <c r="B36" s="284">
        <f>'Valuation output'!B52/'Valuation output'!B53</f>
        <v>0.63019305283162586</v>
      </c>
      <c r="C36" s="296"/>
      <c r="D36" s="296"/>
      <c r="E36" s="297"/>
    </row>
    <row r="37" spans="1:6" s="51" customFormat="1" ht="17" thickBot="1">
      <c r="A37" s="53"/>
      <c r="B37" s="628" t="str">
        <f>IF(B36="NA","Value is negative. See below",IF(B36&gt;2,"Value seems high. See below",IF(B36&lt;0.5,"Value seems low. See below"," ")))</f>
        <v xml:space="preserve"> </v>
      </c>
      <c r="C37" s="629"/>
      <c r="D37" s="296"/>
      <c r="E37" s="297"/>
      <c r="F37" s="7"/>
    </row>
    <row r="38" spans="1:6" s="7" customFormat="1" ht="42">
      <c r="A38" s="302" t="s">
        <v>4</v>
      </c>
      <c r="B38" s="285" t="s">
        <v>0</v>
      </c>
      <c r="C38" s="286" t="s">
        <v>1</v>
      </c>
      <c r="D38" s="298"/>
      <c r="E38" s="299"/>
    </row>
    <row r="39" spans="1:6" s="7" customFormat="1" ht="35" customHeight="1">
      <c r="A39" s="287" t="s">
        <v>823</v>
      </c>
      <c r="B39" s="288" t="s">
        <v>2</v>
      </c>
      <c r="C39" s="289" t="s">
        <v>3</v>
      </c>
      <c r="D39" s="298"/>
      <c r="E39" s="299"/>
    </row>
    <row r="40" spans="1:6" s="7" customFormat="1" ht="42">
      <c r="A40" s="287" t="s">
        <v>824</v>
      </c>
      <c r="B40" s="290" t="s">
        <v>130</v>
      </c>
      <c r="C40" s="289" t="s">
        <v>131</v>
      </c>
      <c r="D40" s="298" t="s">
        <v>134</v>
      </c>
      <c r="E40" s="299"/>
    </row>
    <row r="41" spans="1:6" s="7" customFormat="1" ht="34" customHeight="1">
      <c r="A41" s="291" t="s">
        <v>825</v>
      </c>
      <c r="B41" s="288" t="s">
        <v>129</v>
      </c>
      <c r="C41" s="289" t="s">
        <v>128</v>
      </c>
      <c r="D41" s="298" t="s">
        <v>134</v>
      </c>
      <c r="E41" s="299"/>
    </row>
    <row r="42" spans="1:6" s="7" customFormat="1" ht="48" customHeight="1" thickBot="1">
      <c r="A42" s="292" t="s">
        <v>826</v>
      </c>
      <c r="B42" s="293" t="s">
        <v>132</v>
      </c>
      <c r="C42" s="294" t="s">
        <v>133</v>
      </c>
      <c r="D42" s="300"/>
      <c r="E42" s="301"/>
      <c r="F42" s="5"/>
    </row>
  </sheetData>
  <mergeCells count="2">
    <mergeCell ref="B37:C37"/>
    <mergeCell ref="D1:E1"/>
  </mergeCells>
  <phoneticPr fontId="1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9"/>
  <sheetViews>
    <sheetView workbookViewId="0">
      <selection activeCell="D33" sqref="D33"/>
    </sheetView>
  </sheetViews>
  <sheetFormatPr baseColWidth="10" defaultRowHeight="16"/>
  <cols>
    <col min="1" max="1" width="44.33203125" style="187" customWidth="1"/>
    <col min="2" max="2" width="28.1640625" style="187" customWidth="1"/>
    <col min="3" max="3" width="30.6640625" style="187" customWidth="1"/>
    <col min="4" max="4" width="24.83203125" style="187" customWidth="1"/>
    <col min="5" max="7" width="44.33203125" style="103" customWidth="1"/>
  </cols>
  <sheetData>
    <row r="1" spans="1:7" ht="19" customHeight="1">
      <c r="A1" s="632" t="s">
        <v>830</v>
      </c>
      <c r="B1" s="633"/>
      <c r="C1" s="633"/>
      <c r="D1" s="633"/>
    </row>
    <row r="2" spans="1:7" ht="38" customHeight="1">
      <c r="A2" s="632"/>
      <c r="B2" s="633"/>
      <c r="C2" s="633"/>
      <c r="D2" s="633"/>
    </row>
    <row r="3" spans="1:7" s="322" customFormat="1" ht="18">
      <c r="A3" s="245" t="s">
        <v>44</v>
      </c>
      <c r="B3" s="245"/>
      <c r="C3" s="245"/>
      <c r="D3" s="245"/>
      <c r="E3" s="245"/>
      <c r="F3" s="245"/>
      <c r="G3" s="245"/>
    </row>
    <row r="4" spans="1:7" s="323" customFormat="1">
      <c r="A4" s="187" t="s">
        <v>45</v>
      </c>
      <c r="B4" s="303">
        <f>'Input sheet'!B21</f>
        <v>123</v>
      </c>
      <c r="C4" s="187"/>
      <c r="D4" s="187"/>
      <c r="E4" s="187"/>
    </row>
    <row r="5" spans="1:7" s="323" customFormat="1">
      <c r="A5" s="187" t="s">
        <v>46</v>
      </c>
      <c r="B5" s="304">
        <f>'Input sheet'!B38</f>
        <v>1.29</v>
      </c>
      <c r="C5" s="187"/>
      <c r="D5" s="187"/>
      <c r="E5" s="187"/>
    </row>
    <row r="6" spans="1:7" s="323" customFormat="1">
      <c r="A6" s="187" t="s">
        <v>47</v>
      </c>
      <c r="B6" s="305">
        <f>'Input sheet'!B39</f>
        <v>7</v>
      </c>
      <c r="C6" s="187"/>
      <c r="D6" s="187"/>
      <c r="E6" s="187"/>
    </row>
    <row r="7" spans="1:7" s="323" customFormat="1">
      <c r="A7" s="187" t="s">
        <v>48</v>
      </c>
      <c r="B7" s="306">
        <f>'Input sheet'!B40</f>
        <v>0.45</v>
      </c>
      <c r="C7" s="187" t="s">
        <v>49</v>
      </c>
      <c r="D7" s="187"/>
      <c r="E7" s="187"/>
    </row>
    <row r="8" spans="1:7" s="323" customFormat="1">
      <c r="A8" s="187" t="s">
        <v>50</v>
      </c>
      <c r="B8" s="307">
        <v>0</v>
      </c>
      <c r="C8" s="187"/>
      <c r="D8" s="187"/>
      <c r="E8" s="187"/>
    </row>
    <row r="9" spans="1:7" s="323" customFormat="1">
      <c r="A9" s="187" t="s">
        <v>51</v>
      </c>
      <c r="B9" s="307">
        <f>'Input sheet'!B33</f>
        <v>4.7E-2</v>
      </c>
      <c r="C9" s="187"/>
      <c r="D9" s="187"/>
      <c r="E9" s="187"/>
    </row>
    <row r="10" spans="1:7" s="323" customFormat="1">
      <c r="A10" s="187" t="s">
        <v>52</v>
      </c>
      <c r="B10" s="305">
        <f>'Input sheet'!B37</f>
        <v>7.72</v>
      </c>
      <c r="C10" s="187"/>
      <c r="D10" s="187"/>
      <c r="E10" s="187"/>
    </row>
    <row r="11" spans="1:7" s="323" customFormat="1">
      <c r="A11" s="187" t="s">
        <v>53</v>
      </c>
      <c r="B11" s="308">
        <f>'Input sheet'!B20</f>
        <v>24490</v>
      </c>
      <c r="C11" s="187"/>
      <c r="D11" s="187"/>
      <c r="E11" s="187"/>
    </row>
    <row r="12" spans="1:7" s="323" customFormat="1">
      <c r="A12" s="187"/>
      <c r="B12" s="187"/>
      <c r="C12" s="187"/>
      <c r="D12" s="187"/>
      <c r="E12" s="187"/>
      <c r="F12" s="187"/>
      <c r="G12" s="187"/>
    </row>
    <row r="13" spans="1:7" s="324" customFormat="1">
      <c r="A13" s="309" t="s">
        <v>54</v>
      </c>
      <c r="B13" s="310"/>
      <c r="C13" s="310"/>
      <c r="D13" s="310"/>
      <c r="E13" s="310"/>
      <c r="F13" s="310"/>
      <c r="G13" s="310"/>
    </row>
    <row r="14" spans="1:7" s="325" customFormat="1">
      <c r="A14" s="245" t="s">
        <v>755</v>
      </c>
      <c r="B14" s="187"/>
      <c r="C14" s="187"/>
      <c r="D14" s="187"/>
      <c r="E14" s="187"/>
      <c r="F14" s="187"/>
      <c r="G14" s="187"/>
    </row>
    <row r="15" spans="1:7" s="325" customFormat="1">
      <c r="A15" s="311" t="s">
        <v>55</v>
      </c>
      <c r="B15" s="328">
        <f>B4</f>
        <v>123</v>
      </c>
      <c r="C15" s="311" t="s">
        <v>56</v>
      </c>
      <c r="D15" s="314">
        <f>B10</f>
        <v>7.72</v>
      </c>
      <c r="E15" s="326"/>
    </row>
    <row r="16" spans="1:7" s="325" customFormat="1">
      <c r="A16" s="311" t="s">
        <v>57</v>
      </c>
      <c r="B16" s="321">
        <f>B5</f>
        <v>1.29</v>
      </c>
      <c r="C16" s="311" t="s">
        <v>58</v>
      </c>
      <c r="D16" s="315">
        <f>B11</f>
        <v>24490</v>
      </c>
      <c r="E16" s="326"/>
    </row>
    <row r="17" spans="1:7" s="325" customFormat="1">
      <c r="A17" s="311" t="s">
        <v>59</v>
      </c>
      <c r="B17" s="328">
        <f ca="1">(B15*D16+B28*D15)/(D16+D15)</f>
        <v>122.9997073741621</v>
      </c>
      <c r="C17" s="311" t="s">
        <v>60</v>
      </c>
      <c r="D17" s="316">
        <f>B9</f>
        <v>4.7E-2</v>
      </c>
      <c r="E17" s="187"/>
    </row>
    <row r="18" spans="1:7" s="325" customFormat="1">
      <c r="A18" s="311" t="s">
        <v>61</v>
      </c>
      <c r="B18" s="321">
        <f>B16</f>
        <v>1.29</v>
      </c>
      <c r="C18" s="311" t="s">
        <v>62</v>
      </c>
      <c r="D18" s="317">
        <f>B7^2</f>
        <v>0.20250000000000001</v>
      </c>
      <c r="E18" s="187"/>
    </row>
    <row r="19" spans="1:7" s="325" customFormat="1">
      <c r="A19" s="311" t="s">
        <v>63</v>
      </c>
      <c r="B19" s="321">
        <f>B6</f>
        <v>7</v>
      </c>
      <c r="C19" s="311" t="s">
        <v>64</v>
      </c>
      <c r="D19" s="316">
        <f>B8</f>
        <v>0</v>
      </c>
      <c r="E19" s="187"/>
    </row>
    <row r="20" spans="1:7" s="325" customFormat="1">
      <c r="A20" s="187"/>
      <c r="B20" s="187"/>
      <c r="C20" s="311" t="s">
        <v>65</v>
      </c>
      <c r="D20" s="318">
        <f>D17-D19</f>
        <v>4.7E-2</v>
      </c>
      <c r="E20" s="187"/>
    </row>
    <row r="21" spans="1:7" s="325" customFormat="1">
      <c r="A21" s="187"/>
      <c r="B21" s="187"/>
      <c r="C21" s="187"/>
      <c r="D21" s="187"/>
      <c r="E21" s="187"/>
      <c r="F21" s="187"/>
      <c r="G21" s="187"/>
    </row>
    <row r="22" spans="1:7" s="325" customFormat="1">
      <c r="A22" s="187" t="s">
        <v>66</v>
      </c>
      <c r="B22" s="320">
        <f ca="1">(LN(B17/B18)+(D20+(D18/2))*B19)/(((D18)^(0.5))*(B19^0.5))</f>
        <v>4.6996016548616204</v>
      </c>
      <c r="C22" s="187"/>
      <c r="D22" s="187"/>
      <c r="E22" s="187"/>
      <c r="F22" s="187"/>
      <c r="G22" s="187"/>
    </row>
    <row r="23" spans="1:7" s="325" customFormat="1">
      <c r="A23" s="187" t="s">
        <v>67</v>
      </c>
      <c r="B23" s="320">
        <f ca="1">NORMSDIST(B22)</f>
        <v>0.99999869665278052</v>
      </c>
      <c r="C23" s="187"/>
      <c r="D23" s="187"/>
      <c r="E23" s="187"/>
      <c r="F23" s="187"/>
      <c r="G23" s="187"/>
    </row>
    <row r="24" spans="1:7" s="325" customFormat="1">
      <c r="A24" s="187"/>
      <c r="B24" s="319"/>
      <c r="C24" s="187"/>
      <c r="D24" s="187"/>
      <c r="E24" s="187"/>
      <c r="F24" s="187"/>
      <c r="G24" s="187"/>
    </row>
    <row r="25" spans="1:7" s="325" customFormat="1" ht="15.75" customHeight="1">
      <c r="A25" s="187" t="s">
        <v>68</v>
      </c>
      <c r="B25" s="320">
        <f ca="1">B22-((D18^0.5)*(B19^(0.5)))</f>
        <v>3.5090135648825544</v>
      </c>
      <c r="C25" s="187"/>
      <c r="D25" s="187"/>
      <c r="E25" s="187"/>
      <c r="F25" s="187"/>
      <c r="G25" s="187"/>
    </row>
    <row r="26" spans="1:7" s="325" customFormat="1">
      <c r="A26" s="187" t="s">
        <v>69</v>
      </c>
      <c r="B26" s="320">
        <f ca="1">NORMSDIST(B25)</f>
        <v>0.99977511401762709</v>
      </c>
      <c r="C26" s="187"/>
      <c r="D26" s="187"/>
      <c r="E26" s="187"/>
      <c r="F26" s="187"/>
      <c r="G26" s="187"/>
    </row>
    <row r="27" spans="1:7" s="323" customFormat="1" ht="17" thickBot="1">
      <c r="A27" s="187"/>
      <c r="B27" s="187"/>
      <c r="C27" s="187"/>
      <c r="D27" s="187"/>
      <c r="E27" s="187"/>
      <c r="F27" s="187"/>
      <c r="G27" s="187"/>
    </row>
    <row r="28" spans="1:7" s="325" customFormat="1" ht="17" thickBot="1">
      <c r="A28" s="187" t="s">
        <v>70</v>
      </c>
      <c r="B28" s="312">
        <f ca="1">((EXP((0-D19)*B19))*B17*B23-B18*(EXP((0-D17)*B19))*B26)</f>
        <v>122.0714163417703</v>
      </c>
      <c r="C28" s="187"/>
      <c r="D28" s="187"/>
      <c r="E28" s="187"/>
      <c r="F28" s="327"/>
    </row>
    <row r="29" spans="1:7" s="325" customFormat="1" ht="17" thickBot="1">
      <c r="A29" s="187" t="s">
        <v>71</v>
      </c>
      <c r="B29" s="313">
        <f ca="1">B28*B10</f>
        <v>942.39133415846675</v>
      </c>
      <c r="C29" s="187"/>
      <c r="D29" s="187"/>
      <c r="E29" s="187"/>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4"/>
  <sheetViews>
    <sheetView zoomScale="125" zoomScaleNormal="125" workbookViewId="0">
      <selection activeCell="H3" sqref="H3:L11"/>
    </sheetView>
  </sheetViews>
  <sheetFormatPr baseColWidth="10" defaultRowHeight="13"/>
  <sheetData>
    <row r="1" spans="1:12" s="6" customFormat="1" ht="18">
      <c r="A1" s="16" t="s">
        <v>97</v>
      </c>
      <c r="B1" s="16"/>
      <c r="C1" s="16"/>
      <c r="D1" s="16"/>
      <c r="E1" s="16"/>
      <c r="F1" s="16"/>
      <c r="G1" s="16"/>
      <c r="H1" s="16"/>
      <c r="I1" s="16"/>
      <c r="J1" s="16"/>
      <c r="K1" s="16"/>
    </row>
    <row r="2" spans="1:12" s="6" customFormat="1" ht="19" thickBot="1">
      <c r="A2" s="16" t="s">
        <v>135</v>
      </c>
      <c r="B2" s="16"/>
      <c r="C2" s="16"/>
      <c r="D2" s="16"/>
      <c r="E2" s="16"/>
      <c r="F2" s="16"/>
      <c r="G2" s="16"/>
      <c r="H2" s="16"/>
      <c r="I2" s="16"/>
      <c r="J2" s="16"/>
      <c r="K2" s="16"/>
    </row>
    <row r="3" spans="1:12" s="12" customFormat="1" ht="13" customHeight="1">
      <c r="A3" s="12" t="s">
        <v>4</v>
      </c>
      <c r="H3" s="634" t="s">
        <v>729</v>
      </c>
      <c r="I3" s="635"/>
      <c r="J3" s="635"/>
      <c r="K3" s="635"/>
      <c r="L3" s="636"/>
    </row>
    <row r="4" spans="1:12" s="7" customFormat="1">
      <c r="A4" s="7" t="s">
        <v>98</v>
      </c>
      <c r="E4" s="20">
        <v>295</v>
      </c>
      <c r="H4" s="637"/>
      <c r="I4" s="638"/>
      <c r="J4" s="638"/>
      <c r="K4" s="638"/>
      <c r="L4" s="639"/>
    </row>
    <row r="5" spans="1:12" s="10" customFormat="1">
      <c r="A5" s="10" t="s">
        <v>99</v>
      </c>
      <c r="H5" s="637"/>
      <c r="I5" s="638"/>
      <c r="J5" s="638"/>
      <c r="K5" s="638"/>
      <c r="L5" s="639"/>
    </row>
    <row r="6" spans="1:12" s="7" customFormat="1">
      <c r="A6" s="17" t="s">
        <v>100</v>
      </c>
      <c r="B6" s="17" t="s">
        <v>101</v>
      </c>
      <c r="C6" s="7" t="s">
        <v>102</v>
      </c>
      <c r="H6" s="637"/>
      <c r="I6" s="638"/>
      <c r="J6" s="638"/>
      <c r="K6" s="638"/>
      <c r="L6" s="639"/>
    </row>
    <row r="7" spans="1:12" s="7" customFormat="1">
      <c r="A7" s="17">
        <v>1</v>
      </c>
      <c r="B7" s="144">
        <v>287</v>
      </c>
      <c r="H7" s="637"/>
      <c r="I7" s="638"/>
      <c r="J7" s="638"/>
      <c r="K7" s="638"/>
      <c r="L7" s="639"/>
    </row>
    <row r="8" spans="1:12" s="7" customFormat="1">
      <c r="A8" s="17">
        <v>2</v>
      </c>
      <c r="B8" s="144">
        <v>235</v>
      </c>
      <c r="H8" s="637"/>
      <c r="I8" s="638"/>
      <c r="J8" s="638"/>
      <c r="K8" s="638"/>
      <c r="L8" s="639"/>
    </row>
    <row r="9" spans="1:12" s="7" customFormat="1">
      <c r="A9" s="17">
        <v>3</v>
      </c>
      <c r="B9" s="144">
        <v>194</v>
      </c>
      <c r="H9" s="637"/>
      <c r="I9" s="638"/>
      <c r="J9" s="638"/>
      <c r="K9" s="638"/>
      <c r="L9" s="639"/>
    </row>
    <row r="10" spans="1:12" s="7" customFormat="1">
      <c r="A10" s="17">
        <v>4</v>
      </c>
      <c r="B10" s="144">
        <v>151</v>
      </c>
      <c r="H10" s="637"/>
      <c r="I10" s="638"/>
      <c r="J10" s="638"/>
      <c r="K10" s="638"/>
      <c r="L10" s="639"/>
    </row>
    <row r="11" spans="1:12" s="7" customFormat="1" ht="14" thickBot="1">
      <c r="A11" s="17">
        <v>5</v>
      </c>
      <c r="B11" s="144">
        <v>98</v>
      </c>
      <c r="H11" s="640"/>
      <c r="I11" s="641"/>
      <c r="J11" s="641"/>
      <c r="K11" s="641"/>
      <c r="L11" s="642"/>
    </row>
    <row r="12" spans="1:12" s="7" customFormat="1" ht="14">
      <c r="A12" s="17" t="s">
        <v>103</v>
      </c>
      <c r="B12" s="116">
        <v>605</v>
      </c>
    </row>
    <row r="13" spans="1:12" s="7" customFormat="1"/>
    <row r="14" spans="1:12" s="18" customFormat="1" ht="17" thickBot="1">
      <c r="A14" s="18" t="s">
        <v>104</v>
      </c>
    </row>
    <row r="15" spans="1:12" s="7" customFormat="1" ht="14" thickBot="1">
      <c r="A15" s="7" t="s">
        <v>105</v>
      </c>
      <c r="C15" s="32">
        <f>'Cost of capital worksheet'!B37</f>
        <v>6.1200000000000004E-2</v>
      </c>
      <c r="D15" s="7" t="s">
        <v>210</v>
      </c>
    </row>
    <row r="16" spans="1:12" s="7" customFormat="1"/>
    <row r="17" spans="1:7" s="7" customFormat="1">
      <c r="D17" s="21"/>
    </row>
    <row r="18" spans="1:7" s="7" customFormat="1">
      <c r="A18" s="7" t="s">
        <v>106</v>
      </c>
      <c r="D18" s="22">
        <f>IF(B12&gt;0,ROUND(B12/AVERAGE(B7:B11),0),0)</f>
        <v>3</v>
      </c>
      <c r="E18" s="7" t="s">
        <v>107</v>
      </c>
    </row>
    <row r="19" spans="1:7" s="12" customFormat="1">
      <c r="E19" s="7" t="s">
        <v>108</v>
      </c>
    </row>
    <row r="20" spans="1:7" s="10" customFormat="1">
      <c r="A20" s="10" t="s">
        <v>109</v>
      </c>
    </row>
    <row r="21" spans="1:7" s="7" customFormat="1">
      <c r="A21" s="17" t="s">
        <v>100</v>
      </c>
      <c r="B21" s="17" t="s">
        <v>101</v>
      </c>
      <c r="C21" s="17" t="s">
        <v>110</v>
      </c>
    </row>
    <row r="22" spans="1:7" s="7" customFormat="1">
      <c r="A22" s="13">
        <f>A7</f>
        <v>1</v>
      </c>
      <c r="B22" s="15">
        <f>B7</f>
        <v>287</v>
      </c>
      <c r="C22" s="8">
        <f>B22/(1+$C$15)^A22</f>
        <v>270.44854881266491</v>
      </c>
    </row>
    <row r="23" spans="1:7" s="7" customFormat="1">
      <c r="A23" s="13">
        <f t="shared" ref="A23:B26" si="0">A8</f>
        <v>2</v>
      </c>
      <c r="B23" s="15">
        <f t="shared" si="0"/>
        <v>235</v>
      </c>
      <c r="C23" s="8">
        <f>B23/(1+$C$15)^A23</f>
        <v>208.67642104913199</v>
      </c>
    </row>
    <row r="24" spans="1:7" s="7" customFormat="1">
      <c r="A24" s="13">
        <f t="shared" si="0"/>
        <v>3</v>
      </c>
      <c r="B24" s="15">
        <f t="shared" si="0"/>
        <v>194</v>
      </c>
      <c r="C24" s="8">
        <f>B24/(1+$C$15)^A24</f>
        <v>162.33419285887359</v>
      </c>
    </row>
    <row r="25" spans="1:7" s="7" customFormat="1">
      <c r="A25" s="13">
        <f t="shared" si="0"/>
        <v>4</v>
      </c>
      <c r="B25" s="15">
        <f t="shared" si="0"/>
        <v>151</v>
      </c>
      <c r="C25" s="8">
        <f>B25/(1+$C$15)^A25</f>
        <v>119.06605982766985</v>
      </c>
    </row>
    <row r="26" spans="1:7" s="7" customFormat="1">
      <c r="A26" s="13">
        <f t="shared" si="0"/>
        <v>5</v>
      </c>
      <c r="B26" s="15">
        <f t="shared" si="0"/>
        <v>98</v>
      </c>
      <c r="C26" s="8">
        <f>B26/(1+$C$15)^A26</f>
        <v>72.818188225697554</v>
      </c>
    </row>
    <row r="27" spans="1:7" s="7" customFormat="1" ht="14" thickBot="1">
      <c r="A27" s="23" t="str">
        <f>A12</f>
        <v>6 and beyond</v>
      </c>
      <c r="B27" s="24">
        <f>IF(B12&gt;0,IF(D18&gt;0,B12/D18,B12),0)</f>
        <v>201.66666666666666</v>
      </c>
      <c r="C27" s="25">
        <f>IF(D18&gt;0,(B27*(1-(1+C15)^(-D18))/C15)/(1+$C$15)^5,B27/(1+C15)^6)</f>
        <v>399.6550671689966</v>
      </c>
      <c r="D27" s="7" t="s">
        <v>111</v>
      </c>
    </row>
    <row r="28" spans="1:7" s="7" customFormat="1" ht="14" thickBot="1">
      <c r="A28" s="19" t="s">
        <v>112</v>
      </c>
      <c r="B28" s="26"/>
      <c r="C28" s="27">
        <f>SUM(C22:C27)</f>
        <v>1232.9984779430345</v>
      </c>
    </row>
    <row r="29" spans="1:7" s="7" customFormat="1"/>
    <row r="30" spans="1:7" s="7" customFormat="1">
      <c r="A30" s="10" t="s">
        <v>113</v>
      </c>
    </row>
    <row r="31" spans="1:7" s="7" customFormat="1" ht="14" thickBot="1">
      <c r="A31" s="7" t="s">
        <v>114</v>
      </c>
      <c r="F31" s="25">
        <f>C28/(5+D18)</f>
        <v>154.12480974287931</v>
      </c>
      <c r="G31" s="7" t="s">
        <v>115</v>
      </c>
    </row>
    <row r="32" spans="1:7" s="7" customFormat="1" ht="14" thickBot="1">
      <c r="A32" s="7" t="s">
        <v>116</v>
      </c>
      <c r="F32" s="33">
        <f>E4-F31</f>
        <v>140.87519025712069</v>
      </c>
      <c r="G32" s="7" t="s">
        <v>118</v>
      </c>
    </row>
    <row r="33" spans="1:7" s="7" customFormat="1" ht="14" thickBot="1">
      <c r="A33" s="7" t="s">
        <v>117</v>
      </c>
      <c r="F33" s="28">
        <f>C28</f>
        <v>1232.9984779430345</v>
      </c>
      <c r="G33" s="7" t="s">
        <v>119</v>
      </c>
    </row>
    <row r="34" spans="1:7" ht="14">
      <c r="A34" s="7" t="s">
        <v>462</v>
      </c>
      <c r="F34" s="85">
        <f>C28/(5+D18)</f>
        <v>154.12480974287931</v>
      </c>
    </row>
  </sheetData>
  <mergeCells count="1">
    <mergeCell ref="H3:L11"/>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60"/>
  <sheetViews>
    <sheetView zoomScaleNormal="100" workbookViewId="0">
      <selection activeCell="D16" sqref="D16"/>
    </sheetView>
  </sheetViews>
  <sheetFormatPr baseColWidth="10" defaultRowHeight="16"/>
  <cols>
    <col min="1" max="2" width="11.1640625" style="187" bestFit="1" customWidth="1"/>
    <col min="3" max="3" width="19.5" style="187" customWidth="1"/>
    <col min="4" max="4" width="11.1640625" style="187" bestFit="1" customWidth="1"/>
    <col min="5" max="5" width="10.83203125" style="187"/>
    <col min="6" max="6" width="12.83203125" style="187" bestFit="1" customWidth="1"/>
    <col min="7" max="7" width="10.83203125" style="187"/>
    <col min="8" max="8" width="11.1640625" style="187" bestFit="1" customWidth="1"/>
    <col min="9" max="10" width="10.83203125" style="187"/>
    <col min="11" max="20" width="11.1640625" style="187" bestFit="1" customWidth="1"/>
  </cols>
  <sheetData>
    <row r="1" spans="1:20">
      <c r="A1" s="646" t="s">
        <v>783</v>
      </c>
      <c r="B1" s="647"/>
      <c r="C1" s="647"/>
      <c r="D1" s="647"/>
      <c r="E1" s="647"/>
      <c r="F1" s="647"/>
      <c r="G1" s="647"/>
      <c r="H1" s="647"/>
      <c r="I1" s="647"/>
      <c r="J1" s="647"/>
      <c r="K1" s="647"/>
      <c r="L1" s="648"/>
    </row>
    <row r="2" spans="1:20" ht="21" customHeight="1" thickBot="1">
      <c r="A2" s="649"/>
      <c r="B2" s="650"/>
      <c r="C2" s="650"/>
      <c r="D2" s="650"/>
      <c r="E2" s="650"/>
      <c r="F2" s="650"/>
      <c r="G2" s="650"/>
      <c r="H2" s="650"/>
      <c r="I2" s="650"/>
      <c r="J2" s="650"/>
      <c r="K2" s="650"/>
      <c r="L2" s="651"/>
    </row>
    <row r="4" spans="1:20">
      <c r="A4" s="245" t="s">
        <v>187</v>
      </c>
    </row>
    <row r="5" spans="1:20">
      <c r="A5" s="245" t="s">
        <v>188</v>
      </c>
    </row>
    <row r="6" spans="1:20" s="48" customFormat="1" ht="17" thickBot="1">
      <c r="A6" s="309" t="s">
        <v>189</v>
      </c>
      <c r="B6" s="310"/>
      <c r="C6" s="310"/>
      <c r="D6" s="310"/>
      <c r="E6" s="310"/>
      <c r="F6" s="310"/>
      <c r="G6" s="310"/>
      <c r="H6" s="310"/>
      <c r="I6" s="310"/>
      <c r="J6" s="310"/>
      <c r="K6" s="310"/>
      <c r="L6" s="310"/>
      <c r="M6" s="310"/>
      <c r="N6" s="310"/>
      <c r="O6" s="310"/>
      <c r="P6" s="310"/>
      <c r="Q6" s="310"/>
      <c r="R6" s="310"/>
      <c r="S6" s="310"/>
      <c r="T6" s="310"/>
    </row>
    <row r="7" spans="1:20" s="49" customFormat="1" ht="17" thickBot="1">
      <c r="A7" s="187" t="s">
        <v>190</v>
      </c>
      <c r="B7" s="187"/>
      <c r="C7" s="334">
        <f>'Cost of capital worksheet'!B36</f>
        <v>2</v>
      </c>
      <c r="D7" s="187"/>
      <c r="E7" s="187"/>
      <c r="F7" s="187"/>
      <c r="G7" s="187"/>
      <c r="H7" s="187"/>
      <c r="I7" s="187"/>
      <c r="J7" s="187"/>
      <c r="K7" s="187"/>
      <c r="L7" s="187"/>
      <c r="M7" s="187"/>
      <c r="N7" s="187"/>
      <c r="O7" s="187"/>
      <c r="P7" s="187"/>
      <c r="Q7" s="187"/>
      <c r="R7" s="187"/>
      <c r="S7" s="187"/>
      <c r="T7" s="187"/>
    </row>
    <row r="8" spans="1:20" s="49" customFormat="1" ht="17" thickBot="1">
      <c r="A8" s="187" t="s">
        <v>191</v>
      </c>
      <c r="B8" s="187"/>
      <c r="C8" s="187"/>
      <c r="D8" s="187"/>
      <c r="E8" s="187"/>
      <c r="F8" s="335">
        <f>IF('Input sheet'!B16="Yes",'Input sheet'!B11+'Operating lease converter'!F32,'Input sheet'!B11)</f>
        <v>71033</v>
      </c>
      <c r="G8" s="187" t="s">
        <v>192</v>
      </c>
      <c r="H8" s="187"/>
      <c r="I8" s="187"/>
      <c r="J8" s="187"/>
      <c r="K8" s="187"/>
      <c r="L8" s="187"/>
      <c r="M8" s="187"/>
      <c r="N8" s="187"/>
      <c r="O8" s="187"/>
      <c r="P8" s="187"/>
      <c r="Q8" s="187"/>
      <c r="R8" s="187"/>
      <c r="S8" s="187"/>
      <c r="T8" s="187"/>
    </row>
    <row r="9" spans="1:20" s="49" customFormat="1" ht="17" thickBot="1">
      <c r="A9" s="187" t="s">
        <v>193</v>
      </c>
      <c r="B9" s="187"/>
      <c r="C9" s="187"/>
      <c r="D9" s="187"/>
      <c r="E9" s="187"/>
      <c r="F9" s="336">
        <f>IF('Input sheet'!B16="Yes",'Cost of capital worksheet'!B31+'Operating lease converter'!C28*'Operating lease converter'!C15,'Cost of capital worksheet'!B31)</f>
        <v>249</v>
      </c>
      <c r="G9" s="187" t="s">
        <v>194</v>
      </c>
      <c r="H9" s="187"/>
      <c r="I9" s="187"/>
      <c r="J9" s="187"/>
      <c r="K9" s="187"/>
      <c r="L9" s="187"/>
      <c r="M9" s="187"/>
      <c r="N9" s="187"/>
      <c r="O9" s="187"/>
      <c r="P9" s="187"/>
      <c r="Q9" s="187"/>
      <c r="R9" s="187"/>
      <c r="S9" s="187"/>
      <c r="T9" s="187"/>
    </row>
    <row r="10" spans="1:20" s="49" customFormat="1" ht="17" thickBot="1">
      <c r="A10" s="187" t="s">
        <v>209</v>
      </c>
      <c r="B10" s="187"/>
      <c r="C10" s="187"/>
      <c r="D10" s="187"/>
      <c r="E10" s="187"/>
      <c r="F10" s="337">
        <f>'Input sheet'!B33</f>
        <v>4.7E-2</v>
      </c>
      <c r="G10" s="187"/>
      <c r="H10" s="187"/>
      <c r="I10" s="187"/>
      <c r="J10" s="187"/>
      <c r="K10" s="187"/>
      <c r="L10" s="187"/>
      <c r="M10" s="187"/>
      <c r="N10" s="187"/>
      <c r="O10" s="187"/>
      <c r="P10" s="187"/>
      <c r="Q10" s="187"/>
      <c r="R10" s="187"/>
      <c r="S10" s="187"/>
      <c r="T10" s="187"/>
    </row>
    <row r="11" spans="1:20" s="49" customFormat="1" ht="17" thickBot="1">
      <c r="A11" s="245" t="s">
        <v>104</v>
      </c>
      <c r="B11" s="187"/>
      <c r="C11" s="187"/>
      <c r="D11" s="187"/>
      <c r="E11" s="187"/>
      <c r="F11" s="187"/>
      <c r="G11" s="187"/>
      <c r="H11" s="187"/>
      <c r="I11" s="187"/>
      <c r="J11" s="187"/>
      <c r="K11" s="187"/>
      <c r="L11" s="187"/>
      <c r="M11" s="187"/>
      <c r="N11" s="187"/>
      <c r="O11" s="187"/>
      <c r="P11" s="187"/>
      <c r="Q11" s="187"/>
      <c r="R11" s="187"/>
      <c r="S11" s="187"/>
      <c r="T11" s="187"/>
    </row>
    <row r="12" spans="1:20" s="49" customFormat="1" ht="17" thickBot="1">
      <c r="A12" s="187" t="s">
        <v>195</v>
      </c>
      <c r="B12" s="187"/>
      <c r="C12" s="187"/>
      <c r="D12" s="338">
        <f>IF(F9=0,1000000,IF(F8&lt;0,-100000,F8/F9))</f>
        <v>285.27309236947792</v>
      </c>
      <c r="E12" s="187"/>
      <c r="F12" s="187"/>
      <c r="G12" s="187"/>
      <c r="H12" s="187"/>
      <c r="I12" s="187"/>
      <c r="J12" s="187"/>
      <c r="K12" s="187"/>
      <c r="L12" s="187"/>
      <c r="M12" s="187"/>
      <c r="N12" s="187"/>
      <c r="O12" s="187"/>
      <c r="P12" s="187"/>
      <c r="Q12" s="187"/>
      <c r="R12" s="187"/>
      <c r="S12" s="187"/>
      <c r="T12" s="187"/>
    </row>
    <row r="13" spans="1:20" s="49" customFormat="1" ht="17" thickBot="1">
      <c r="A13" s="187" t="s">
        <v>196</v>
      </c>
      <c r="B13" s="187"/>
      <c r="C13" s="187"/>
      <c r="D13" s="339" t="str">
        <f>IF(C7=1,VLOOKUP(D12,A22:D36,3),(IF(C7=2,VLOOKUP(D12,A41:D55,3),VLOOKUP(D12,F22:I36,3))))</f>
        <v>Aaa/AAA</v>
      </c>
      <c r="E13" s="187"/>
      <c r="F13" s="310" t="s">
        <v>197</v>
      </c>
      <c r="G13" s="187"/>
      <c r="H13" s="187"/>
      <c r="I13" s="187"/>
      <c r="J13" s="187"/>
      <c r="K13" s="187"/>
      <c r="L13" s="187"/>
      <c r="M13" s="187"/>
      <c r="N13" s="187"/>
      <c r="O13" s="187"/>
      <c r="P13" s="187"/>
      <c r="Q13" s="187"/>
      <c r="R13" s="187"/>
      <c r="S13" s="187"/>
      <c r="T13" s="187"/>
    </row>
    <row r="14" spans="1:20" s="49" customFormat="1" ht="17" thickBot="1">
      <c r="A14" s="187" t="s">
        <v>439</v>
      </c>
      <c r="B14" s="187"/>
      <c r="C14" s="187"/>
      <c r="D14" s="340">
        <f>IF(C7=1,VLOOKUP(D12,A22:D36,4),(IF(C7=2,VLOOKUP(D12,A41:D55,4),VLOOKUP(D12,F22:I36,4))))</f>
        <v>6.8999999999999999E-3</v>
      </c>
      <c r="E14" s="187"/>
      <c r="F14" s="310" t="s">
        <v>198</v>
      </c>
      <c r="G14" s="187"/>
      <c r="H14" s="187"/>
      <c r="I14" s="187"/>
      <c r="J14" s="187"/>
      <c r="K14" s="187"/>
      <c r="L14" s="187"/>
      <c r="M14" s="187"/>
      <c r="N14" s="187"/>
      <c r="O14" s="187"/>
      <c r="P14" s="187"/>
      <c r="Q14" s="187"/>
      <c r="R14" s="187"/>
      <c r="S14" s="187"/>
      <c r="T14" s="187"/>
    </row>
    <row r="15" spans="1:20" s="49" customFormat="1" ht="17" thickBot="1">
      <c r="A15" s="187" t="s">
        <v>440</v>
      </c>
      <c r="B15" s="187"/>
      <c r="C15" s="187"/>
      <c r="D15" s="340">
        <f>VLOOKUP('Input sheet'!B7,'Country equity risk premiums'!A5:C196,3)</f>
        <v>0</v>
      </c>
      <c r="E15" s="187"/>
      <c r="F15" s="310"/>
      <c r="G15" s="187"/>
      <c r="H15" s="187"/>
      <c r="I15" s="187"/>
      <c r="J15" s="187"/>
      <c r="K15" s="187"/>
      <c r="L15" s="187"/>
      <c r="M15" s="187"/>
      <c r="N15" s="187"/>
      <c r="O15" s="187"/>
      <c r="P15" s="187"/>
      <c r="Q15" s="187"/>
      <c r="R15" s="187"/>
      <c r="S15" s="187"/>
      <c r="T15" s="187"/>
    </row>
    <row r="16" spans="1:20" s="7" customFormat="1" ht="17" thickBot="1">
      <c r="A16" s="187" t="s">
        <v>199</v>
      </c>
      <c r="B16" s="187"/>
      <c r="C16" s="187"/>
      <c r="D16" s="341">
        <f>F10+D14+D15</f>
        <v>5.3900000000000003E-2</v>
      </c>
      <c r="E16" s="187"/>
      <c r="F16" s="187"/>
      <c r="G16" s="187"/>
      <c r="H16" s="187"/>
      <c r="I16" s="187"/>
      <c r="J16" s="187"/>
      <c r="K16" s="187"/>
      <c r="L16" s="187"/>
      <c r="M16" s="187"/>
      <c r="N16" s="187"/>
      <c r="O16" s="187"/>
      <c r="P16" s="187"/>
      <c r="Q16" s="187"/>
      <c r="R16" s="187"/>
      <c r="S16" s="187"/>
      <c r="T16" s="187"/>
    </row>
    <row r="17" spans="1:20" s="7" customFormat="1">
      <c r="A17" s="187"/>
      <c r="B17" s="187"/>
      <c r="C17" s="187"/>
      <c r="D17" s="342"/>
      <c r="E17" s="187"/>
      <c r="F17" s="187"/>
      <c r="G17" s="187"/>
      <c r="H17" s="187"/>
      <c r="I17" s="187"/>
      <c r="J17" s="187"/>
      <c r="K17" s="187"/>
      <c r="L17" s="187"/>
      <c r="M17" s="187"/>
      <c r="N17" s="187"/>
      <c r="O17" s="187"/>
      <c r="P17" s="187"/>
      <c r="Q17" s="187"/>
      <c r="R17" s="187"/>
      <c r="S17" s="187"/>
      <c r="T17" s="187"/>
    </row>
    <row r="18" spans="1:20" s="10" customFormat="1" ht="17" thickBot="1">
      <c r="A18" s="310" t="s">
        <v>200</v>
      </c>
      <c r="B18" s="310"/>
      <c r="C18" s="310"/>
      <c r="D18" s="343"/>
      <c r="E18" s="310"/>
      <c r="F18" s="310"/>
      <c r="G18" s="310"/>
      <c r="H18" s="310"/>
      <c r="I18" s="310"/>
      <c r="J18" s="310"/>
      <c r="K18" s="310"/>
      <c r="L18" s="310"/>
      <c r="M18" s="310"/>
      <c r="N18" s="310"/>
      <c r="O18" s="310"/>
      <c r="P18" s="310"/>
      <c r="Q18" s="310"/>
      <c r="R18" s="310"/>
      <c r="S18" s="310"/>
      <c r="T18" s="310"/>
    </row>
    <row r="19" spans="1:20" s="49" customFormat="1" ht="17" thickBot="1">
      <c r="A19" s="245" t="s">
        <v>201</v>
      </c>
      <c r="B19" s="187"/>
      <c r="C19" s="187"/>
      <c r="D19" s="187"/>
      <c r="E19" s="187"/>
      <c r="F19" s="187"/>
      <c r="G19" s="187"/>
      <c r="H19" s="187"/>
      <c r="I19" s="187"/>
      <c r="J19" s="643" t="s">
        <v>632</v>
      </c>
      <c r="K19" s="644"/>
      <c r="L19" s="644"/>
      <c r="M19" s="644"/>
      <c r="N19" s="644"/>
      <c r="O19" s="644"/>
      <c r="P19" s="644"/>
      <c r="Q19" s="644"/>
      <c r="R19" s="644"/>
      <c r="S19" s="644"/>
      <c r="T19" s="645"/>
    </row>
    <row r="20" spans="1:20" s="49" customFormat="1">
      <c r="A20" s="344" t="s">
        <v>202</v>
      </c>
      <c r="B20" s="344"/>
      <c r="C20" s="345"/>
      <c r="D20" s="345"/>
      <c r="E20" s="187"/>
      <c r="F20" s="187"/>
      <c r="G20" s="187"/>
      <c r="H20" s="187"/>
      <c r="I20" s="187"/>
      <c r="J20" s="330" t="s">
        <v>624</v>
      </c>
      <c r="K20" s="331">
        <v>1</v>
      </c>
      <c r="L20" s="331">
        <v>2</v>
      </c>
      <c r="M20" s="331">
        <v>3</v>
      </c>
      <c r="N20" s="331">
        <v>4</v>
      </c>
      <c r="O20" s="331">
        <v>5</v>
      </c>
      <c r="P20" s="331">
        <v>6</v>
      </c>
      <c r="Q20" s="331">
        <v>7</v>
      </c>
      <c r="R20" s="331">
        <v>8</v>
      </c>
      <c r="S20" s="331">
        <v>9</v>
      </c>
      <c r="T20" s="331">
        <v>10</v>
      </c>
    </row>
    <row r="21" spans="1:20" s="49" customFormat="1">
      <c r="A21" s="346" t="s">
        <v>203</v>
      </c>
      <c r="B21" s="346" t="s">
        <v>204</v>
      </c>
      <c r="C21" s="346" t="s">
        <v>205</v>
      </c>
      <c r="D21" s="346" t="s">
        <v>206</v>
      </c>
      <c r="E21" s="187"/>
      <c r="F21" s="187"/>
      <c r="G21" s="187"/>
      <c r="H21" s="187"/>
      <c r="I21" s="187"/>
      <c r="J21" s="332" t="s">
        <v>625</v>
      </c>
      <c r="K21" s="333">
        <v>0</v>
      </c>
      <c r="L21" s="333">
        <v>2.9999999999999997E-4</v>
      </c>
      <c r="M21" s="333">
        <v>1.2999999999999999E-3</v>
      </c>
      <c r="N21" s="333">
        <v>2.3999999999999998E-3</v>
      </c>
      <c r="O21" s="333">
        <v>3.4999999999999996E-3</v>
      </c>
      <c r="P21" s="333">
        <v>4.5000000000000005E-3</v>
      </c>
      <c r="Q21" s="333">
        <v>5.1000000000000004E-3</v>
      </c>
      <c r="R21" s="333">
        <v>5.8999999999999999E-3</v>
      </c>
      <c r="S21" s="333">
        <v>6.4000000000000003E-3</v>
      </c>
      <c r="T21" s="333">
        <v>6.9999999999999993E-3</v>
      </c>
    </row>
    <row r="22" spans="1:20" s="49" customFormat="1">
      <c r="A22" s="314">
        <v>-100000</v>
      </c>
      <c r="B22" s="314">
        <v>0.19999900000000001</v>
      </c>
      <c r="C22" s="314" t="s">
        <v>423</v>
      </c>
      <c r="D22" s="347">
        <v>0.2</v>
      </c>
      <c r="E22" s="187"/>
      <c r="F22" s="187"/>
      <c r="G22" s="187"/>
      <c r="H22" s="187"/>
      <c r="I22" s="187"/>
      <c r="J22" s="332" t="s">
        <v>626</v>
      </c>
      <c r="K22" s="333">
        <v>2.0000000000000001E-4</v>
      </c>
      <c r="L22" s="333">
        <v>5.9999999999999995E-4</v>
      </c>
      <c r="M22" s="333">
        <v>1.1999999999999999E-3</v>
      </c>
      <c r="N22" s="333">
        <v>2.0999999999999999E-3</v>
      </c>
      <c r="O22" s="333">
        <v>3.0999999999999999E-3</v>
      </c>
      <c r="P22" s="333">
        <v>4.1999999999999997E-3</v>
      </c>
      <c r="Q22" s="333">
        <v>5.0000000000000001E-3</v>
      </c>
      <c r="R22" s="333">
        <v>5.7999999999999996E-3</v>
      </c>
      <c r="S22" s="333">
        <v>6.5000000000000006E-3</v>
      </c>
      <c r="T22" s="333">
        <v>7.1999999999999998E-3</v>
      </c>
    </row>
    <row r="23" spans="1:20" s="49" customFormat="1">
      <c r="A23" s="314">
        <v>0.2</v>
      </c>
      <c r="B23" s="314">
        <v>0.64999899999999999</v>
      </c>
      <c r="C23" s="314" t="s">
        <v>426</v>
      </c>
      <c r="D23" s="347">
        <v>0.17499999999999999</v>
      </c>
      <c r="E23" s="187"/>
      <c r="F23" s="314"/>
      <c r="G23" s="187"/>
      <c r="H23" s="187"/>
      <c r="I23" s="187"/>
      <c r="J23" s="332" t="s">
        <v>627</v>
      </c>
      <c r="K23" s="333">
        <v>5.0000000000000001E-4</v>
      </c>
      <c r="L23" s="333">
        <v>1.4000000000000002E-3</v>
      </c>
      <c r="M23" s="333">
        <v>2.3E-3</v>
      </c>
      <c r="N23" s="333">
        <v>3.4999999999999996E-3</v>
      </c>
      <c r="O23" s="333">
        <v>4.6999999999999993E-3</v>
      </c>
      <c r="P23" s="333">
        <v>6.1999999999999998E-3</v>
      </c>
      <c r="Q23" s="333">
        <v>7.9000000000000008E-3</v>
      </c>
      <c r="R23" s="333">
        <v>9.300000000000001E-3</v>
      </c>
      <c r="S23" s="333">
        <v>1.0800000000000001E-2</v>
      </c>
      <c r="T23" s="333">
        <v>1.24E-2</v>
      </c>
    </row>
    <row r="24" spans="1:20" s="49" customFormat="1">
      <c r="A24" s="314">
        <v>0.65</v>
      </c>
      <c r="B24" s="314">
        <v>0.79999900000000002</v>
      </c>
      <c r="C24" s="314" t="s">
        <v>425</v>
      </c>
      <c r="D24" s="347">
        <v>0.1578</v>
      </c>
      <c r="E24" s="187"/>
      <c r="F24" s="187"/>
      <c r="G24" s="187"/>
      <c r="H24" s="187"/>
      <c r="I24" s="187"/>
      <c r="J24" s="332" t="s">
        <v>628</v>
      </c>
      <c r="K24" s="333">
        <v>1.6000000000000001E-3</v>
      </c>
      <c r="L24" s="333">
        <v>4.5000000000000005E-3</v>
      </c>
      <c r="M24" s="333">
        <v>7.8000000000000005E-3</v>
      </c>
      <c r="N24" s="333">
        <v>1.1699999999999999E-2</v>
      </c>
      <c r="O24" s="333">
        <v>1.5800000000000002E-2</v>
      </c>
      <c r="P24" s="333">
        <v>1.9799999999999998E-2</v>
      </c>
      <c r="Q24" s="333">
        <v>2.3300000000000001E-2</v>
      </c>
      <c r="R24" s="333">
        <v>2.6699999999999998E-2</v>
      </c>
      <c r="S24" s="333">
        <v>0.03</v>
      </c>
      <c r="T24" s="333">
        <v>3.32E-2</v>
      </c>
    </row>
    <row r="25" spans="1:20" s="49" customFormat="1">
      <c r="A25" s="314">
        <v>0.8</v>
      </c>
      <c r="B25" s="314">
        <v>1.2499990000000001</v>
      </c>
      <c r="C25" s="314" t="s">
        <v>424</v>
      </c>
      <c r="D25" s="347">
        <v>0.1157</v>
      </c>
      <c r="E25" s="187"/>
      <c r="F25" s="187"/>
      <c r="G25" s="187"/>
      <c r="H25" s="187"/>
      <c r="I25" s="187"/>
      <c r="J25" s="332" t="s">
        <v>629</v>
      </c>
      <c r="K25" s="333">
        <v>6.0999999999999995E-3</v>
      </c>
      <c r="L25" s="333">
        <v>1.9199999999999998E-2</v>
      </c>
      <c r="M25" s="333">
        <v>3.4799999999999998E-2</v>
      </c>
      <c r="N25" s="333">
        <v>5.0499999999999996E-2</v>
      </c>
      <c r="O25" s="333">
        <v>6.5199999999999994E-2</v>
      </c>
      <c r="P25" s="333">
        <v>7.85E-2</v>
      </c>
      <c r="Q25" s="333">
        <v>9.01E-2</v>
      </c>
      <c r="R25" s="333">
        <v>0.10039999999999999</v>
      </c>
      <c r="S25" s="333">
        <v>0.10970000000000001</v>
      </c>
      <c r="T25" s="333">
        <v>0.11779999999999999</v>
      </c>
    </row>
    <row r="26" spans="1:20" s="49" customFormat="1">
      <c r="A26" s="314">
        <v>1.25</v>
      </c>
      <c r="B26" s="314">
        <v>1.4999990000000001</v>
      </c>
      <c r="C26" s="314" t="s">
        <v>427</v>
      </c>
      <c r="D26" s="347">
        <v>7.3700000000000002E-2</v>
      </c>
      <c r="E26" s="187"/>
      <c r="F26" s="187"/>
      <c r="G26" s="187"/>
      <c r="H26" s="187"/>
      <c r="I26" s="187"/>
      <c r="J26" s="332" t="s">
        <v>84</v>
      </c>
      <c r="K26" s="333">
        <v>3.3300000000000003E-2</v>
      </c>
      <c r="L26" s="333">
        <v>7.7100000000000002E-2</v>
      </c>
      <c r="M26" s="333">
        <v>0.11550000000000001</v>
      </c>
      <c r="N26" s="333">
        <v>0.14580000000000001</v>
      </c>
      <c r="O26" s="333">
        <v>0.16930000000000001</v>
      </c>
      <c r="P26" s="333">
        <v>0.1883</v>
      </c>
      <c r="Q26" s="333">
        <v>0.2036</v>
      </c>
      <c r="R26" s="333">
        <v>0.21600000000000003</v>
      </c>
      <c r="S26" s="333">
        <v>0.22699999999999998</v>
      </c>
      <c r="T26" s="333">
        <v>0.23739999999999997</v>
      </c>
    </row>
    <row r="27" spans="1:20" s="49" customFormat="1">
      <c r="A27" s="314">
        <v>1.5</v>
      </c>
      <c r="B27" s="314">
        <v>1.7499990000000001</v>
      </c>
      <c r="C27" s="314" t="s">
        <v>428</v>
      </c>
      <c r="D27" s="347">
        <v>5.2600000000000001E-2</v>
      </c>
      <c r="E27" s="187"/>
      <c r="F27" s="187"/>
      <c r="G27" s="187"/>
      <c r="H27" s="187"/>
      <c r="I27" s="187"/>
      <c r="J27" s="332" t="s">
        <v>630</v>
      </c>
      <c r="K27" s="333">
        <v>0.27079999999999999</v>
      </c>
      <c r="L27" s="333">
        <v>0.3664</v>
      </c>
      <c r="M27" s="333">
        <v>0.41409999999999997</v>
      </c>
      <c r="N27" s="333">
        <v>0.441</v>
      </c>
      <c r="O27" s="333">
        <v>0.46189999999999998</v>
      </c>
      <c r="P27" s="333">
        <v>0.47090000000000004</v>
      </c>
      <c r="Q27" s="333">
        <v>0.48259999999999997</v>
      </c>
      <c r="R27" s="333">
        <v>0.49049999999999999</v>
      </c>
      <c r="S27" s="333">
        <v>0.49759999999999999</v>
      </c>
      <c r="T27" s="333">
        <v>0.50380000000000003</v>
      </c>
    </row>
    <row r="28" spans="1:20" s="49" customFormat="1">
      <c r="A28" s="314">
        <v>1.75</v>
      </c>
      <c r="B28" s="314">
        <v>1.9999990000000001</v>
      </c>
      <c r="C28" s="314" t="s">
        <v>429</v>
      </c>
      <c r="D28" s="347">
        <v>4.5499999999999999E-2</v>
      </c>
      <c r="E28" s="187"/>
      <c r="F28" s="187"/>
      <c r="G28" s="187"/>
      <c r="H28" s="187"/>
      <c r="I28" s="187"/>
      <c r="J28" s="187"/>
      <c r="K28" s="187"/>
      <c r="L28" s="187"/>
      <c r="M28" s="187"/>
      <c r="N28" s="187"/>
      <c r="O28" s="187"/>
      <c r="P28" s="187"/>
      <c r="Q28" s="187"/>
      <c r="R28" s="187"/>
      <c r="S28" s="187"/>
      <c r="T28" s="187"/>
    </row>
    <row r="29" spans="1:20" s="49" customFormat="1">
      <c r="A29" s="314">
        <v>2</v>
      </c>
      <c r="B29" s="314">
        <v>2.2499999000000002</v>
      </c>
      <c r="C29" s="314" t="s">
        <v>430</v>
      </c>
      <c r="D29" s="347">
        <v>3.1300000000000001E-2</v>
      </c>
      <c r="E29" s="187"/>
      <c r="F29" s="187"/>
      <c r="G29" s="187"/>
      <c r="H29" s="187"/>
      <c r="I29" s="187"/>
      <c r="J29" s="187"/>
      <c r="K29" s="187"/>
      <c r="L29" s="187"/>
      <c r="M29" s="187"/>
      <c r="N29" s="187"/>
      <c r="O29" s="187"/>
      <c r="P29" s="187"/>
      <c r="Q29" s="187"/>
      <c r="R29" s="187"/>
      <c r="S29" s="187"/>
      <c r="T29" s="187"/>
    </row>
    <row r="30" spans="1:20" s="49" customFormat="1">
      <c r="A30" s="314">
        <v>2.25</v>
      </c>
      <c r="B30" s="314">
        <v>2.4999899999999999</v>
      </c>
      <c r="C30" s="314" t="s">
        <v>431</v>
      </c>
      <c r="D30" s="347">
        <v>2.4199999999999999E-2</v>
      </c>
      <c r="E30" s="187"/>
      <c r="F30" s="187"/>
      <c r="G30" s="187"/>
      <c r="H30" s="187"/>
      <c r="I30" s="187"/>
      <c r="J30" s="187"/>
      <c r="K30" s="187"/>
      <c r="L30" s="187"/>
      <c r="M30" s="187"/>
      <c r="N30" s="187"/>
      <c r="O30" s="187"/>
      <c r="P30" s="187"/>
      <c r="Q30" s="187"/>
      <c r="R30" s="187"/>
      <c r="S30" s="187"/>
      <c r="T30" s="187"/>
    </row>
    <row r="31" spans="1:20" s="49" customFormat="1">
      <c r="A31" s="314">
        <v>2.5</v>
      </c>
      <c r="B31" s="314">
        <v>2.9999989999999999</v>
      </c>
      <c r="C31" s="314" t="s">
        <v>432</v>
      </c>
      <c r="D31" s="347">
        <v>0.02</v>
      </c>
      <c r="E31" s="187"/>
      <c r="F31" s="187"/>
      <c r="G31" s="187"/>
      <c r="H31" s="187"/>
      <c r="I31" s="187"/>
      <c r="J31" s="187"/>
      <c r="K31" s="187"/>
      <c r="L31" s="187"/>
      <c r="M31" s="187"/>
      <c r="N31" s="187"/>
      <c r="O31" s="187"/>
      <c r="P31" s="187"/>
      <c r="Q31" s="187"/>
      <c r="R31" s="187"/>
      <c r="S31" s="187"/>
      <c r="T31" s="187"/>
    </row>
    <row r="32" spans="1:20" s="49" customFormat="1">
      <c r="A32" s="314">
        <v>3</v>
      </c>
      <c r="B32" s="314">
        <v>4.2499989999999999</v>
      </c>
      <c r="C32" s="314" t="s">
        <v>433</v>
      </c>
      <c r="D32" s="347">
        <v>1.6199999999999999E-2</v>
      </c>
      <c r="E32" s="187"/>
      <c r="F32" s="187"/>
      <c r="G32" s="187"/>
      <c r="H32" s="187"/>
      <c r="I32" s="187"/>
      <c r="J32" s="187"/>
      <c r="K32" s="187"/>
      <c r="L32" s="187"/>
      <c r="M32" s="187"/>
      <c r="N32" s="187"/>
      <c r="O32" s="187"/>
      <c r="P32" s="187"/>
      <c r="Q32" s="187"/>
      <c r="R32" s="187"/>
      <c r="S32" s="187"/>
      <c r="T32" s="187"/>
    </row>
    <row r="33" spans="1:20" s="49" customFormat="1">
      <c r="A33" s="314">
        <v>4.25</v>
      </c>
      <c r="B33" s="314">
        <v>5.4999989999999999</v>
      </c>
      <c r="C33" s="314" t="s">
        <v>434</v>
      </c>
      <c r="D33" s="347">
        <v>1.4200000000000001E-2</v>
      </c>
      <c r="E33" s="187"/>
      <c r="F33" s="187"/>
      <c r="G33" s="187"/>
      <c r="H33" s="187"/>
      <c r="I33" s="187"/>
      <c r="J33" s="187"/>
      <c r="K33" s="187"/>
      <c r="L33" s="187"/>
      <c r="M33" s="187"/>
      <c r="N33" s="187"/>
      <c r="O33" s="187"/>
      <c r="P33" s="187"/>
      <c r="Q33" s="187"/>
      <c r="R33" s="187"/>
      <c r="S33" s="187"/>
      <c r="T33" s="187"/>
    </row>
    <row r="34" spans="1:20" s="49" customFormat="1">
      <c r="A34" s="314">
        <v>5.5</v>
      </c>
      <c r="B34" s="314">
        <v>6.4999989999999999</v>
      </c>
      <c r="C34" s="314" t="s">
        <v>435</v>
      </c>
      <c r="D34" s="347">
        <v>1.23E-2</v>
      </c>
      <c r="E34" s="187"/>
      <c r="F34" s="187"/>
      <c r="G34" s="187"/>
      <c r="H34" s="187"/>
      <c r="I34" s="187"/>
      <c r="J34" s="187"/>
      <c r="K34" s="187"/>
      <c r="L34" s="187"/>
      <c r="M34" s="187"/>
      <c r="N34" s="187"/>
      <c r="O34" s="187"/>
      <c r="P34" s="187"/>
      <c r="Q34" s="187"/>
      <c r="R34" s="187"/>
      <c r="S34" s="187"/>
      <c r="T34" s="187"/>
    </row>
    <row r="35" spans="1:20" s="49" customFormat="1">
      <c r="A35" s="314">
        <v>6.5</v>
      </c>
      <c r="B35" s="314">
        <v>8.4999990000000007</v>
      </c>
      <c r="C35" s="314" t="s">
        <v>436</v>
      </c>
      <c r="D35" s="347">
        <v>8.5000000000000006E-3</v>
      </c>
      <c r="E35" s="187"/>
      <c r="F35" s="187"/>
      <c r="G35" s="187"/>
      <c r="H35" s="187"/>
      <c r="I35" s="187"/>
      <c r="J35" s="187"/>
      <c r="K35" s="187"/>
      <c r="L35" s="187"/>
      <c r="M35" s="187"/>
      <c r="N35" s="187"/>
      <c r="O35" s="187"/>
      <c r="P35" s="187"/>
      <c r="Q35" s="187"/>
      <c r="R35" s="187"/>
      <c r="S35" s="187"/>
      <c r="T35" s="187"/>
    </row>
    <row r="36" spans="1:20" s="49" customFormat="1">
      <c r="A36" s="348">
        <v>8.5</v>
      </c>
      <c r="B36" s="314">
        <v>100000</v>
      </c>
      <c r="C36" s="314" t="s">
        <v>437</v>
      </c>
      <c r="D36" s="347">
        <v>6.8999999999999999E-3</v>
      </c>
      <c r="E36" s="187"/>
      <c r="F36" s="187"/>
      <c r="G36" s="187"/>
      <c r="H36" s="187"/>
      <c r="I36" s="187"/>
      <c r="J36" s="187"/>
      <c r="K36" s="187"/>
      <c r="L36" s="187"/>
      <c r="M36" s="187"/>
      <c r="N36" s="187"/>
      <c r="O36" s="187"/>
      <c r="P36" s="187"/>
      <c r="Q36" s="187"/>
      <c r="R36" s="187"/>
      <c r="S36" s="187"/>
      <c r="T36" s="187"/>
    </row>
    <row r="37" spans="1:20" s="49" customFormat="1">
      <c r="A37" s="187"/>
      <c r="B37" s="187"/>
      <c r="C37" s="187"/>
      <c r="D37" s="187"/>
      <c r="E37" s="187"/>
      <c r="F37" s="187"/>
      <c r="G37" s="187"/>
      <c r="H37" s="187"/>
      <c r="I37" s="187"/>
      <c r="J37" s="187"/>
      <c r="K37" s="187"/>
      <c r="L37" s="187"/>
      <c r="M37" s="187"/>
      <c r="N37" s="187"/>
      <c r="O37" s="187"/>
      <c r="P37" s="187"/>
      <c r="Q37" s="187"/>
      <c r="R37" s="187"/>
      <c r="S37" s="187"/>
      <c r="T37" s="187"/>
    </row>
    <row r="38" spans="1:20" s="49" customFormat="1">
      <c r="A38" s="245" t="s">
        <v>208</v>
      </c>
      <c r="B38" s="187"/>
      <c r="C38" s="187"/>
      <c r="D38" s="187"/>
      <c r="E38" s="187"/>
      <c r="F38" s="187"/>
      <c r="G38" s="187"/>
      <c r="H38" s="187"/>
      <c r="I38" s="187"/>
      <c r="J38" s="187"/>
      <c r="K38" s="187"/>
      <c r="L38" s="187"/>
      <c r="M38" s="187"/>
      <c r="N38" s="187"/>
      <c r="O38" s="187"/>
      <c r="P38" s="187"/>
      <c r="Q38" s="187"/>
      <c r="R38" s="187"/>
      <c r="S38" s="187"/>
      <c r="T38" s="187"/>
    </row>
    <row r="39" spans="1:20" s="49" customFormat="1">
      <c r="A39" s="344" t="s">
        <v>202</v>
      </c>
      <c r="B39" s="349"/>
      <c r="C39" s="314"/>
      <c r="D39" s="314"/>
      <c r="E39" s="187"/>
      <c r="F39" s="187"/>
      <c r="G39" s="187"/>
      <c r="H39" s="187"/>
      <c r="I39" s="187"/>
      <c r="J39" s="187"/>
      <c r="K39" s="187"/>
      <c r="L39" s="187"/>
      <c r="M39" s="187"/>
      <c r="N39" s="187"/>
      <c r="O39" s="187"/>
      <c r="P39" s="187"/>
      <c r="Q39" s="187"/>
      <c r="R39" s="187"/>
      <c r="S39" s="187"/>
      <c r="T39" s="187"/>
    </row>
    <row r="40" spans="1:20" s="49" customFormat="1">
      <c r="A40" s="314" t="s">
        <v>207</v>
      </c>
      <c r="B40" s="314" t="s">
        <v>204</v>
      </c>
      <c r="C40" s="314" t="s">
        <v>205</v>
      </c>
      <c r="D40" s="314" t="s">
        <v>206</v>
      </c>
      <c r="E40" s="187"/>
      <c r="F40" s="187"/>
      <c r="G40" s="187"/>
      <c r="H40" s="187"/>
      <c r="I40" s="187"/>
      <c r="J40" s="187"/>
      <c r="K40" s="187"/>
      <c r="L40" s="187"/>
      <c r="M40" s="187"/>
      <c r="N40" s="187"/>
      <c r="O40" s="187"/>
      <c r="P40" s="187"/>
      <c r="Q40" s="187"/>
      <c r="R40" s="187"/>
      <c r="S40" s="187"/>
      <c r="T40" s="187"/>
    </row>
    <row r="41" spans="1:20" s="49" customFormat="1">
      <c r="A41" s="314">
        <v>-100000</v>
      </c>
      <c r="B41" s="314">
        <v>0.49999900000000003</v>
      </c>
      <c r="C41" s="314" t="s">
        <v>423</v>
      </c>
      <c r="D41" s="347">
        <v>0.2</v>
      </c>
      <c r="E41" s="187"/>
      <c r="F41" s="187"/>
      <c r="G41" s="346" t="s">
        <v>205</v>
      </c>
      <c r="H41" s="346" t="s">
        <v>206</v>
      </c>
      <c r="I41" s="187"/>
      <c r="J41" s="187"/>
      <c r="K41" s="187"/>
      <c r="L41" s="187"/>
      <c r="M41" s="187"/>
      <c r="N41" s="187"/>
      <c r="O41" s="187"/>
      <c r="P41" s="187"/>
      <c r="Q41" s="187"/>
      <c r="R41" s="187"/>
      <c r="S41" s="187"/>
      <c r="T41" s="187"/>
    </row>
    <row r="42" spans="1:20" s="49" customFormat="1">
      <c r="A42" s="314">
        <v>0.5</v>
      </c>
      <c r="B42" s="314">
        <v>0.79999900000000002</v>
      </c>
      <c r="C42" s="314" t="s">
        <v>426</v>
      </c>
      <c r="D42" s="347">
        <v>0.17499999999999999</v>
      </c>
      <c r="E42" s="187"/>
      <c r="F42" s="187"/>
      <c r="G42" s="314" t="s">
        <v>435</v>
      </c>
      <c r="H42" s="347">
        <v>1.23E-2</v>
      </c>
      <c r="I42" s="187"/>
      <c r="J42" s="187"/>
      <c r="K42" s="187"/>
      <c r="L42" s="187"/>
      <c r="M42" s="187"/>
      <c r="N42" s="187"/>
      <c r="O42" s="187"/>
      <c r="P42" s="187"/>
      <c r="Q42" s="187"/>
      <c r="R42" s="187"/>
      <c r="S42" s="187"/>
      <c r="T42" s="187"/>
    </row>
    <row r="43" spans="1:20" s="49" customFormat="1">
      <c r="A43" s="314">
        <v>0.8</v>
      </c>
      <c r="B43" s="314">
        <v>1.2499990000000001</v>
      </c>
      <c r="C43" s="314" t="s">
        <v>425</v>
      </c>
      <c r="D43" s="347">
        <v>0.1578</v>
      </c>
      <c r="E43" s="187"/>
      <c r="F43" s="187"/>
      <c r="G43" s="314" t="s">
        <v>434</v>
      </c>
      <c r="H43" s="347">
        <v>1.4200000000000001E-2</v>
      </c>
      <c r="I43" s="187"/>
      <c r="J43" s="187"/>
      <c r="K43" s="187"/>
      <c r="L43" s="187"/>
      <c r="M43" s="187"/>
      <c r="N43" s="187"/>
      <c r="O43" s="187"/>
      <c r="P43" s="187"/>
      <c r="Q43" s="187"/>
      <c r="R43" s="187"/>
      <c r="S43" s="187"/>
      <c r="T43" s="187"/>
    </row>
    <row r="44" spans="1:20" s="49" customFormat="1">
      <c r="A44" s="314">
        <v>1.25</v>
      </c>
      <c r="B44" s="314">
        <v>1.4999990000000001</v>
      </c>
      <c r="C44" s="314" t="s">
        <v>424</v>
      </c>
      <c r="D44" s="347">
        <v>0.1157</v>
      </c>
      <c r="E44" s="187"/>
      <c r="F44" s="187"/>
      <c r="G44" s="314" t="s">
        <v>433</v>
      </c>
      <c r="H44" s="347">
        <v>1.6199999999999999E-2</v>
      </c>
      <c r="I44" s="187"/>
      <c r="J44" s="187"/>
      <c r="K44" s="187"/>
      <c r="L44" s="187"/>
      <c r="M44" s="187"/>
      <c r="N44" s="187"/>
      <c r="O44" s="187"/>
      <c r="P44" s="187"/>
      <c r="Q44" s="187"/>
      <c r="R44" s="187"/>
      <c r="S44" s="187"/>
      <c r="T44" s="187"/>
    </row>
    <row r="45" spans="1:20" s="49" customFormat="1">
      <c r="A45" s="314">
        <v>1.5</v>
      </c>
      <c r="B45" s="314">
        <v>1.9999990000000001</v>
      </c>
      <c r="C45" s="314" t="s">
        <v>427</v>
      </c>
      <c r="D45" s="347">
        <v>7.3700000000000002E-2</v>
      </c>
      <c r="E45" s="187"/>
      <c r="F45" s="187"/>
      <c r="G45" s="314" t="s">
        <v>436</v>
      </c>
      <c r="H45" s="347">
        <v>8.5000000000000006E-3</v>
      </c>
      <c r="I45" s="187"/>
      <c r="J45" s="187"/>
      <c r="K45" s="187"/>
      <c r="L45" s="187"/>
      <c r="M45" s="187"/>
      <c r="N45" s="187"/>
      <c r="O45" s="187"/>
      <c r="P45" s="187"/>
      <c r="Q45" s="187"/>
      <c r="R45" s="187"/>
      <c r="S45" s="187"/>
      <c r="T45" s="187"/>
    </row>
    <row r="46" spans="1:20" s="49" customFormat="1">
      <c r="A46" s="314">
        <v>2</v>
      </c>
      <c r="B46" s="314">
        <v>2.4999989999999999</v>
      </c>
      <c r="C46" s="314" t="s">
        <v>428</v>
      </c>
      <c r="D46" s="347">
        <v>5.2600000000000001E-2</v>
      </c>
      <c r="E46" s="187"/>
      <c r="F46" s="187"/>
      <c r="G46" s="314" t="s">
        <v>437</v>
      </c>
      <c r="H46" s="347">
        <v>6.8999999999999999E-3</v>
      </c>
      <c r="I46" s="187"/>
      <c r="J46" s="187"/>
      <c r="K46" s="187"/>
      <c r="L46" s="187"/>
      <c r="M46" s="187"/>
      <c r="N46" s="187"/>
      <c r="O46" s="187"/>
      <c r="P46" s="187"/>
      <c r="Q46" s="187"/>
      <c r="R46" s="187"/>
      <c r="S46" s="187"/>
      <c r="T46" s="187"/>
    </row>
    <row r="47" spans="1:20" s="49" customFormat="1">
      <c r="A47" s="314">
        <v>2.5</v>
      </c>
      <c r="B47" s="314">
        <v>2.9999989999999999</v>
      </c>
      <c r="C47" s="314" t="s">
        <v>429</v>
      </c>
      <c r="D47" s="347">
        <v>4.5499999999999999E-2</v>
      </c>
      <c r="E47" s="187"/>
      <c r="F47" s="187"/>
      <c r="G47" s="314" t="s">
        <v>429</v>
      </c>
      <c r="H47" s="347">
        <v>4.5499999999999999E-2</v>
      </c>
      <c r="I47" s="187"/>
      <c r="J47" s="187"/>
      <c r="K47" s="187"/>
      <c r="L47" s="187"/>
      <c r="M47" s="187"/>
      <c r="N47" s="187"/>
      <c r="O47" s="187"/>
      <c r="P47" s="187"/>
      <c r="Q47" s="187"/>
      <c r="R47" s="187"/>
      <c r="S47" s="187"/>
      <c r="T47" s="187"/>
    </row>
    <row r="48" spans="1:20" s="49" customFormat="1">
      <c r="A48" s="314">
        <v>3</v>
      </c>
      <c r="B48" s="314">
        <v>3.4999989999999999</v>
      </c>
      <c r="C48" s="314" t="s">
        <v>430</v>
      </c>
      <c r="D48" s="347">
        <v>3.1300000000000001E-2</v>
      </c>
      <c r="E48" s="187"/>
      <c r="F48" s="187"/>
      <c r="G48" s="314" t="s">
        <v>428</v>
      </c>
      <c r="H48" s="347">
        <v>5.2600000000000001E-2</v>
      </c>
      <c r="I48" s="187"/>
      <c r="J48" s="187"/>
      <c r="K48" s="187"/>
      <c r="L48" s="187"/>
      <c r="M48" s="187"/>
      <c r="N48" s="187"/>
      <c r="O48" s="187"/>
      <c r="P48" s="187"/>
      <c r="Q48" s="187"/>
      <c r="R48" s="187"/>
      <c r="S48" s="187"/>
      <c r="T48" s="187"/>
    </row>
    <row r="49" spans="1:25" s="49" customFormat="1">
      <c r="A49" s="314">
        <v>3.5</v>
      </c>
      <c r="B49" s="314">
        <v>3.9999999000000002</v>
      </c>
      <c r="C49" s="314" t="s">
        <v>431</v>
      </c>
      <c r="D49" s="347">
        <v>2.4199999999999999E-2</v>
      </c>
      <c r="E49" s="187"/>
      <c r="F49" s="187"/>
      <c r="G49" s="314" t="s">
        <v>427</v>
      </c>
      <c r="H49" s="347">
        <v>7.3700000000000002E-2</v>
      </c>
      <c r="I49" s="187"/>
      <c r="J49" s="187"/>
      <c r="K49" s="187"/>
      <c r="L49" s="187"/>
      <c r="M49" s="187"/>
      <c r="N49" s="187"/>
      <c r="O49" s="187"/>
      <c r="P49" s="187"/>
      <c r="Q49" s="187"/>
      <c r="R49" s="187"/>
      <c r="S49" s="187"/>
      <c r="T49" s="187"/>
    </row>
    <row r="50" spans="1:25" s="49" customFormat="1">
      <c r="A50" s="314">
        <v>4</v>
      </c>
      <c r="B50" s="314">
        <v>4.4999989999999999</v>
      </c>
      <c r="C50" s="314" t="s">
        <v>432</v>
      </c>
      <c r="D50" s="347">
        <v>0.02</v>
      </c>
      <c r="E50" s="187"/>
      <c r="F50" s="187"/>
      <c r="G50" s="314" t="s">
        <v>431</v>
      </c>
      <c r="H50" s="347">
        <v>2.4199999999999999E-2</v>
      </c>
      <c r="I50" s="187"/>
      <c r="J50" s="187"/>
      <c r="K50" s="187"/>
      <c r="L50" s="187"/>
      <c r="M50" s="187"/>
      <c r="N50" s="187"/>
      <c r="O50" s="187"/>
      <c r="P50" s="187"/>
      <c r="Q50" s="187"/>
      <c r="R50" s="187"/>
      <c r="S50" s="187"/>
      <c r="T50" s="187"/>
    </row>
    <row r="51" spans="1:25" s="49" customFormat="1">
      <c r="A51" s="314">
        <v>4.5</v>
      </c>
      <c r="B51" s="314">
        <v>5.9999989999999999</v>
      </c>
      <c r="C51" s="314" t="s">
        <v>433</v>
      </c>
      <c r="D51" s="347">
        <v>1.6199999999999999E-2</v>
      </c>
      <c r="E51" s="187"/>
      <c r="F51" s="187"/>
      <c r="G51" s="314" t="s">
        <v>430</v>
      </c>
      <c r="H51" s="347">
        <v>3.1300000000000001E-2</v>
      </c>
      <c r="I51" s="187"/>
      <c r="J51" s="187"/>
      <c r="K51" s="187"/>
      <c r="L51" s="187"/>
      <c r="M51" s="187"/>
      <c r="N51" s="187"/>
      <c r="O51" s="187"/>
      <c r="P51" s="187"/>
      <c r="Q51" s="187"/>
      <c r="R51" s="187"/>
      <c r="S51" s="187"/>
      <c r="T51" s="187"/>
    </row>
    <row r="52" spans="1:25" s="49" customFormat="1">
      <c r="A52" s="314">
        <v>6</v>
      </c>
      <c r="B52" s="314">
        <v>7.4999989999999999</v>
      </c>
      <c r="C52" s="314" t="s">
        <v>434</v>
      </c>
      <c r="D52" s="347">
        <v>1.4200000000000001E-2</v>
      </c>
      <c r="E52" s="187"/>
      <c r="F52" s="187"/>
      <c r="G52" s="314" t="s">
        <v>432</v>
      </c>
      <c r="H52" s="347">
        <v>0.02</v>
      </c>
      <c r="I52" s="187"/>
      <c r="J52" s="187"/>
      <c r="K52" s="187"/>
      <c r="L52" s="187"/>
      <c r="M52" s="187"/>
      <c r="N52" s="187"/>
      <c r="O52" s="187"/>
      <c r="P52" s="187"/>
      <c r="Q52" s="187"/>
      <c r="R52" s="187"/>
      <c r="S52" s="187"/>
      <c r="T52" s="187"/>
    </row>
    <row r="53" spans="1:25" s="49" customFormat="1">
      <c r="A53" s="314">
        <v>7.5</v>
      </c>
      <c r="B53" s="314">
        <v>9.4999990000000007</v>
      </c>
      <c r="C53" s="314" t="s">
        <v>435</v>
      </c>
      <c r="D53" s="347">
        <v>1.23E-2</v>
      </c>
      <c r="E53" s="187"/>
      <c r="F53" s="187"/>
      <c r="G53" s="314" t="s">
        <v>426</v>
      </c>
      <c r="H53" s="347">
        <v>0.17499999999999999</v>
      </c>
      <c r="I53" s="187"/>
      <c r="J53" s="187"/>
      <c r="K53" s="187"/>
      <c r="L53" s="187"/>
      <c r="M53" s="187"/>
      <c r="N53" s="187"/>
      <c r="O53" s="187"/>
      <c r="P53" s="187"/>
      <c r="Q53" s="187"/>
      <c r="R53" s="187"/>
      <c r="S53" s="187"/>
      <c r="T53" s="187"/>
    </row>
    <row r="54" spans="1:25">
      <c r="A54" s="314">
        <v>9.5</v>
      </c>
      <c r="B54" s="314">
        <v>12.499999000000001</v>
      </c>
      <c r="C54" s="314" t="s">
        <v>436</v>
      </c>
      <c r="D54" s="347">
        <v>8.5000000000000006E-3</v>
      </c>
      <c r="G54" s="314" t="s">
        <v>425</v>
      </c>
      <c r="H54" s="347">
        <v>0.1578</v>
      </c>
      <c r="U54" s="49"/>
      <c r="V54" s="49"/>
      <c r="W54" s="49"/>
      <c r="X54" s="49"/>
      <c r="Y54" s="49"/>
    </row>
    <row r="55" spans="1:25">
      <c r="A55" s="314">
        <v>12.5</v>
      </c>
      <c r="B55" s="314">
        <v>100000</v>
      </c>
      <c r="C55" s="314" t="s">
        <v>437</v>
      </c>
      <c r="D55" s="347">
        <v>6.8999999999999999E-3</v>
      </c>
      <c r="G55" s="314" t="s">
        <v>424</v>
      </c>
      <c r="H55" s="347">
        <v>0.1157</v>
      </c>
      <c r="U55" s="49"/>
      <c r="V55" s="49"/>
      <c r="W55" s="49"/>
      <c r="X55" s="49"/>
      <c r="Y55" s="49"/>
    </row>
    <row r="56" spans="1:25">
      <c r="G56" s="314" t="s">
        <v>423</v>
      </c>
      <c r="H56" s="347">
        <v>0.2</v>
      </c>
      <c r="U56" s="49"/>
      <c r="V56" s="49"/>
      <c r="W56" s="49"/>
      <c r="X56" s="49"/>
      <c r="Y56" s="49"/>
    </row>
    <row r="57" spans="1:25">
      <c r="U57" s="49"/>
      <c r="V57" s="49"/>
      <c r="W57" s="49"/>
      <c r="X57" s="49"/>
      <c r="Y57" s="49"/>
    </row>
    <row r="58" spans="1:25">
      <c r="U58" s="49"/>
      <c r="V58" s="49"/>
      <c r="W58" s="49"/>
      <c r="X58" s="49"/>
      <c r="Y58" s="49"/>
    </row>
    <row r="59" spans="1:25">
      <c r="U59" s="49"/>
      <c r="V59" s="49"/>
      <c r="W59" s="49"/>
      <c r="X59" s="49"/>
      <c r="Y59" s="49"/>
    </row>
    <row r="60" spans="1:25">
      <c r="U60" s="49"/>
      <c r="V60" s="49"/>
      <c r="W60" s="49"/>
      <c r="X60" s="49"/>
      <c r="Y60" s="49"/>
    </row>
  </sheetData>
  <sortState xmlns:xlrd2="http://schemas.microsoft.com/office/spreadsheetml/2017/richdata2" ref="G42:H56">
    <sortCondition ref="G42:G56"/>
  </sortState>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F8" sqref="F8"/>
    </sheetView>
  </sheetViews>
  <sheetFormatPr baseColWidth="10" defaultRowHeight="13"/>
  <cols>
    <col min="1" max="3" width="11" style="323" bestFit="1" customWidth="1"/>
    <col min="4" max="6" width="11.1640625" style="323" bestFit="1" customWidth="1"/>
    <col min="7" max="10" width="10.83203125" style="323"/>
  </cols>
  <sheetData>
    <row r="1" spans="1:10" s="6" customFormat="1" ht="18">
      <c r="A1" s="351" t="s">
        <v>373</v>
      </c>
      <c r="B1" s="351"/>
      <c r="C1" s="351"/>
      <c r="D1" s="351"/>
      <c r="E1" s="351"/>
      <c r="F1" s="351"/>
      <c r="G1" s="351"/>
      <c r="H1" s="351"/>
      <c r="I1" s="351"/>
      <c r="J1" s="351"/>
    </row>
    <row r="2" spans="1:10" s="7" customFormat="1">
      <c r="A2" s="325" t="s">
        <v>374</v>
      </c>
      <c r="B2" s="325"/>
      <c r="C2" s="325"/>
      <c r="D2" s="325"/>
      <c r="E2" s="325"/>
      <c r="F2" s="325"/>
      <c r="G2" s="325"/>
      <c r="H2" s="325"/>
      <c r="I2" s="325"/>
      <c r="J2" s="325"/>
    </row>
    <row r="3" spans="1:10" s="7" customFormat="1">
      <c r="A3" s="325" t="s">
        <v>375</v>
      </c>
      <c r="B3" s="325"/>
      <c r="C3" s="325"/>
      <c r="D3" s="325"/>
      <c r="E3" s="325"/>
      <c r="F3" s="325"/>
      <c r="G3" s="325"/>
      <c r="H3" s="325"/>
      <c r="I3" s="325"/>
      <c r="J3" s="325"/>
    </row>
    <row r="4" spans="1:10" s="7" customFormat="1">
      <c r="A4" s="325"/>
      <c r="B4" s="325"/>
      <c r="C4" s="325"/>
      <c r="D4" s="325"/>
      <c r="E4" s="325"/>
      <c r="F4" s="325"/>
      <c r="G4" s="325"/>
      <c r="H4" s="325"/>
      <c r="I4" s="325"/>
      <c r="J4" s="325"/>
    </row>
    <row r="5" spans="1:10" s="7" customFormat="1">
      <c r="A5" s="329" t="s">
        <v>4</v>
      </c>
      <c r="B5" s="325"/>
      <c r="C5" s="325"/>
      <c r="D5" s="325"/>
      <c r="E5" s="325"/>
      <c r="F5" s="325"/>
      <c r="G5" s="325"/>
      <c r="H5" s="325"/>
      <c r="I5" s="325"/>
      <c r="J5" s="325"/>
    </row>
    <row r="6" spans="1:10" s="7" customFormat="1">
      <c r="A6" s="325" t="s">
        <v>376</v>
      </c>
      <c r="B6" s="325"/>
      <c r="C6" s="325"/>
      <c r="D6" s="325"/>
      <c r="E6" s="325"/>
      <c r="F6" s="352">
        <v>5</v>
      </c>
      <c r="G6" s="325" t="s">
        <v>377</v>
      </c>
      <c r="H6" s="325"/>
      <c r="I6" s="325"/>
      <c r="J6" s="325"/>
    </row>
    <row r="7" spans="1:10" s="7" customFormat="1">
      <c r="A7" s="325" t="s">
        <v>378</v>
      </c>
      <c r="B7" s="325"/>
      <c r="C7" s="325"/>
      <c r="D7" s="325"/>
      <c r="E7" s="325"/>
      <c r="F7" s="353">
        <v>11665</v>
      </c>
      <c r="G7" s="325" t="s">
        <v>379</v>
      </c>
      <c r="H7" s="325"/>
      <c r="I7" s="325"/>
      <c r="J7" s="325"/>
    </row>
    <row r="8" spans="1:10" s="7" customFormat="1">
      <c r="A8" s="325" t="s">
        <v>380</v>
      </c>
      <c r="B8" s="325"/>
      <c r="C8" s="325"/>
      <c r="D8" s="325"/>
      <c r="E8" s="325"/>
      <c r="F8" s="325"/>
      <c r="G8" s="325"/>
      <c r="H8" s="325"/>
      <c r="I8" s="325"/>
      <c r="J8" s="325"/>
    </row>
    <row r="9" spans="1:10" s="7" customFormat="1">
      <c r="A9" s="325" t="s">
        <v>381</v>
      </c>
      <c r="B9" s="325"/>
      <c r="C9" s="325"/>
      <c r="D9" s="325"/>
      <c r="E9" s="325"/>
      <c r="F9" s="325"/>
      <c r="G9" s="325"/>
      <c r="H9" s="325"/>
      <c r="I9" s="325"/>
      <c r="J9" s="325"/>
    </row>
    <row r="10" spans="1:10" s="70" customFormat="1">
      <c r="A10" s="354" t="s">
        <v>100</v>
      </c>
      <c r="B10" s="354" t="s">
        <v>382</v>
      </c>
      <c r="C10" s="355"/>
      <c r="D10" s="355"/>
      <c r="E10" s="355"/>
      <c r="F10" s="355"/>
      <c r="G10" s="355"/>
      <c r="H10" s="355"/>
      <c r="I10" s="355"/>
      <c r="J10" s="356"/>
    </row>
    <row r="11" spans="1:10" s="70" customFormat="1">
      <c r="A11" s="357">
        <v>-1</v>
      </c>
      <c r="B11" s="358">
        <v>8675</v>
      </c>
      <c r="C11" s="355" t="s">
        <v>383</v>
      </c>
      <c r="D11" s="355"/>
      <c r="E11" s="355"/>
      <c r="F11" s="355"/>
      <c r="G11" s="355"/>
      <c r="H11" s="355"/>
      <c r="I11" s="355"/>
      <c r="J11" s="356"/>
    </row>
    <row r="12" spans="1:10" s="70" customFormat="1">
      <c r="A12" s="357">
        <f>IF((0-A11)&lt;$F$6,IF(A11&gt;-1,,A11-1),)</f>
        <v>-2</v>
      </c>
      <c r="B12" s="358">
        <v>7339</v>
      </c>
      <c r="C12" s="355" t="s">
        <v>384</v>
      </c>
      <c r="D12" s="355"/>
      <c r="E12" s="355"/>
      <c r="F12" s="355"/>
      <c r="G12" s="355"/>
      <c r="H12" s="355"/>
      <c r="I12" s="355"/>
      <c r="J12" s="356"/>
    </row>
    <row r="13" spans="1:10" s="70" customFormat="1">
      <c r="A13" s="357">
        <f t="shared" ref="A13:A20" si="0">IF((0-A12)&lt;$F$6,IF(A12&gt;-1,,A12-1),)</f>
        <v>-3</v>
      </c>
      <c r="B13" s="358">
        <v>5268</v>
      </c>
      <c r="C13" s="355"/>
      <c r="D13" s="355"/>
      <c r="E13" s="355"/>
      <c r="F13" s="355"/>
      <c r="G13" s="355"/>
      <c r="H13" s="355"/>
      <c r="I13" s="355"/>
      <c r="J13" s="356"/>
    </row>
    <row r="14" spans="1:10" s="70" customFormat="1">
      <c r="A14" s="357">
        <f t="shared" si="0"/>
        <v>-4</v>
      </c>
      <c r="B14" s="358">
        <v>3924</v>
      </c>
      <c r="C14" s="355"/>
      <c r="D14" s="355"/>
      <c r="E14" s="355"/>
      <c r="F14" s="355"/>
      <c r="G14" s="355"/>
      <c r="H14" s="355"/>
      <c r="I14" s="355"/>
      <c r="J14" s="356"/>
    </row>
    <row r="15" spans="1:10" s="70" customFormat="1">
      <c r="A15" s="357">
        <f t="shared" si="0"/>
        <v>-5</v>
      </c>
      <c r="B15" s="358">
        <v>2829</v>
      </c>
      <c r="C15" s="355"/>
      <c r="D15" s="355"/>
      <c r="E15" s="355"/>
      <c r="F15" s="355"/>
      <c r="G15" s="355"/>
      <c r="H15" s="355"/>
      <c r="I15" s="355"/>
      <c r="J15" s="356"/>
    </row>
    <row r="16" spans="1:10" s="70" customFormat="1">
      <c r="A16" s="357">
        <f t="shared" si="0"/>
        <v>0</v>
      </c>
      <c r="B16" s="358"/>
      <c r="C16" s="355"/>
      <c r="D16" s="355"/>
      <c r="E16" s="355"/>
      <c r="F16" s="355"/>
      <c r="G16" s="355"/>
      <c r="H16" s="355"/>
      <c r="I16" s="355"/>
      <c r="J16" s="356"/>
    </row>
    <row r="17" spans="1:10" s="70" customFormat="1">
      <c r="A17" s="357">
        <f t="shared" si="0"/>
        <v>0</v>
      </c>
      <c r="B17" s="358"/>
      <c r="C17" s="355"/>
      <c r="D17" s="355"/>
      <c r="E17" s="355"/>
      <c r="F17" s="355"/>
      <c r="G17" s="355"/>
      <c r="H17" s="355"/>
      <c r="I17" s="355"/>
      <c r="J17" s="356"/>
    </row>
    <row r="18" spans="1:10" s="70" customFormat="1">
      <c r="A18" s="357">
        <f t="shared" si="0"/>
        <v>0</v>
      </c>
      <c r="B18" s="358"/>
      <c r="C18" s="355"/>
      <c r="D18" s="355"/>
      <c r="E18" s="355"/>
      <c r="F18" s="355"/>
      <c r="G18" s="355"/>
      <c r="H18" s="355"/>
      <c r="I18" s="355"/>
      <c r="J18" s="356"/>
    </row>
    <row r="19" spans="1:10" s="70" customFormat="1">
      <c r="A19" s="357">
        <f t="shared" si="0"/>
        <v>0</v>
      </c>
      <c r="B19" s="358"/>
      <c r="C19" s="355"/>
      <c r="D19" s="355"/>
      <c r="E19" s="355"/>
      <c r="F19" s="355"/>
      <c r="G19" s="355"/>
      <c r="H19" s="355"/>
      <c r="I19" s="355"/>
      <c r="J19" s="356"/>
    </row>
    <row r="20" spans="1:10" s="70" customFormat="1">
      <c r="A20" s="357">
        <f t="shared" si="0"/>
        <v>0</v>
      </c>
      <c r="B20" s="358"/>
      <c r="C20" s="355"/>
      <c r="D20" s="355"/>
      <c r="E20" s="355"/>
      <c r="F20" s="355"/>
      <c r="G20" s="355"/>
      <c r="H20" s="355"/>
      <c r="I20" s="355"/>
      <c r="J20" s="356"/>
    </row>
    <row r="21" spans="1:10" s="70" customFormat="1">
      <c r="A21" s="355"/>
      <c r="B21" s="355"/>
      <c r="C21" s="355"/>
      <c r="D21" s="355"/>
      <c r="E21" s="355"/>
      <c r="F21" s="355"/>
      <c r="G21" s="355"/>
      <c r="H21" s="355"/>
      <c r="I21" s="355"/>
      <c r="J21" s="356"/>
    </row>
    <row r="22" spans="1:10" s="70" customFormat="1">
      <c r="A22" s="359" t="s">
        <v>104</v>
      </c>
      <c r="B22" s="355"/>
      <c r="C22" s="355"/>
      <c r="D22" s="355"/>
      <c r="E22" s="355"/>
      <c r="F22" s="355"/>
      <c r="G22" s="355"/>
      <c r="H22" s="355"/>
      <c r="I22" s="355"/>
      <c r="J22" s="356"/>
    </row>
    <row r="23" spans="1:10" s="70" customFormat="1">
      <c r="A23" s="354" t="s">
        <v>100</v>
      </c>
      <c r="B23" s="354" t="s">
        <v>385</v>
      </c>
      <c r="C23" s="360" t="s">
        <v>386</v>
      </c>
      <c r="D23" s="361"/>
      <c r="E23" s="355" t="s">
        <v>387</v>
      </c>
      <c r="F23" s="355"/>
      <c r="G23" s="355"/>
      <c r="H23" s="355"/>
      <c r="I23" s="355"/>
      <c r="J23" s="356"/>
    </row>
    <row r="24" spans="1:10" s="70" customFormat="1">
      <c r="A24" s="354" t="s">
        <v>388</v>
      </c>
      <c r="B24" s="354">
        <f>F7</f>
        <v>11665</v>
      </c>
      <c r="C24" s="354">
        <f>1</f>
        <v>1</v>
      </c>
      <c r="D24" s="354">
        <f>B24*C24</f>
        <v>11665</v>
      </c>
      <c r="E24" s="355"/>
      <c r="F24" s="355"/>
      <c r="G24" s="355"/>
      <c r="H24" s="355"/>
      <c r="I24" s="355"/>
      <c r="J24" s="356"/>
    </row>
    <row r="25" spans="1:10" s="70" customFormat="1">
      <c r="A25" s="357">
        <f>A11</f>
        <v>-1</v>
      </c>
      <c r="B25" s="354">
        <f>B11</f>
        <v>8675</v>
      </c>
      <c r="C25" s="354">
        <f>IF(A25&lt;0,($F$6+A25)/$F$6,0)</f>
        <v>0.8</v>
      </c>
      <c r="D25" s="354">
        <f>B25*C25</f>
        <v>6940</v>
      </c>
      <c r="E25" s="362">
        <f t="shared" ref="E25:E34" si="1">IF(A25&lt;0,B25/$F$6,0)</f>
        <v>1735</v>
      </c>
      <c r="F25" s="355"/>
      <c r="G25" s="355"/>
      <c r="H25" s="355"/>
      <c r="I25" s="355"/>
      <c r="J25" s="356"/>
    </row>
    <row r="26" spans="1:10" s="70" customFormat="1">
      <c r="A26" s="357">
        <f t="shared" ref="A26:B34" si="2">A12</f>
        <v>-2</v>
      </c>
      <c r="B26" s="354">
        <f t="shared" si="2"/>
        <v>7339</v>
      </c>
      <c r="C26" s="354">
        <f>IF(A26&lt;0,($F$6+A26)/$F$6,0)</f>
        <v>0.6</v>
      </c>
      <c r="D26" s="354">
        <f t="shared" ref="D26:D34" si="3">B26*C26</f>
        <v>4403.3999999999996</v>
      </c>
      <c r="E26" s="362">
        <f t="shared" si="1"/>
        <v>1467.8</v>
      </c>
      <c r="F26" s="355"/>
      <c r="G26" s="355"/>
      <c r="H26" s="355"/>
      <c r="I26" s="355"/>
      <c r="J26" s="356"/>
    </row>
    <row r="27" spans="1:10" s="70" customFormat="1">
      <c r="A27" s="357">
        <f t="shared" si="2"/>
        <v>-3</v>
      </c>
      <c r="B27" s="354">
        <f t="shared" si="2"/>
        <v>5268</v>
      </c>
      <c r="C27" s="354">
        <f>IF(A27&lt;0,($F$6+A27)/$F$6,0)</f>
        <v>0.4</v>
      </c>
      <c r="D27" s="354">
        <f t="shared" si="3"/>
        <v>2107.2000000000003</v>
      </c>
      <c r="E27" s="362">
        <f t="shared" si="1"/>
        <v>1053.5999999999999</v>
      </c>
      <c r="F27" s="355"/>
      <c r="G27" s="355"/>
      <c r="H27" s="355"/>
      <c r="I27" s="355"/>
      <c r="J27" s="356"/>
    </row>
    <row r="28" spans="1:10" s="70" customFormat="1">
      <c r="A28" s="357">
        <f t="shared" si="2"/>
        <v>-4</v>
      </c>
      <c r="B28" s="354">
        <f t="shared" si="2"/>
        <v>3924</v>
      </c>
      <c r="C28" s="354">
        <f t="shared" ref="C28:C34" si="4">IF(A28&lt;0,($F$6+A28)/$F$6,0)</f>
        <v>0.2</v>
      </c>
      <c r="D28" s="354">
        <f t="shared" si="3"/>
        <v>784.80000000000007</v>
      </c>
      <c r="E28" s="362">
        <f t="shared" si="1"/>
        <v>784.8</v>
      </c>
      <c r="F28" s="355"/>
      <c r="G28" s="355"/>
      <c r="H28" s="355"/>
      <c r="I28" s="355"/>
      <c r="J28" s="356"/>
    </row>
    <row r="29" spans="1:10" s="70" customFormat="1">
      <c r="A29" s="357">
        <f t="shared" si="2"/>
        <v>-5</v>
      </c>
      <c r="B29" s="354">
        <f t="shared" si="2"/>
        <v>2829</v>
      </c>
      <c r="C29" s="354">
        <f t="shared" si="4"/>
        <v>0</v>
      </c>
      <c r="D29" s="354">
        <f t="shared" si="3"/>
        <v>0</v>
      </c>
      <c r="E29" s="362">
        <f t="shared" si="1"/>
        <v>565.79999999999995</v>
      </c>
      <c r="F29" s="355"/>
      <c r="G29" s="355"/>
      <c r="H29" s="355"/>
      <c r="I29" s="355"/>
      <c r="J29" s="356"/>
    </row>
    <row r="30" spans="1:10" s="70" customFormat="1">
      <c r="A30" s="357">
        <f t="shared" si="2"/>
        <v>0</v>
      </c>
      <c r="B30" s="354">
        <f t="shared" si="2"/>
        <v>0</v>
      </c>
      <c r="C30" s="354">
        <f t="shared" si="4"/>
        <v>0</v>
      </c>
      <c r="D30" s="354">
        <f t="shared" si="3"/>
        <v>0</v>
      </c>
      <c r="E30" s="362">
        <f t="shared" si="1"/>
        <v>0</v>
      </c>
      <c r="F30" s="355"/>
      <c r="G30" s="355"/>
      <c r="H30" s="355"/>
      <c r="I30" s="355"/>
      <c r="J30" s="356"/>
    </row>
    <row r="31" spans="1:10" s="70" customFormat="1">
      <c r="A31" s="357">
        <f t="shared" si="2"/>
        <v>0</v>
      </c>
      <c r="B31" s="354">
        <f t="shared" si="2"/>
        <v>0</v>
      </c>
      <c r="C31" s="354">
        <f t="shared" si="4"/>
        <v>0</v>
      </c>
      <c r="D31" s="354">
        <f t="shared" si="3"/>
        <v>0</v>
      </c>
      <c r="E31" s="362">
        <f t="shared" si="1"/>
        <v>0</v>
      </c>
      <c r="F31" s="355"/>
      <c r="G31" s="355"/>
      <c r="H31" s="355"/>
      <c r="I31" s="355"/>
      <c r="J31" s="356"/>
    </row>
    <row r="32" spans="1:10" s="70" customFormat="1">
      <c r="A32" s="357">
        <f t="shared" si="2"/>
        <v>0</v>
      </c>
      <c r="B32" s="354">
        <f t="shared" si="2"/>
        <v>0</v>
      </c>
      <c r="C32" s="354">
        <f t="shared" si="4"/>
        <v>0</v>
      </c>
      <c r="D32" s="354">
        <f t="shared" si="3"/>
        <v>0</v>
      </c>
      <c r="E32" s="362">
        <f t="shared" si="1"/>
        <v>0</v>
      </c>
      <c r="F32" s="355"/>
      <c r="G32" s="355"/>
      <c r="H32" s="355"/>
      <c r="I32" s="355"/>
      <c r="J32" s="356"/>
    </row>
    <row r="33" spans="1:10" s="70" customFormat="1">
      <c r="A33" s="357">
        <f t="shared" si="2"/>
        <v>0</v>
      </c>
      <c r="B33" s="354">
        <f t="shared" si="2"/>
        <v>0</v>
      </c>
      <c r="C33" s="354">
        <f t="shared" si="4"/>
        <v>0</v>
      </c>
      <c r="D33" s="354">
        <f t="shared" si="3"/>
        <v>0</v>
      </c>
      <c r="E33" s="362">
        <f t="shared" si="1"/>
        <v>0</v>
      </c>
      <c r="F33" s="355"/>
      <c r="G33" s="355"/>
      <c r="H33" s="355"/>
      <c r="I33" s="355"/>
      <c r="J33" s="356"/>
    </row>
    <row r="34" spans="1:10" s="70" customFormat="1" ht="16" customHeight="1" thickBot="1">
      <c r="A34" s="357">
        <f t="shared" si="2"/>
        <v>0</v>
      </c>
      <c r="B34" s="354">
        <f t="shared" si="2"/>
        <v>0</v>
      </c>
      <c r="C34" s="354">
        <f t="shared" si="4"/>
        <v>0</v>
      </c>
      <c r="D34" s="363">
        <f t="shared" si="3"/>
        <v>0</v>
      </c>
      <c r="E34" s="364">
        <f t="shared" si="1"/>
        <v>0</v>
      </c>
      <c r="F34" s="355"/>
      <c r="G34" s="355"/>
      <c r="H34" s="355"/>
      <c r="I34" s="355"/>
      <c r="J34" s="356"/>
    </row>
    <row r="35" spans="1:10" s="7" customFormat="1" ht="14" thickBot="1">
      <c r="A35" s="325" t="s">
        <v>389</v>
      </c>
      <c r="B35" s="325"/>
      <c r="C35" s="325"/>
      <c r="D35" s="365">
        <f>SUM(D24:D34)</f>
        <v>25900.400000000001</v>
      </c>
      <c r="E35" s="365">
        <f>SUM(E25:E34)</f>
        <v>5607</v>
      </c>
      <c r="F35" s="325"/>
      <c r="G35" s="325"/>
      <c r="H35" s="325"/>
      <c r="I35" s="325"/>
      <c r="J35" s="325"/>
    </row>
    <row r="36" spans="1:10" ht="14" thickBot="1">
      <c r="D36" s="366"/>
      <c r="E36" s="366"/>
    </row>
    <row r="37" spans="1:10" s="7" customFormat="1" ht="14" thickBot="1">
      <c r="A37" s="325" t="s">
        <v>390</v>
      </c>
      <c r="B37" s="325"/>
      <c r="C37" s="325"/>
      <c r="D37" s="365">
        <f>E35</f>
        <v>5607</v>
      </c>
      <c r="E37" s="367"/>
      <c r="F37" s="325"/>
      <c r="G37" s="325"/>
      <c r="H37" s="325"/>
      <c r="I37" s="325"/>
      <c r="J37" s="325"/>
    </row>
    <row r="38" spans="1:10" s="7" customFormat="1" ht="14" thickBot="1">
      <c r="A38" s="325"/>
      <c r="B38" s="325"/>
      <c r="C38" s="325"/>
      <c r="D38" s="325"/>
      <c r="E38" s="325"/>
      <c r="F38" s="325"/>
      <c r="G38" s="325"/>
      <c r="H38" s="325"/>
      <c r="I38" s="325"/>
      <c r="J38" s="325"/>
    </row>
    <row r="39" spans="1:10" s="7" customFormat="1">
      <c r="A39" s="325" t="s">
        <v>391</v>
      </c>
      <c r="B39" s="325"/>
      <c r="C39" s="325"/>
      <c r="D39" s="368">
        <f>F7-D37</f>
        <v>6058</v>
      </c>
      <c r="E39" s="325" t="s">
        <v>392</v>
      </c>
      <c r="F39" s="325"/>
      <c r="G39" s="325"/>
      <c r="H39" s="325"/>
      <c r="I39" s="325"/>
      <c r="J39" s="325"/>
    </row>
    <row r="40" spans="1:10" ht="14">
      <c r="A40" s="323" t="s">
        <v>393</v>
      </c>
      <c r="D40" s="369">
        <f>D39*'Input sheet'!B23</f>
        <v>1514.5</v>
      </c>
      <c r="E40" s="325"/>
    </row>
  </sheetData>
  <conditionalFormatting sqref="B14:B20">
    <cfRule type="cellIs" dxfId="1" priority="2" stopIfTrue="1" operator="equal">
      <formula>0</formula>
    </cfRule>
  </conditionalFormatting>
  <conditionalFormatting sqref="B11:B13">
    <cfRule type="cellIs" dxfId="0" priority="1" stopIfTrue="1" operator="equal">
      <formula>0</formula>
    </cfRule>
  </conditionalFormatting>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Input sheet</vt:lpstr>
      <vt:lpstr>Valuation output</vt:lpstr>
      <vt:lpstr>Stories to Numbers</vt:lpstr>
      <vt:lpstr>Valuation as picture</vt:lpstr>
      <vt:lpstr>Diagnostics</vt:lpstr>
      <vt:lpstr>Option value</vt:lpstr>
      <vt:lpstr>Operating lease converter</vt:lpstr>
      <vt:lpstr>Synthetic rating</vt:lpstr>
      <vt:lpstr>R&amp; D converter</vt:lpstr>
      <vt:lpstr>Cost of capital worksheet</vt:lpstr>
      <vt:lpstr>Failure Rate worksheet</vt:lpstr>
      <vt:lpstr>Summary Sheet</vt:lpstr>
      <vt:lpstr>Country equity risk premiums</vt:lpstr>
      <vt:lpstr>Industry Averages(US)</vt:lpstr>
      <vt:lpstr>Input Stat Distributioons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2011-01-17T15:04:26Z</cp:lastPrinted>
  <dcterms:created xsi:type="dcterms:W3CDTF">2000-02-22T13:53:50Z</dcterms:created>
  <dcterms:modified xsi:type="dcterms:W3CDTF">2025-02-03T22:38:27Z</dcterms:modified>
</cp:coreProperties>
</file>