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1447E070-1D8D-F047-96D3-5F692D5F71B2}" xr6:coauthVersionLast="47" xr6:coauthVersionMax="47" xr10:uidLastSave="{00000000-0000-0000-0000-000000000000}"/>
  <bookViews>
    <workbookView xWindow="780" yWindow="520" windowWidth="50420" windowHeight="28300" xr2:uid="{00000000-000D-0000-FFFF-FFFF00000000}"/>
  </bookViews>
  <sheets>
    <sheet name="West3D Voron 2.4 BOM" sheetId="6" r:id="rId1"/>
    <sheet name="Voron Stealthburner BOM" sheetId="8" r:id="rId2"/>
    <sheet name="Voron Stealthburner orig BOM" sheetId="9" r:id="rId3"/>
    <sheet name="Voron Stealthburner srcng guide" sheetId="10" r:id="rId4"/>
    <sheet name="Voron2.4 350mm OUR BOM" sheetId="7" r:id="rId5"/>
    <sheet name="Voron2.4 350mm (orig - redo)" sheetId="4" r:id="rId6"/>
    <sheet name="Voron2.4 350 Checklist" sheetId="5" r:id="rId7"/>
    <sheet name="voron2.4_350mm_bom" sheetId="1" r:id="rId8"/>
    <sheet name="Multi_build_BOM" sheetId="2" r:id="rId9"/>
    <sheet name="Frame Parts - Raw" sheetId="3" r:id="rId10"/>
    <sheet name="Nevermore V5 Duo BOM - Raw" sheetId="11" r:id="rId11"/>
  </sheets>
  <definedNames>
    <definedName name="_xlnm._FilterDatabase" localSheetId="1" hidden="1">'Voron Stealthburner BOM'!$A$2:$S$2</definedName>
    <definedName name="_xlnm._FilterDatabase" localSheetId="2" hidden="1">'Voron Stealthburner orig BOM'!$A$2:$S$2</definedName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8" i="6" l="1"/>
  <c r="P97" i="6"/>
  <c r="N98" i="6"/>
  <c r="N97" i="6"/>
  <c r="H98" i="6"/>
  <c r="H97" i="6"/>
  <c r="P33" i="6"/>
  <c r="P54" i="6"/>
  <c r="R137" i="6"/>
  <c r="M58" i="6"/>
  <c r="M57" i="6"/>
  <c r="M85" i="6"/>
  <c r="M84" i="6"/>
  <c r="H85" i="6"/>
  <c r="H84" i="6"/>
  <c r="M40" i="6"/>
  <c r="H40" i="6"/>
  <c r="M43" i="6"/>
  <c r="M83" i="6"/>
  <c r="M82" i="6"/>
  <c r="H83" i="6"/>
  <c r="M29" i="6"/>
  <c r="H29" i="6"/>
  <c r="M66" i="6"/>
  <c r="H66" i="6"/>
  <c r="H42" i="6"/>
  <c r="M91" i="6"/>
  <c r="M92" i="6"/>
  <c r="M90" i="6"/>
  <c r="H54" i="6"/>
  <c r="H88" i="6"/>
  <c r="H89" i="6"/>
  <c r="H82" i="6"/>
  <c r="H90" i="6"/>
  <c r="H91" i="6"/>
  <c r="H92" i="6"/>
  <c r="N89" i="6"/>
  <c r="N88" i="6"/>
  <c r="J88" i="6"/>
  <c r="L88" i="6" s="1"/>
  <c r="H94" i="6"/>
  <c r="H95" i="6"/>
  <c r="H96" i="6"/>
  <c r="H93" i="6"/>
  <c r="N96" i="6"/>
  <c r="N95" i="6"/>
  <c r="N94" i="6"/>
  <c r="N93" i="6"/>
  <c r="M96" i="6"/>
  <c r="M95" i="6"/>
  <c r="M94" i="6"/>
  <c r="M93" i="6"/>
  <c r="J115" i="6"/>
  <c r="L115" i="6" s="1"/>
  <c r="O115" i="6" s="1"/>
  <c r="J114" i="6"/>
  <c r="L114" i="6" s="1"/>
  <c r="O114" i="6" s="1"/>
  <c r="J113" i="6"/>
  <c r="L113" i="6" s="1"/>
  <c r="O113" i="6" s="1"/>
  <c r="J112" i="6"/>
  <c r="L112" i="6" s="1"/>
  <c r="O112" i="6" s="1"/>
  <c r="J111" i="6"/>
  <c r="L111" i="6" s="1"/>
  <c r="O111" i="6" s="1"/>
  <c r="J96" i="6"/>
  <c r="J95" i="6"/>
  <c r="L95" i="6" s="1"/>
  <c r="J94" i="6"/>
  <c r="L94" i="6" s="1"/>
  <c r="J93" i="6"/>
  <c r="L93" i="6" s="1"/>
  <c r="J92" i="6"/>
  <c r="L92" i="6" s="1"/>
  <c r="O92" i="6" s="1"/>
  <c r="P92" i="6" s="1"/>
  <c r="J91" i="6"/>
  <c r="L91" i="6" s="1"/>
  <c r="O91" i="6" s="1"/>
  <c r="P91" i="6" s="1"/>
  <c r="J90" i="6"/>
  <c r="L90" i="6" s="1"/>
  <c r="O90" i="6" s="1"/>
  <c r="P90" i="6" s="1"/>
  <c r="J82" i="6"/>
  <c r="L82" i="6" s="1"/>
  <c r="J89" i="6"/>
  <c r="L89" i="6" s="1"/>
  <c r="J87" i="6"/>
  <c r="L87" i="6" s="1"/>
  <c r="O87" i="6" s="1"/>
  <c r="P87" i="6" s="1"/>
  <c r="H81" i="6"/>
  <c r="J101" i="6"/>
  <c r="L101" i="6" s="1"/>
  <c r="O101" i="6" s="1"/>
  <c r="J100" i="6"/>
  <c r="L100" i="6" s="1"/>
  <c r="O100" i="6" s="1"/>
  <c r="J99" i="6"/>
  <c r="L99" i="6" s="1"/>
  <c r="O99" i="6" s="1"/>
  <c r="J98" i="6"/>
  <c r="L98" i="6" s="1"/>
  <c r="O98" i="6" s="1"/>
  <c r="J85" i="6"/>
  <c r="L85" i="6" s="1"/>
  <c r="J84" i="6"/>
  <c r="L84" i="6" s="1"/>
  <c r="O84" i="6" s="1"/>
  <c r="P84" i="6" s="1"/>
  <c r="J97" i="6"/>
  <c r="L97" i="6" s="1"/>
  <c r="O97" i="6" s="1"/>
  <c r="J83" i="6"/>
  <c r="L83" i="6" s="1"/>
  <c r="J81" i="6"/>
  <c r="L81" i="6" s="1"/>
  <c r="O81" i="6" s="1"/>
  <c r="P81" i="6" s="1"/>
  <c r="Q53" i="6"/>
  <c r="H80" i="6"/>
  <c r="Q33" i="6"/>
  <c r="Q23" i="6"/>
  <c r="H79" i="6"/>
  <c r="H87" i="6"/>
  <c r="H86" i="6"/>
  <c r="R60" i="9"/>
  <c r="R57" i="9"/>
  <c r="Q54" i="9"/>
  <c r="P54" i="9"/>
  <c r="R56" i="9" s="1"/>
  <c r="N54" i="9"/>
  <c r="M54" i="9"/>
  <c r="J52" i="9"/>
  <c r="L52" i="9" s="1"/>
  <c r="O52" i="9" s="1"/>
  <c r="J51" i="9"/>
  <c r="L51" i="9" s="1"/>
  <c r="O51" i="9" s="1"/>
  <c r="L50" i="9"/>
  <c r="O50" i="9" s="1"/>
  <c r="J50" i="9"/>
  <c r="J49" i="9"/>
  <c r="L49" i="9" s="1"/>
  <c r="O49" i="9" s="1"/>
  <c r="J48" i="9"/>
  <c r="L48" i="9" s="1"/>
  <c r="O48" i="9" s="1"/>
  <c r="J47" i="9"/>
  <c r="L47" i="9" s="1"/>
  <c r="O47" i="9" s="1"/>
  <c r="J46" i="9"/>
  <c r="L46" i="9" s="1"/>
  <c r="O46" i="9" s="1"/>
  <c r="J45" i="9"/>
  <c r="L45" i="9" s="1"/>
  <c r="O45" i="9" s="1"/>
  <c r="J44" i="9"/>
  <c r="L44" i="9" s="1"/>
  <c r="O44" i="9" s="1"/>
  <c r="J43" i="9"/>
  <c r="L43" i="9" s="1"/>
  <c r="O43" i="9" s="1"/>
  <c r="J42" i="9"/>
  <c r="L42" i="9" s="1"/>
  <c r="O42" i="9" s="1"/>
  <c r="J41" i="9"/>
  <c r="L41" i="9" s="1"/>
  <c r="O41" i="9" s="1"/>
  <c r="L40" i="9"/>
  <c r="O40" i="9" s="1"/>
  <c r="J40" i="9"/>
  <c r="J39" i="9"/>
  <c r="L39" i="9" s="1"/>
  <c r="O39" i="9" s="1"/>
  <c r="J38" i="9"/>
  <c r="L38" i="9" s="1"/>
  <c r="O38" i="9" s="1"/>
  <c r="J37" i="9"/>
  <c r="L37" i="9" s="1"/>
  <c r="O37" i="9" s="1"/>
  <c r="J36" i="9"/>
  <c r="L36" i="9" s="1"/>
  <c r="O36" i="9" s="1"/>
  <c r="J35" i="9"/>
  <c r="L35" i="9" s="1"/>
  <c r="O35" i="9" s="1"/>
  <c r="L34" i="9"/>
  <c r="O34" i="9" s="1"/>
  <c r="J34" i="9"/>
  <c r="J33" i="9"/>
  <c r="L33" i="9" s="1"/>
  <c r="O33" i="9" s="1"/>
  <c r="J32" i="9"/>
  <c r="L32" i="9" s="1"/>
  <c r="O32" i="9" s="1"/>
  <c r="J31" i="9"/>
  <c r="L31" i="9" s="1"/>
  <c r="O31" i="9" s="1"/>
  <c r="J30" i="9"/>
  <c r="L30" i="9" s="1"/>
  <c r="O30" i="9" s="1"/>
  <c r="J29" i="9"/>
  <c r="L29" i="9" s="1"/>
  <c r="O29" i="9" s="1"/>
  <c r="J28" i="9"/>
  <c r="L28" i="9" s="1"/>
  <c r="O28" i="9" s="1"/>
  <c r="J27" i="9"/>
  <c r="L27" i="9" s="1"/>
  <c r="O27" i="9" s="1"/>
  <c r="J26" i="9"/>
  <c r="L26" i="9" s="1"/>
  <c r="O26" i="9" s="1"/>
  <c r="J25" i="9"/>
  <c r="L25" i="9" s="1"/>
  <c r="O25" i="9" s="1"/>
  <c r="L24" i="9"/>
  <c r="O24" i="9" s="1"/>
  <c r="J24" i="9"/>
  <c r="J23" i="9"/>
  <c r="L23" i="9" s="1"/>
  <c r="O23" i="9" s="1"/>
  <c r="J22" i="9"/>
  <c r="L22" i="9" s="1"/>
  <c r="O22" i="9" s="1"/>
  <c r="L21" i="9"/>
  <c r="O21" i="9" s="1"/>
  <c r="J21" i="9"/>
  <c r="J20" i="9"/>
  <c r="L20" i="9" s="1"/>
  <c r="O20" i="9" s="1"/>
  <c r="J19" i="9"/>
  <c r="L19" i="9" s="1"/>
  <c r="O19" i="9" s="1"/>
  <c r="L18" i="9"/>
  <c r="O18" i="9" s="1"/>
  <c r="J18" i="9"/>
  <c r="J17" i="9"/>
  <c r="L17" i="9" s="1"/>
  <c r="O17" i="9" s="1"/>
  <c r="J16" i="9"/>
  <c r="L16" i="9" s="1"/>
  <c r="O16" i="9" s="1"/>
  <c r="J15" i="9"/>
  <c r="L15" i="9" s="1"/>
  <c r="O15" i="9" s="1"/>
  <c r="J14" i="9"/>
  <c r="L14" i="9" s="1"/>
  <c r="O14" i="9" s="1"/>
  <c r="J13" i="9"/>
  <c r="L13" i="9" s="1"/>
  <c r="O13" i="9" s="1"/>
  <c r="J12" i="9"/>
  <c r="L12" i="9" s="1"/>
  <c r="O12" i="9" s="1"/>
  <c r="J11" i="9"/>
  <c r="L11" i="9" s="1"/>
  <c r="O11" i="9" s="1"/>
  <c r="J10" i="9"/>
  <c r="L10" i="9" s="1"/>
  <c r="O10" i="9" s="1"/>
  <c r="J9" i="9"/>
  <c r="L9" i="9" s="1"/>
  <c r="O9" i="9" s="1"/>
  <c r="L8" i="9"/>
  <c r="O8" i="9" s="1"/>
  <c r="J8" i="9"/>
  <c r="J7" i="9"/>
  <c r="L7" i="9" s="1"/>
  <c r="O7" i="9" s="1"/>
  <c r="J6" i="9"/>
  <c r="L6" i="9" s="1"/>
  <c r="O6" i="9" s="1"/>
  <c r="L5" i="9"/>
  <c r="O5" i="9" s="1"/>
  <c r="J5" i="9"/>
  <c r="J4" i="9"/>
  <c r="L4" i="9" s="1"/>
  <c r="O4" i="9" s="1"/>
  <c r="J3" i="9"/>
  <c r="L3" i="9" s="1"/>
  <c r="J24" i="8"/>
  <c r="L24" i="8" s="1"/>
  <c r="O24" i="8" s="1"/>
  <c r="J23" i="8"/>
  <c r="L23" i="8" s="1"/>
  <c r="O23" i="8" s="1"/>
  <c r="J22" i="8"/>
  <c r="L22" i="8" s="1"/>
  <c r="O22" i="8" s="1"/>
  <c r="J21" i="8"/>
  <c r="L21" i="8" s="1"/>
  <c r="O21" i="8" s="1"/>
  <c r="J20" i="8"/>
  <c r="L20" i="8" s="1"/>
  <c r="O20" i="8" s="1"/>
  <c r="J19" i="8"/>
  <c r="L19" i="8" s="1"/>
  <c r="O19" i="8" s="1"/>
  <c r="J18" i="8"/>
  <c r="L18" i="8" s="1"/>
  <c r="O18" i="8" s="1"/>
  <c r="J17" i="8"/>
  <c r="L17" i="8" s="1"/>
  <c r="O17" i="8" s="1"/>
  <c r="J16" i="8"/>
  <c r="L16" i="8" s="1"/>
  <c r="O16" i="8" s="1"/>
  <c r="J15" i="8"/>
  <c r="L15" i="8" s="1"/>
  <c r="O15" i="8" s="1"/>
  <c r="L14" i="8"/>
  <c r="O14" i="8" s="1"/>
  <c r="J14" i="8"/>
  <c r="J13" i="8"/>
  <c r="L13" i="8" s="1"/>
  <c r="O13" i="8" s="1"/>
  <c r="L12" i="8"/>
  <c r="O12" i="8" s="1"/>
  <c r="J12" i="8"/>
  <c r="J11" i="8"/>
  <c r="L11" i="8" s="1"/>
  <c r="O11" i="8" s="1"/>
  <c r="O10" i="8"/>
  <c r="L10" i="8"/>
  <c r="J10" i="8"/>
  <c r="J9" i="8"/>
  <c r="L9" i="8" s="1"/>
  <c r="O9" i="8" s="1"/>
  <c r="J8" i="8"/>
  <c r="L8" i="8" s="1"/>
  <c r="O8" i="8" s="1"/>
  <c r="J7" i="8"/>
  <c r="L7" i="8" s="1"/>
  <c r="O7" i="8" s="1"/>
  <c r="L6" i="8"/>
  <c r="O6" i="8" s="1"/>
  <c r="J6" i="8"/>
  <c r="L5" i="8"/>
  <c r="O5" i="8" s="1"/>
  <c r="J5" i="8"/>
  <c r="R60" i="8"/>
  <c r="N54" i="8"/>
  <c r="J52" i="8"/>
  <c r="L52" i="8" s="1"/>
  <c r="O52" i="8" s="1"/>
  <c r="J51" i="8"/>
  <c r="L51" i="8" s="1"/>
  <c r="O51" i="8" s="1"/>
  <c r="J50" i="8"/>
  <c r="L50" i="8" s="1"/>
  <c r="O50" i="8" s="1"/>
  <c r="J49" i="8"/>
  <c r="L49" i="8" s="1"/>
  <c r="O49" i="8" s="1"/>
  <c r="J48" i="8"/>
  <c r="L48" i="8" s="1"/>
  <c r="O48" i="8" s="1"/>
  <c r="J47" i="8"/>
  <c r="L47" i="8" s="1"/>
  <c r="O47" i="8" s="1"/>
  <c r="J46" i="8"/>
  <c r="L46" i="8" s="1"/>
  <c r="O46" i="8" s="1"/>
  <c r="J45" i="8"/>
  <c r="L45" i="8" s="1"/>
  <c r="O45" i="8" s="1"/>
  <c r="J44" i="8"/>
  <c r="L44" i="8" s="1"/>
  <c r="O44" i="8" s="1"/>
  <c r="J43" i="8"/>
  <c r="L43" i="8" s="1"/>
  <c r="O43" i="8" s="1"/>
  <c r="J42" i="8"/>
  <c r="L42" i="8" s="1"/>
  <c r="O42" i="8" s="1"/>
  <c r="J41" i="8"/>
  <c r="L41" i="8" s="1"/>
  <c r="O41" i="8" s="1"/>
  <c r="J40" i="8"/>
  <c r="L40" i="8" s="1"/>
  <c r="O40" i="8" s="1"/>
  <c r="J39" i="8"/>
  <c r="L39" i="8" s="1"/>
  <c r="O39" i="8" s="1"/>
  <c r="J38" i="8"/>
  <c r="L38" i="8" s="1"/>
  <c r="O38" i="8" s="1"/>
  <c r="J37" i="8"/>
  <c r="L37" i="8" s="1"/>
  <c r="O37" i="8" s="1"/>
  <c r="J36" i="8"/>
  <c r="L36" i="8" s="1"/>
  <c r="O36" i="8" s="1"/>
  <c r="J35" i="8"/>
  <c r="L35" i="8" s="1"/>
  <c r="O35" i="8" s="1"/>
  <c r="J34" i="8"/>
  <c r="L34" i="8" s="1"/>
  <c r="O34" i="8" s="1"/>
  <c r="J33" i="8"/>
  <c r="L33" i="8" s="1"/>
  <c r="O33" i="8" s="1"/>
  <c r="J32" i="8"/>
  <c r="L32" i="8" s="1"/>
  <c r="O32" i="8" s="1"/>
  <c r="J31" i="8"/>
  <c r="L31" i="8" s="1"/>
  <c r="O31" i="8" s="1"/>
  <c r="J30" i="8"/>
  <c r="L30" i="8" s="1"/>
  <c r="O30" i="8" s="1"/>
  <c r="J29" i="8"/>
  <c r="L29" i="8" s="1"/>
  <c r="O29" i="8" s="1"/>
  <c r="J28" i="8"/>
  <c r="L28" i="8" s="1"/>
  <c r="O28" i="8" s="1"/>
  <c r="J27" i="8"/>
  <c r="L27" i="8" s="1"/>
  <c r="O27" i="8" s="1"/>
  <c r="J26" i="8"/>
  <c r="L26" i="8" s="1"/>
  <c r="O26" i="8" s="1"/>
  <c r="J25" i="8"/>
  <c r="L25" i="8" s="1"/>
  <c r="O25" i="8" s="1"/>
  <c r="J4" i="8"/>
  <c r="L4" i="8" s="1"/>
  <c r="O4" i="8" s="1"/>
  <c r="J3" i="8"/>
  <c r="L3" i="8" s="1"/>
  <c r="O3" i="8" s="1"/>
  <c r="J86" i="6"/>
  <c r="O86" i="6" s="1"/>
  <c r="P86" i="6" s="1"/>
  <c r="Q86" i="6" s="1"/>
  <c r="J110" i="6"/>
  <c r="L110" i="6" s="1"/>
  <c r="O110" i="6" s="1"/>
  <c r="J109" i="6"/>
  <c r="L109" i="6" s="1"/>
  <c r="O109" i="6" s="1"/>
  <c r="J108" i="6"/>
  <c r="L108" i="6" s="1"/>
  <c r="O108" i="6" s="1"/>
  <c r="J107" i="6"/>
  <c r="L107" i="6" s="1"/>
  <c r="O107" i="6" s="1"/>
  <c r="J106" i="6"/>
  <c r="L106" i="6" s="1"/>
  <c r="O106" i="6" s="1"/>
  <c r="J105" i="6"/>
  <c r="L105" i="6" s="1"/>
  <c r="O105" i="6" s="1"/>
  <c r="J104" i="6"/>
  <c r="L104" i="6" s="1"/>
  <c r="O104" i="6" s="1"/>
  <c r="J103" i="6"/>
  <c r="L103" i="6" s="1"/>
  <c r="O103" i="6" s="1"/>
  <c r="J102" i="6"/>
  <c r="L102" i="6" s="1"/>
  <c r="O102" i="6" s="1"/>
  <c r="J80" i="6"/>
  <c r="L80" i="6" s="1"/>
  <c r="O80" i="6" s="1"/>
  <c r="P80" i="6" s="1"/>
  <c r="J79" i="6"/>
  <c r="L79" i="6" s="1"/>
  <c r="O79" i="6" s="1"/>
  <c r="P79" i="6" s="1"/>
  <c r="J78" i="6"/>
  <c r="L78" i="6" s="1"/>
  <c r="O78" i="6" s="1"/>
  <c r="J77" i="6"/>
  <c r="L77" i="6" s="1"/>
  <c r="O77" i="6" s="1"/>
  <c r="H76" i="6"/>
  <c r="H75" i="6"/>
  <c r="H74" i="6"/>
  <c r="H73" i="6"/>
  <c r="H72" i="6"/>
  <c r="H71" i="6"/>
  <c r="J118" i="6"/>
  <c r="L118" i="6" s="1"/>
  <c r="O118" i="6" s="1"/>
  <c r="J117" i="6"/>
  <c r="L117" i="6" s="1"/>
  <c r="O117" i="6" s="1"/>
  <c r="J116" i="6"/>
  <c r="L116" i="6" s="1"/>
  <c r="O116" i="6" s="1"/>
  <c r="J76" i="6"/>
  <c r="L76" i="6" s="1"/>
  <c r="J75" i="6"/>
  <c r="L75" i="6" s="1"/>
  <c r="J74" i="6"/>
  <c r="L74" i="6" s="1"/>
  <c r="J73" i="6"/>
  <c r="L73" i="6" s="1"/>
  <c r="J72" i="6"/>
  <c r="L72" i="6" s="1"/>
  <c r="J71" i="6"/>
  <c r="L71" i="6" s="1"/>
  <c r="H61" i="6"/>
  <c r="H70" i="6"/>
  <c r="J123" i="6"/>
  <c r="L123" i="6" s="1"/>
  <c r="O123" i="6" s="1"/>
  <c r="J122" i="6"/>
  <c r="L122" i="6" s="1"/>
  <c r="O122" i="6" s="1"/>
  <c r="J121" i="6"/>
  <c r="L121" i="6" s="1"/>
  <c r="O121" i="6" s="1"/>
  <c r="J120" i="6"/>
  <c r="L120" i="6" s="1"/>
  <c r="O120" i="6" s="1"/>
  <c r="J119" i="6"/>
  <c r="L119" i="6" s="1"/>
  <c r="O119" i="6" s="1"/>
  <c r="J70" i="6"/>
  <c r="L70" i="6" s="1"/>
  <c r="O70" i="6" s="1"/>
  <c r="P70" i="6" s="1"/>
  <c r="Q70" i="6" s="1"/>
  <c r="H69" i="6"/>
  <c r="H68" i="6"/>
  <c r="J126" i="6"/>
  <c r="L126" i="6" s="1"/>
  <c r="O126" i="6" s="1"/>
  <c r="J125" i="6"/>
  <c r="L125" i="6" s="1"/>
  <c r="O125" i="6" s="1"/>
  <c r="J124" i="6"/>
  <c r="L124" i="6" s="1"/>
  <c r="O124" i="6" s="1"/>
  <c r="J69" i="6"/>
  <c r="L69" i="6" s="1"/>
  <c r="O69" i="6" s="1"/>
  <c r="P69" i="6" s="1"/>
  <c r="Q69" i="6" s="1"/>
  <c r="J68" i="6"/>
  <c r="L68" i="6" s="1"/>
  <c r="O68" i="6" s="1"/>
  <c r="P68" i="6" s="1"/>
  <c r="Q67" i="6"/>
  <c r="H9" i="6"/>
  <c r="H5" i="6"/>
  <c r="H39" i="6"/>
  <c r="Q30" i="6"/>
  <c r="H67" i="6"/>
  <c r="Q26" i="6"/>
  <c r="P65" i="6"/>
  <c r="J66" i="6"/>
  <c r="L66" i="6" s="1"/>
  <c r="O66" i="6" s="1"/>
  <c r="P66" i="6" s="1"/>
  <c r="J67" i="6"/>
  <c r="L67" i="6" s="1"/>
  <c r="O67" i="6" s="1"/>
  <c r="P67" i="6" s="1"/>
  <c r="J127" i="6"/>
  <c r="L127" i="6" s="1"/>
  <c r="O127" i="6" s="1"/>
  <c r="J128" i="6"/>
  <c r="L128" i="6" s="1"/>
  <c r="O128" i="6" s="1"/>
  <c r="J129" i="6"/>
  <c r="L129" i="6" s="1"/>
  <c r="O129" i="6" s="1"/>
  <c r="J62" i="6"/>
  <c r="L62" i="6" s="1"/>
  <c r="O62" i="6" s="1"/>
  <c r="J63" i="6"/>
  <c r="L63" i="6" s="1"/>
  <c r="O63" i="6" s="1"/>
  <c r="J64" i="6"/>
  <c r="L64" i="6" s="1"/>
  <c r="O64" i="6" s="1"/>
  <c r="P64" i="6" s="1"/>
  <c r="J65" i="6"/>
  <c r="L65" i="6" s="1"/>
  <c r="O65" i="6" s="1"/>
  <c r="H65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J61" i="6"/>
  <c r="L61" i="6" s="1"/>
  <c r="O61" i="6" s="1"/>
  <c r="P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P58" i="6" s="1"/>
  <c r="J57" i="6"/>
  <c r="L57" i="6" s="1"/>
  <c r="O57" i="6" s="1"/>
  <c r="P57" i="6" s="1"/>
  <c r="H58" i="6"/>
  <c r="H57" i="6"/>
  <c r="H55" i="6"/>
  <c r="H53" i="6"/>
  <c r="H52" i="6"/>
  <c r="H51" i="6"/>
  <c r="H49" i="6"/>
  <c r="H48" i="6"/>
  <c r="H47" i="6"/>
  <c r="H50" i="6"/>
  <c r="H44" i="6"/>
  <c r="H43" i="6"/>
  <c r="H41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L53" i="6"/>
  <c r="O53" i="6" s="1"/>
  <c r="P53" i="6" s="1"/>
  <c r="J54" i="6"/>
  <c r="L54" i="6" s="1"/>
  <c r="O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L11" i="6"/>
  <c r="O11" i="6" s="1"/>
  <c r="L12" i="6"/>
  <c r="O12" i="6" s="1"/>
  <c r="J13" i="6"/>
  <c r="L13" i="6" s="1"/>
  <c r="O13" i="6" s="1"/>
  <c r="P13" i="6" s="1"/>
  <c r="J14" i="6"/>
  <c r="L14" i="6" s="1"/>
  <c r="O14" i="6" s="1"/>
  <c r="P14" i="6" s="1"/>
  <c r="J15" i="6"/>
  <c r="L15" i="6" s="1"/>
  <c r="O15" i="6" s="1"/>
  <c r="P15" i="6" s="1"/>
  <c r="J16" i="6"/>
  <c r="L16" i="6" s="1"/>
  <c r="O16" i="6" s="1"/>
  <c r="P16" i="6" s="1"/>
  <c r="J17" i="6"/>
  <c r="L17" i="6" s="1"/>
  <c r="O17" i="6" s="1"/>
  <c r="P17" i="6" s="1"/>
  <c r="J18" i="6"/>
  <c r="L18" i="6" s="1"/>
  <c r="O18" i="6" s="1"/>
  <c r="P18" i="6" s="1"/>
  <c r="J19" i="6"/>
  <c r="L19" i="6" s="1"/>
  <c r="O19" i="6" s="1"/>
  <c r="P19" i="6" s="1"/>
  <c r="L20" i="6"/>
  <c r="O20" i="6" s="1"/>
  <c r="P20" i="6" s="1"/>
  <c r="J21" i="6"/>
  <c r="L21" i="6" s="1"/>
  <c r="O21" i="6" s="1"/>
  <c r="P21" i="6" s="1"/>
  <c r="J22" i="6"/>
  <c r="L22" i="6" s="1"/>
  <c r="O22" i="6" s="1"/>
  <c r="P22" i="6" s="1"/>
  <c r="L23" i="6"/>
  <c r="O23" i="6" s="1"/>
  <c r="P23" i="6" s="1"/>
  <c r="L24" i="6"/>
  <c r="O24" i="6" s="1"/>
  <c r="J28" i="6"/>
  <c r="L28" i="6" s="1"/>
  <c r="O28" i="6" s="1"/>
  <c r="P28" i="6" s="1"/>
  <c r="L29" i="6"/>
  <c r="J31" i="6"/>
  <c r="L31" i="6" s="1"/>
  <c r="O31" i="6" s="1"/>
  <c r="P31" i="6" s="1"/>
  <c r="L32" i="6"/>
  <c r="O32" i="6" s="1"/>
  <c r="L33" i="6"/>
  <c r="O33" i="6" s="1"/>
  <c r="J34" i="6"/>
  <c r="L34" i="6" s="1"/>
  <c r="O34" i="6" s="1"/>
  <c r="J35" i="6"/>
  <c r="L35" i="6" s="1"/>
  <c r="O35" i="6" s="1"/>
  <c r="J36" i="6"/>
  <c r="L36" i="6" s="1"/>
  <c r="O36" i="6" s="1"/>
  <c r="P36" i="6" s="1"/>
  <c r="J37" i="6"/>
  <c r="L37" i="6" s="1"/>
  <c r="O37" i="6" s="1"/>
  <c r="P37" i="6" s="1"/>
  <c r="J38" i="6"/>
  <c r="L38" i="6" s="1"/>
  <c r="O38" i="6" s="1"/>
  <c r="P38" i="6" s="1"/>
  <c r="J39" i="6"/>
  <c r="L39" i="6" s="1"/>
  <c r="O39" i="6" s="1"/>
  <c r="P39" i="6" s="1"/>
  <c r="J40" i="6"/>
  <c r="L40" i="6" s="1"/>
  <c r="O40" i="6" s="1"/>
  <c r="P40" i="6" s="1"/>
  <c r="J41" i="6"/>
  <c r="L41" i="6" s="1"/>
  <c r="O41" i="6" s="1"/>
  <c r="P41" i="6" s="1"/>
  <c r="J42" i="6"/>
  <c r="L42" i="6" s="1"/>
  <c r="O42" i="6" s="1"/>
  <c r="P42" i="6" s="1"/>
  <c r="J43" i="6"/>
  <c r="L43" i="6" s="1"/>
  <c r="J44" i="6"/>
  <c r="L44" i="6" s="1"/>
  <c r="O44" i="6" s="1"/>
  <c r="P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O83" i="6" l="1"/>
  <c r="P83" i="6" s="1"/>
  <c r="O85" i="6"/>
  <c r="P85" i="6" s="1"/>
  <c r="O88" i="6"/>
  <c r="P88" i="6" s="1"/>
  <c r="O82" i="6"/>
  <c r="P82" i="6" s="1"/>
  <c r="N131" i="6"/>
  <c r="O29" i="6"/>
  <c r="P29" i="6" s="1"/>
  <c r="Q29" i="6" s="1"/>
  <c r="O43" i="6"/>
  <c r="P43" i="6" s="1"/>
  <c r="O89" i="6"/>
  <c r="P89" i="6" s="1"/>
  <c r="L96" i="6"/>
  <c r="O96" i="6" s="1"/>
  <c r="P96" i="6" s="1"/>
  <c r="Q96" i="6" s="1"/>
  <c r="O95" i="6"/>
  <c r="P95" i="6" s="1"/>
  <c r="O94" i="6"/>
  <c r="P94" i="6" s="1"/>
  <c r="O93" i="6"/>
  <c r="P93" i="6" s="1"/>
  <c r="L54" i="9"/>
  <c r="O3" i="9"/>
  <c r="O54" i="9" s="1"/>
  <c r="R55" i="9" s="1"/>
  <c r="M54" i="8"/>
  <c r="P54" i="8"/>
  <c r="R56" i="8" s="1"/>
  <c r="R57" i="8"/>
  <c r="Q54" i="8"/>
  <c r="M76" i="6"/>
  <c r="O76" i="6" s="1"/>
  <c r="P76" i="6" s="1"/>
  <c r="Q76" i="6" s="1"/>
  <c r="M73" i="6"/>
  <c r="O73" i="6" s="1"/>
  <c r="P73" i="6" s="1"/>
  <c r="M72" i="6"/>
  <c r="O72" i="6" s="1"/>
  <c r="P72" i="6" s="1"/>
  <c r="Q72" i="6" s="1"/>
  <c r="M71" i="6"/>
  <c r="O71" i="6" s="1"/>
  <c r="P71" i="6" s="1"/>
  <c r="M75" i="6"/>
  <c r="O75" i="6" s="1"/>
  <c r="P75" i="6" s="1"/>
  <c r="Q75" i="6" s="1"/>
  <c r="M74" i="6"/>
  <c r="O74" i="6" s="1"/>
  <c r="P74" i="6" s="1"/>
  <c r="P27" i="6"/>
  <c r="M6" i="6"/>
  <c r="M7" i="6"/>
  <c r="O7" i="6" s="1"/>
  <c r="I5" i="4"/>
  <c r="I6" i="4"/>
  <c r="I92" i="4"/>
  <c r="I91" i="4"/>
  <c r="E2" i="2"/>
  <c r="L131" i="6" l="1"/>
  <c r="L54" i="8"/>
  <c r="O54" i="8"/>
  <c r="R55" i="8" s="1"/>
  <c r="M131" i="6"/>
  <c r="Q131" i="6"/>
  <c r="R134" i="6"/>
  <c r="O6" i="6"/>
  <c r="P6" i="6" s="1"/>
  <c r="P7" i="6"/>
  <c r="P131" i="6" l="1"/>
  <c r="R133" i="6" s="1"/>
  <c r="O131" i="6"/>
  <c r="R13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FED0C74-6E5E-B340-A1A2-6505A3B9DC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55BE507-535D-7540-A9A0-B8E1896172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<sst xmlns="http://schemas.openxmlformats.org/spreadsheetml/2006/main" count="2246" uniqueCount="660">
  <si>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</si>
  <si>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</si>
  <si>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</si>
  <si>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</si>
  <si>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</si>
  <si>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</si>
  <si>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</si>
  <si>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</si>
  <si>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</si>
  <si>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</si>
  <si>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</si>
  <si>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</si>
  <si>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</si>
  <si>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</si>
  <si>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</si>
  <si>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</si>
  <si>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</si>
  <si>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</si>
  <si>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</si>
  <si>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</si>
  <si>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</si>
  <si>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</si>
  <si>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</si>
  <si>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</si>
  <si>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</si>
  <si>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</si>
  <si>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</si>
  <si>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</si>
  <si>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</si>
  <si>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</si>
  <si>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</si>
  <si>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</si>
  <si>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</si>
  <si>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</si>
  <si>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</si>
  <si>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</si>
  <si>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</si>
  <si>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</si>
  <si>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</si>
  <si>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</si>
  <si>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</si>
  <si>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</si>
  <si>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</si>
  <si>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</si>
  <si>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</si>
  <si>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</si>
  <si>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</si>
  <si>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</si>
  <si>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</si>
  <si>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</si>
  <si>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</si>
  <si>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</si>
  <si>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</si>
  <si>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</si>
  <si>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</si>
  <si>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</si>
  <si>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</si>
  <si>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</si>
  <si>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</si>
  <si>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</si>
  <si>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</si>
  <si>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</si>
  <si>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</si>
  <si>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</si>
  <si>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</si>
  <si>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</si>
  <si>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</si>
  <si>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</si>
  <si>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</si>
  <si>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</si>
  <si>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</si>
  <si>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</si>
  <si>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</si>
  <si>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</si>
  <si>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</si>
  <si>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</si>
  <si>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</si>
  <si>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</si>
  <si>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</si>
  <si>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</si>
  <si>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</si>
  <si>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</si>
  <si>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</si>
  <si>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</si>
  <si>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</si>
  <si>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</si>
  <si>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</si>
  <si>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</si>
  <si>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</si>
  <si>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</si>
  <si>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</si>
  <si>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</si>
  <si>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</si>
  <si>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</si>
  <si>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</si>
  <si>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</si>
  <si>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</si>
  <si>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</si>
  <si>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</si>
  <si>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</si>
  <si>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</si>
  <si>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</si>
  <si>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</si>
  <si>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</si>
  <si>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</si>
  <si>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</si>
  <si>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</si>
  <si>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</si>
  <si>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</si>
  <si>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</si>
  <si>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</si>
  <si>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</si>
  <si>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</si>
  <si>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</si>
  <si>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</si>
  <si>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</si>
  <si>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</si>
  <si>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</si>
  <si>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</si>
  <si>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</si>
  <si>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</si>
  <si>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</si>
  <si>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</si>
  <si>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</si>
  <si>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</si>
  <si>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</si>
  <si>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</si>
  <si>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</si>
  <si>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</si>
  <si>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</si>
  <si>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</si>
  <si>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</si>
  <si>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</si>
  <si>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</si>
  <si>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</si>
  <si>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</si>
  <si>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</si>
  <si>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</si>
  <si>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</si>
  <si>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</si>
  <si>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</si>
  <si>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</si>
  <si>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</si>
  <si>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</si>
  <si>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</si>
  <si>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</si>
  <si>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</si>
  <si>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</si>
  <si>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</si>
  <si>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</si>
  <si>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</si>
  <si>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</si>
  <si>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</si>
  <si>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</si>
  <si>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</si>
  <si>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</si>
  <si>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</si>
  <si>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</si>
  <si>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</si>
  <si>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</si>
  <si>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</si>
  <si>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</si>
  <si>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</si>
  <si>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</si>
  <si>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</si>
  <si>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</si>
  <si>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</si>
  <si>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</si>
  <si>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</si>
  <si>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</si>
  <si>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</si>
  <si>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</si>
  <si>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</si>
  <si>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</si>
  <si>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</si>
  <si>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</si>
  <si>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</si>
  <si>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</si>
  <si>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</si>
  <si>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</si>
  <si>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</si>
  <si>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</si>
  <si>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</si>
  <si>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</si>
  <si>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</si>
  <si>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</si>
  <si>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</si>
  <si>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</si>
  <si>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</si>
  <si>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</si>
  <si>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</si>
  <si>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</si>
  <si>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</si>
  <si>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</si>
  <si>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</si>
  <si>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</si>
  <si>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</si>
  <si>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</si>
  <si>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</si>
  <si>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</si>
  <si>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</si>
  <si>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</si>
  <si>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</si>
  <si>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</si>
  <si>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</si>
  <si>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</si>
  <si>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</si>
  <si>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</si>
  <si>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</si>
  <si>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</si>
  <si>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</si>
  <si>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</si>
  <si>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</si>
  <si>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</si>
  <si>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</si>
  <si>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</si>
  <si>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</si>
  <si>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</si>
  <si>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</si>
  <si>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</si>
  <si>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</si>
  <si>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</si>
  <si>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</si>
  <si>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</si>
  <si>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</si>
  <si>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</si>
  <si>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</si>
  <si>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</si>
  <si>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</si>
  <si>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</si>
  <si>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</si>
  <si>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</si>
  <si>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</si>
  <si>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</si>
  <si>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</si>
  <si>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</si>
  <si>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</si>
  <si>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</si>
  <si>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</si>
  <si>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</si>
  <si>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</si>
  <si>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</si>
  <si>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</si>
  <si>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</si>
  <si>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</si>
  <si>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</si>
  <si>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</si>
  <si>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</si>
  <si>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</si>
  <si>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</si>
  <si>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</si>
  <si>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</si>
  <si>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</si>
  <si>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</si>
  <si>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</si>
  <si>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</si>
  <si>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</si>
  <si>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</si>
  <si>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</si>
  <si>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</si>
  <si>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</si>
  <si>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</si>
  <si>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</si>
  <si>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</si>
  <si>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</si>
  <si>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</si>
  <si>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</si>
  <si>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</si>
  <si>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</si>
  <si>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</si>
  <si>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</si>
  <si>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</si>
  <si>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</si>
  <si>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</si>
  <si>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</si>
  <si>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</si>
  <si>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</si>
  <si>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</si>
  <si>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</si>
  <si>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</si>
  <si>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</si>
  <si>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</si>
  <si>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</si>
  <si>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</si>
  <si>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</si>
  <si>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</si>
  <si>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</si>
  <si>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</si>
  <si>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</si>
  <si>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</si>
  <si>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</si>
  <si>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</si>
  <si>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</si>
  <si>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</si>
  <si>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</si>
  <si>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</si>
  <si>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</si>
  <si>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</si>
  <si>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</si>
  <si>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</si>
  <si>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</si>
  <si>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</si>
  <si>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</si>
  <si>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</si>
  <si>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</si>
  <si>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</si>
  <si>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</si>
  <si>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</si>
  <si>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</si>
  <si>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</si>
  <si>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</si>
  <si>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</si>
  <si>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</si>
  <si>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</si>
  <si>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</si>
  <si>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</si>
  <si>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</si>
  <si>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</si>
  <si>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</si>
  <si>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</si>
  <si>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</si>
  <si>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</si>
  <si>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</si>
  <si>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</si>
  <si>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</si>
  <si>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</si>
  <si>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</si>
  <si>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</si>
  <si>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</si>
  <si>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</si>
  <si>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</si>
  <si>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</si>
  <si>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</si>
  <si>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</si>
  <si>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</si>
  <si>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</si>
  <si>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</si>
  <si>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</si>
  <si>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</si>
  <si>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</si>
  <si>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</si>
  <si>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</si>
  <si>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</si>
  <si>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</si>
  <si>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</si>
  <si>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</si>
  <si>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</si>
  <si>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</si>
  <si>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</si>
  <si>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</si>
  <si>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</si>
  <si>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</si>
  <si>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</si>
  <si>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</si>
  <si>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</si>
  <si>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</si>
  <si>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</si>
  <si>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</si>
  <si>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</si>
  <si>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</si>
  <si>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</si>
  <si>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</si>
  <si>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</si>
  <si>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</si>
  <si>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</si>
  <si>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</si>
  <si>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</si>
  <si>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</si>
  <si>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</si>
  <si>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</si>
  <si>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</si>
  <si>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</si>
  <si>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</si>
  <si>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</si>
  <si>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</si>
  <si>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</si>
  <si>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</si>
  <si>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</si>
  <si>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</si>
  <si>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</si>
  <si>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</si>
  <si>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</si>
  <si>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</si>
  <si>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</si>
  <si>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</si>
  <si>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</si>
  <si>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</si>
  <si>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</si>
  <si>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</si>
  <si>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</si>
  <si>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</si>
  <si>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</si>
  <si>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</si>
  <si>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</si>
  <si>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</si>
  <si>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</si>
  <si>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</si>
  <si>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</si>
  <si>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</si>
  <si>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</si>
  <si>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</si>
  <si>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</si>
  <si>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</si>
  <si>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</si>
  <si>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</si>
  <si>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</si>
  <si>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</si>
  <si>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</si>
  <si>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</si>
  <si>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</si>
  <si>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</si>
  <si>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</si>
  <si>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</si>
  <si>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</si>
  <si>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</si>
  <si>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</si>
  <si>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</si>
  <si>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</si>
  <si>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</si>
  <si>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</si>
  <si>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</si>
  <si>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</si>
  <si>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</si>
  <si>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</si>
  <si>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</si>
  <si>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</si>
  <si>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</si>
  <si>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</si>
  <si>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</si>
  <si>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</si>
  <si>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</si>
  <si>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</si>
  <si>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</si>
  <si>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</si>
  <si>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</si>
  <si>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</si>
  <si>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</si>
  <si>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</si>
  <si>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</si>
  <si>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</si>
  <si>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</si>
  <si>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</si>
  <si>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</si>
  <si>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</si>
  <si>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</si>
  <si>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</si>
  <si>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</si>
  <si>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</si>
  <si>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</si>
  <si>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</si>
  <si>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</si>
  <si>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</si>
  <si>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</si>
  <si>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</si>
  <si>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</si>
  <si>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</si>
  <si>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</si>
  <si>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</si>
  <si>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</si>
  <si>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</si>
  <si>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</si>
  <si>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</si>
  <si>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</si>
  <si>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Accidentally bought the Z PCB. I originally planned on buying the Omron Mouse Button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</si>
  <si>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</si>
  <si>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</si>
  <si>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</si>
  <si>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</si>
  <si>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TWW-KF-VORON-6
Direct from TWW account</t>
  </si>
  <si>
    <t>TWW-KF-VORON-6</t>
  </si>
  <si>
    <t>Mandala Roseworks The "Gripper" E3DV6 Wrench</t>
  </si>
  <si>
    <t>Layerneer Bed Weld - Original 3D printing adhesive</t>
  </si>
  <si>
    <t>Purchased from Amazon</t>
  </si>
  <si>
    <t>Tool. Not just for Voron though.
Purchase through Mandala Roseworks - Shop store</t>
  </si>
  <si>
    <t>TWW-KF-VORON-7
Direct from TWW account</t>
  </si>
  <si>
    <t>TWW-KF-VORON-8
Direct from TWW account</t>
  </si>
  <si>
    <t>Voron Tap - rail w/ optotap v2 (5-24v) and HW kit; from DFH</t>
  </si>
  <si>
    <t>Not required but highly recommended
Shipping is split between orders.
Purchased from Mandala Roseworks - Shop store</t>
  </si>
  <si>
    <t>Nightlight on a stick - LED Strip; from DFH</t>
  </si>
  <si>
    <t>Disco stick on black PCB - LED Strip; from DFH</t>
  </si>
  <si>
    <t>Daylight on a stick on black PCB; from DFH</t>
  </si>
  <si>
    <t>OV5640 Camera Module; from DFH</t>
  </si>
  <si>
    <t>Seeeduino XIAO; from DFH</t>
  </si>
  <si>
    <t>Optional add-on
Purchased from DFH - Shop store</t>
  </si>
  <si>
    <t>TWW-KF-VORON-9
Direct from TWW account</t>
  </si>
  <si>
    <t>TWW-KF-VORON-9</t>
  </si>
  <si>
    <t>Bought for other projects
Purchased from DFH - Shop store</t>
  </si>
  <si>
    <t>Not all for Voron. LED controller and other projects
Purchased from DFH - Shop store</t>
  </si>
  <si>
    <t>TWW-KF-VORON-2
Pay Apple CC from TWW account</t>
  </si>
  <si>
    <t>Shipping is split between items. 
Purchased from DFH - Shop store</t>
  </si>
  <si>
    <t>Shipping is split between items.
Purchased from Mandala Roseworks - Shop store</t>
  </si>
  <si>
    <t>Voron Txn 7 (TWW-KF-VORON-7)
TWW Kids fund (proj. voron): $35.27 on 12/05/2022
total shipping: $6.27</t>
  </si>
  <si>
    <t>Voron Txn 6 (TWW-KF-VORON-6) 
TWW Kids fund (proj. voron): $131.12 on 12/05/2022
total shipping: $8.12</t>
  </si>
  <si>
    <t>Voron Txn 1 (TWW-KF-VORON-1)
TWW Kids fund (proj. voron): $71.98 on 10/07/2022
Voron Txn 5 (TWW-KF-VORON-5)
TWW Kids fund (proj. voron): $136.98 on 12/02/2022</t>
  </si>
  <si>
    <t>Voron Txn 8 (TWW-KF-VORON-8)
TWW Kids fund (proj. voron): $22.95 on 12/05/2022</t>
  </si>
  <si>
    <t>Voron Txn 9 (TWW-KF-VORON-9)
TWW Kids fund (proj. voron): $182.63 on 12/08/2022
total shipping: $20.18; total discount: $18.05</t>
  </si>
  <si>
    <t>Voron Txn 2 (TWW-KF-VORON-2)
TWW Kids fund (proj. voron): $146.82 on 10/24/2022
total shipping: $41.82</t>
  </si>
  <si>
    <t>Voron Txn 4 (TWW-KF-VORON-4)
TWW Kids fund (proj. voron): $543.42 on 12/02/2022</t>
  </si>
  <si>
    <t>Voron Txn 3 (TWW-KF-VORON-3)
TWW Kids fund (proj. voron): $530.90 on 11/11/2022
total shipping: $10.00</t>
  </si>
  <si>
    <t>Toolhead parts for: Stealth Burner + Clockwork2 + Phaetus Rapido UHF</t>
  </si>
  <si>
    <t>MR85 Bearings</t>
  </si>
  <si>
    <t>M3 x 6 FHCS</t>
  </si>
  <si>
    <t>Component</t>
  </si>
  <si>
    <t>All sizes</t>
  </si>
  <si>
    <t>Recommended</t>
  </si>
  <si>
    <t>Alternative Source</t>
  </si>
  <si>
    <t>Alternative Source 2</t>
  </si>
  <si>
    <t>Hardware</t>
  </si>
  <si>
    <t>M3 Brass Heatstake Inserts - Short</t>
  </si>
  <si>
    <t>All</t>
  </si>
  <si>
    <t>Amazon</t>
  </si>
  <si>
    <t>McMaster-Carr</t>
  </si>
  <si>
    <t>Aliexpress - M3x5x4</t>
  </si>
  <si>
    <t>ISO 10462 / DIN7991</t>
  </si>
  <si>
    <t>ISO 7380-1</t>
  </si>
  <si>
    <t>Bolt Depot</t>
  </si>
  <si>
    <t>ISO 4762 / DIN 912</t>
  </si>
  <si>
    <t>M3x10 SHCS</t>
  </si>
  <si>
    <t>ISO 4762 / DIN 913</t>
  </si>
  <si>
    <t>M3x25 SHCS</t>
  </si>
  <si>
    <t>M3x50 SHCS</t>
  </si>
  <si>
    <t>McMaster</t>
  </si>
  <si>
    <t>M3 washer</t>
  </si>
  <si>
    <t>ISO 4033 / DIN 934</t>
  </si>
  <si>
    <t>NEMA14 36mm Round Pancake Motor with 10 tooth gear 20mm</t>
  </si>
  <si>
    <t>50x50x15 Centrefugal Fan</t>
  </si>
  <si>
    <t>4010 Axial Fan</t>
  </si>
  <si>
    <t>NeoPixel RGBW Mini Button PCB</t>
  </si>
  <si>
    <t>Misc.</t>
  </si>
  <si>
    <t>6x3mm Magnet</t>
  </si>
  <si>
    <t>PTFE Tube</t>
  </si>
  <si>
    <t>Aliexpress (TL)</t>
  </si>
  <si>
    <t>BMG Extruder Insides</t>
  </si>
  <si>
    <t>MicroFit3 Connector Receptical 3 Position</t>
  </si>
  <si>
    <t>30AWG PTFE Cable (3ft total)</t>
  </si>
  <si>
    <t>24AWG PTFE Cable (30ft total)</t>
  </si>
  <si>
    <t>ADXL Optional</t>
  </si>
  <si>
    <t>M3 Threaded Inserts - short</t>
  </si>
  <si>
    <t>M2x10 self tapping screw</t>
  </si>
  <si>
    <t>Harness for ADXL Sensor Module</t>
  </si>
  <si>
    <t>Hotend Mounting Screws (M2.5)</t>
  </si>
  <si>
    <t>Hotend Mounting Screws (M3)</t>
  </si>
  <si>
    <t>Only need 8 but doubling the quantity for other projects</t>
  </si>
  <si>
    <t>1 is  required. Adding 1 more  for in-case it fails</t>
  </si>
  <si>
    <t>MODIFI3D - PRO 3D Print Finishing and Repair Tool</t>
  </si>
  <si>
    <t>vendor: Printedsolid.com</t>
  </si>
  <si>
    <t>Voron Txn 10 (TWW-KF-VORON-10)
TWW Kids fund (proj. voron): $89.99 on 12/21/2022</t>
  </si>
  <si>
    <t>TWW-KF-VORON-10
Direct from TWW account</t>
  </si>
  <si>
    <t>SK6812 RGBW 5v LED (Similar to NeoPixel)</t>
  </si>
  <si>
    <t>LDO Nema14 36mm Pancake Stepper Motor LDO-36STH20-1004AHG</t>
  </si>
  <si>
    <t>Included in wiring kit</t>
  </si>
  <si>
    <t>Attempting to use the Voron Tap</t>
  </si>
  <si>
    <t>TWW-KF-VORON-11
Direct from TWW account</t>
  </si>
  <si>
    <t>TWW-KF-VORON-11</t>
  </si>
  <si>
    <t>Hartk Stealthburner Toolhead PCB</t>
  </si>
  <si>
    <t>2 is on the BOM, but purchasing 3 for an extra</t>
  </si>
  <si>
    <t>5015 GDSTIME DC 24V 50x50x15 Centrifugal Blower Fan GDB5015Dual Ball Bearing 6000RPM 2.2W .1A XH2.54</t>
  </si>
  <si>
    <t>Adding 1 more for SB toolhead. TODO: Is this what that’s for</t>
  </si>
  <si>
    <t>Voron Txn 11 (TWW-KF-VORON-11)
TWW Kids fund (proj. voron): $581.28 on 12/21/2022</t>
  </si>
  <si>
    <t>5015 24v Dual Ball Blower</t>
  </si>
  <si>
    <t>Cost per unit</t>
  </si>
  <si>
    <t>https://dfh.fm/products/5015-24v-dual-ball-blower?variant=39612699738281</t>
  </si>
  <si>
    <t>DFH</t>
  </si>
  <si>
    <t>Nevermore Printer Carbon</t>
  </si>
  <si>
    <t>Neodymium Magnet 6x3 Round - 10 Pack</t>
  </si>
  <si>
    <t>https://dfh.fm/products/neodymium-magnet-6x3-round?variant=40397500940457</t>
  </si>
  <si>
    <t>Threaded Heat Insert Nut x 100 (M3x5x4)</t>
  </si>
  <si>
    <t>https://dfh.fm/products/threaded-heat-insert-nut?variant=39650196816041</t>
  </si>
  <si>
    <t>https://dfh.fm/products/nevermore-printer-carbon?variant=42292685209822</t>
  </si>
  <si>
    <t>2020 M3 T-nuts; roll-in spring loaded (100-pack)</t>
  </si>
  <si>
    <t>https://www.amazon.com/100-Pack-Aluminum-Extrusions-Profile-Accessories/dp/B08YNFGYNH</t>
  </si>
  <si>
    <t>Do not need. Enough on-hand</t>
  </si>
  <si>
    <t>Purchase?</t>
  </si>
  <si>
    <t>No</t>
  </si>
  <si>
    <t>M3x4 BHCS</t>
  </si>
  <si>
    <t>2 PIN JST header</t>
  </si>
  <si>
    <t>Yes</t>
  </si>
  <si>
    <t>M3X6 BHCS</t>
  </si>
  <si>
    <t>Do not need. Enough on-hand. Min. quantity: 5</t>
  </si>
  <si>
    <t>May not need if enough left over from the voron build. Min. quantity: 2</t>
  </si>
  <si>
    <t>M3X16 BHCS</t>
  </si>
  <si>
    <t>M3X18 BHCS</t>
  </si>
  <si>
    <t>Min. quantity: 8</t>
  </si>
  <si>
    <t>Mods for Voron 2.4R2 w/ Mandala Roseworks (MRW) kinematic mounts</t>
  </si>
  <si>
    <t>M3x5x4 Heatset Insert</t>
  </si>
  <si>
    <t>Z endstop PCB</t>
  </si>
  <si>
    <t>Do not need. Part of the sexbolt kit</t>
  </si>
  <si>
    <t xml:space="preserve">M2x8 Self Tapping	</t>
  </si>
  <si>
    <t>Formosissima - Z endstop PCB</t>
  </si>
  <si>
    <t>Amazon - M2x8 SHCS Self Tapping</t>
  </si>
  <si>
    <t>M5x8 SHCS</t>
  </si>
  <si>
    <t>M5x40mm Binding Screw</t>
  </si>
  <si>
    <t>5x7x8 Sleeve Bearing</t>
  </si>
  <si>
    <t>Amazon - Binding Screw</t>
  </si>
  <si>
    <t>Amazon - Sleeve Bearing</t>
  </si>
  <si>
    <t>LBY 100pcs Phillips Chicago Screws Binding Screw Posts,M5 x 10/20/30/40/50mm Book Screws,Binding Barrels and Screws Assortment Kit, for Leather Saddles Purses Belt Repair, Nickel Plated (Black)</t>
  </si>
  <si>
    <t>Purchase qty: 8</t>
  </si>
  <si>
    <t>Purchase qty: 12</t>
  </si>
  <si>
    <t>Metric socket cap, Class 12.9 alloy steel black oxide finish, 3mm x 0.5mm x 12mm</t>
  </si>
  <si>
    <t>Metric socket cap, Class 12.9 alloy steel black oxide finish, 5mm x 0.8mm x 8mm Socket head screw</t>
  </si>
  <si>
    <t>Metric socket cap, Class 12.9 alloy steel black oxide finish, 3mm x 0.5mm x 30mm</t>
  </si>
  <si>
    <t>Extras</t>
  </si>
  <si>
    <t>Metric socket cap, Stainless steel 18-8 (A-2), 3mm x 0.5mm x 30mm</t>
  </si>
  <si>
    <t>Actually for the polyformer</t>
  </si>
  <si>
    <t>uxcell Sleeve Bearing 5mm Bore x 7mm OD x 8mm Length Plain Bearings Wrapped Oilless Bushings 10pcs</t>
  </si>
  <si>
    <t>Kit Cost</t>
  </si>
  <si>
    <t>M5x8 SHCS; Class 12.9 alloy steel black oxide finish</t>
  </si>
  <si>
    <t>M3x12 SHCS; Class 12.9 alloy steel black oxide finish</t>
  </si>
  <si>
    <t>M3x30 SHCS; Class 12.9 alloy steel black oxide finish</t>
  </si>
  <si>
    <t>M3x30 SHCS; Stainless steel 18-8 (A-2)</t>
  </si>
  <si>
    <t>Not for Voron. Polyform parts</t>
  </si>
  <si>
    <t>Nevermore Micro V5 Duo Filter and MRW Voron 2.4 mod parts</t>
  </si>
  <si>
    <t>Voron Txn 18 (TWW-KF-VORON-18)
TWW Kids fund (proj. voron): $11.05 on 12/27/2022</t>
  </si>
  <si>
    <t>TWW-KF-VORON-18
Direct from TWW account</t>
  </si>
  <si>
    <t>TWW-KF-VORON-18</t>
  </si>
  <si>
    <t>LBY 100pcs Binding Screw kit,M5 x 10/20/30/40/50mm; Nickel Plated (Black)</t>
  </si>
  <si>
    <t>uxcell 10pcs Sleeve Bearing 5x7x8mm</t>
  </si>
  <si>
    <t>LBY 100pcs Binding Screw kit,M5 x 10/20/30/40/50; Nickel Plated (Black)</t>
  </si>
  <si>
    <t>TWW-KF-VORON-17
Direct from TWW account</t>
  </si>
  <si>
    <t>TWW-KF-VORON-17</t>
  </si>
  <si>
    <t>LDO Input Shaper kit; ADXL345 and more</t>
  </si>
  <si>
    <t>On sale from Fabreeko.</t>
  </si>
  <si>
    <t>Voron Txn 17 (TWW-KF-VORON-17)
TWW Kids fund (proj. voron): $17.48 on 12/27/2022</t>
  </si>
  <si>
    <t>Voron Txn 16 (TWW-KF-VORON-16)
TWW Kids fund (proj. voron): $14.98 on 12/27/2022</t>
  </si>
  <si>
    <t>TWW-KF-VORON-16
Direct from TWW account</t>
  </si>
  <si>
    <t>Voron Txn 15 (TWW-KF-VORON-15)
TWW Kids fund (proj. voron): $45.95 on 12/27/2022</t>
  </si>
  <si>
    <t>TWW-KF-VORON-15
Direct from TWW account</t>
  </si>
  <si>
    <t>TWW-KF-VORON-15</t>
  </si>
  <si>
    <t>Fermoi Style (350mm) from Keenovo Store</t>
  </si>
  <si>
    <t>Purchase from the Keenovo Store directly b/c of limited supplies</t>
  </si>
  <si>
    <t>TWW-KF-VORON-14
Direct from TWW account</t>
  </si>
  <si>
    <t>Voron Txn 14 (TWW-KF-VORON-14)
TWW Kids fund (proj. voron): $134.12 on 12/26/2022</t>
  </si>
  <si>
    <t>BTT SFS V1.0 Smart Filament Sensor (from DFH)</t>
  </si>
  <si>
    <t>vendor: DFH via Shop</t>
  </si>
  <si>
    <t>BTT HDMI7 V1.0 Display from DFH</t>
  </si>
  <si>
    <t>TWW-KF-VORON-12
Direct from TWW account</t>
  </si>
  <si>
    <t>TWW-KF-VORON-12</t>
  </si>
  <si>
    <t>Not needed for direct drive Voron.</t>
  </si>
  <si>
    <t>Voron Stealthburner Fastener and LED Kit</t>
  </si>
  <si>
    <t>Purchased from DFH via shop. Not sure if I duplicated the parts.</t>
  </si>
  <si>
    <t xml:space="preserve">Voron 2.4 and Trident Sexbolt Z Endstop Super Kit </t>
  </si>
  <si>
    <t>Purchased from DFH via shop. Some parts are duplicated.</t>
  </si>
  <si>
    <t>TWW-KF-VORON-13</t>
  </si>
  <si>
    <t>TWW-KF-VORON-13
Direct from TWW account</t>
  </si>
  <si>
    <t>Voron Txn 13 (TWW-KF-VORON-13)
TWW Kids fund (proj. voron): $130.10 on 12/26/2022</t>
  </si>
  <si>
    <t>Voron Txn 12 (TWW-KF-VORON-12)
TWW Kids fund (proj. voron): $148.13 on 12/25/2022</t>
  </si>
  <si>
    <t>350mm option</t>
  </si>
  <si>
    <t>Capricornus PTFE Tube 1.9mm Teflonto Bowden Tube - Red</t>
  </si>
  <si>
    <t>Addon. May not need</t>
  </si>
  <si>
    <t>5mm x 10m Single Sided Self Adhesive Tape / 3mm thick</t>
  </si>
  <si>
    <t>For sealing enclosure</t>
  </si>
  <si>
    <t>TWW-KF-VORON-19
Direct from TWW account</t>
  </si>
  <si>
    <t>TWW-KF-VORON-19</t>
  </si>
  <si>
    <t>Voron Txn 19 (TWW-KF-VORON-19)
TWW Kids fund (proj. voron): $35.83 on 12/27/2022</t>
  </si>
  <si>
    <t>Clockwise Tools DITR-0105 Digital Dial Indicator Gauge; 0.00005 Inch/0.001mm Resolution</t>
  </si>
  <si>
    <t>Bed calibration tools. Purchased from Amazon</t>
  </si>
  <si>
    <t>TÜRLEN Premium 22 pc Dial/Digital Indicator End Tip Point Set</t>
  </si>
  <si>
    <t>Voron Txn 20 (TWW-KF-VORON-20)
TWW Kids fund (proj. voron): $79.74 on 12/22/2022</t>
  </si>
  <si>
    <t>TWW-KF-VORON-20
Direct from TWW account</t>
  </si>
  <si>
    <t>TWW-KF-VORON-20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</si>
</sst>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right" vertical="center" wrapText="1"/>
    </xf>
    <xf numFmtId="0" fontId="36" fillId="38" borderId="0" xfId="0" applyFont="1" applyFill="1" applyAlignment="1">
      <alignment horizontal="left" vertical="top" wrapText="1"/>
    </xf>
    <xf numFmtId="0" fontId="22" fillId="0" borderId="0" xfId="42"/>
    <xf numFmtId="16" fontId="0" fillId="0" borderId="0" xfId="0" applyNumberFormat="1"/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45" fillId="39" borderId="23" xfId="0" applyFont="1" applyFill="1" applyBorder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40" fillId="39" borderId="0" xfId="0" applyFont="1" applyFill="1" applyAlignment="1">
      <alignment vertical="top" wrapText="1"/>
    </xf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8" fillId="39" borderId="0" xfId="42" applyFont="1" applyFill="1"/>
    <xf numFmtId="164" fontId="39" fillId="39" borderId="0" xfId="0" applyNumberFormat="1" applyFont="1" applyFill="1"/>
    <xf numFmtId="0" fontId="39" fillId="39" borderId="23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st3d.com/products/voron-2-4-motor-kit-by-omc-steppersonline?_pos=1&amp;_sid=dd1f4dbfe&amp;_ss=r" TargetMode="External"/><Relationship Id="rId117" Type="http://schemas.openxmlformats.org/officeDocument/2006/relationships/hyperlink" Target="https://dfh.fm/products/5015-24v-dual-ball-blower?variant=39612699738281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12" Type="http://schemas.openxmlformats.org/officeDocument/2006/relationships/hyperlink" Target="https://www.amazon.com/dp/B0B5RBWM3Y?th=1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07" Type="http://schemas.openxmlformats.org/officeDocument/2006/relationships/hyperlink" Target="https://west3d.com/products/gdstime-dc-24v-50x50x15-centrifugal-blower-fan-gdb5015dual-ball-bearing-6000rpm-2-2w-1a-xh2-54?variant=42230989455572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102" Type="http://schemas.openxmlformats.org/officeDocument/2006/relationships/hyperlink" Target="https://dfh.fm/products/daylight-on-a-stick-by-bartlammers?variant=43155177308382" TargetMode="External"/><Relationship Id="rId123" Type="http://schemas.openxmlformats.org/officeDocument/2006/relationships/hyperlink" Target="https://west3d.com/products/capricornus-ptfe-tube-1-9mm-teflonto?variant=42504300462292" TargetMode="External"/><Relationship Id="rId128" Type="http://schemas.openxmlformats.org/officeDocument/2006/relationships/comments" Target="../comments1.xm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www.amazon.com/Printer-Adhesive-Layerneer-Original-Filament/dp/B079984GV5/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113" Type="http://schemas.openxmlformats.org/officeDocument/2006/relationships/hyperlink" Target="https://www.amazon.com/dp/B07JLVRYKT" TargetMode="External"/><Relationship Id="rId118" Type="http://schemas.openxmlformats.org/officeDocument/2006/relationships/hyperlink" Target="https://keenovo.store/products/keenovo-silicone-heater-for-voron-3d-printer-with-fermio-style-build-plate-heatbed-heating-mat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59" Type="http://schemas.openxmlformats.org/officeDocument/2006/relationships/hyperlink" Target="https://west3d.com/products/voron-2-4-motor-kit-by-ldo-motors" TargetMode="External"/><Relationship Id="rId103" Type="http://schemas.openxmlformats.org/officeDocument/2006/relationships/hyperlink" Target="https://www.printedsolid.com/products/modifi3d-pro-3d-print-finishing-and-repair-tool?variant=31596345426005" TargetMode="External"/><Relationship Id="rId108" Type="http://schemas.openxmlformats.org/officeDocument/2006/relationships/hyperlink" Target="https://www.boltdepot.com/Product-Details.aspx?product=13637" TargetMode="External"/><Relationship Id="rId124" Type="http://schemas.openxmlformats.org/officeDocument/2006/relationships/hyperlink" Target="https://west3d.com/products/5mm-x-10m-single-sided-self-adhesive-tape-3mm-thick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mandalaroseworks.com/products/matched-height-kinematic-kit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49" Type="http://schemas.openxmlformats.org/officeDocument/2006/relationships/hyperlink" Target="https://west3d.com/products/voron-2-4-acrylic-panels?variant=41213966287016" TargetMode="External"/><Relationship Id="rId114" Type="http://schemas.openxmlformats.org/officeDocument/2006/relationships/hyperlink" Target="https://www.fabreeko.com/products/copy-of-adxl345-accelerometer" TargetMode="External"/><Relationship Id="rId119" Type="http://schemas.openxmlformats.org/officeDocument/2006/relationships/hyperlink" Target="https://dfh.fm/products/btt-sfs-v1-0-smart-filament-senso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109" Type="http://schemas.openxmlformats.org/officeDocument/2006/relationships/hyperlink" Target="https://www.boltdepot.com/Product-Details.aspx?product=13641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hyperlink" Target="https://dfh.fm/products/voron-tap?variant=43703614341342" TargetMode="External"/><Relationship Id="rId104" Type="http://schemas.openxmlformats.org/officeDocument/2006/relationships/hyperlink" Target="https://west3d.com/products/sk6812-rgbw-5v-led-neopixel?variant=42230909632724" TargetMode="External"/><Relationship Id="rId120" Type="http://schemas.openxmlformats.org/officeDocument/2006/relationships/hyperlink" Target="https://dfh.fm/products/btt-hdmi7-v1-0-display" TargetMode="External"/><Relationship Id="rId125" Type="http://schemas.openxmlformats.org/officeDocument/2006/relationships/hyperlink" Target="https://www.amazon.com/gp/product/B07888LX1R" TargetMode="Externa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110" Type="http://schemas.openxmlformats.org/officeDocument/2006/relationships/hyperlink" Target="https://www.boltdepot.com/Product-Details.aspx?product=65183" TargetMode="External"/><Relationship Id="rId115" Type="http://schemas.openxmlformats.org/officeDocument/2006/relationships/hyperlink" Target="https://dfh.fm/products/neodymium-magnet-6x3-round?variant=40397500940457" TargetMode="Externa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100" Type="http://schemas.openxmlformats.org/officeDocument/2006/relationships/hyperlink" Target="https://dfh.fm/products/ov5640-camera-module" TargetMode="External"/><Relationship Id="rId105" Type="http://schemas.openxmlformats.org/officeDocument/2006/relationships/hyperlink" Target="https://west3d.com/products/ldo-nema14-36mm-pancake-stepper-motor-ldo-36sth20-1004ahg?variant=41897549562068" TargetMode="External"/><Relationship Id="rId126" Type="http://schemas.openxmlformats.org/officeDocument/2006/relationships/hyperlink" Target="https://www.amazon.com/gp/product/B0043F776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hyperlink" Target="https://dfh.fm/products/nightlight-on-a-stick-by-bartlammers" TargetMode="External"/><Relationship Id="rId121" Type="http://schemas.openxmlformats.org/officeDocument/2006/relationships/hyperlink" Target="https://dfh.fm/products/voron-stealthburner-fastener-and-led-kit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67" Type="http://schemas.openxmlformats.org/officeDocument/2006/relationships/hyperlink" Target="https://west3d.com/products/bowden-coupler-for-4mm-od-ptfe-tube" TargetMode="External"/><Relationship Id="rId116" Type="http://schemas.openxmlformats.org/officeDocument/2006/relationships/hyperlink" Target="https://dfh.fm/products/nevermore-printer-carbon?variant=42292685209822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62" Type="http://schemas.openxmlformats.org/officeDocument/2006/relationships/hyperlink" Target="https://west3d.com/products/btt-pi4b-adapter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111" Type="http://schemas.openxmlformats.org/officeDocument/2006/relationships/hyperlink" Target="https://www.boltdepot.com/Product-Details.aspx?product=6385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6" Type="http://schemas.openxmlformats.org/officeDocument/2006/relationships/hyperlink" Target="https://west3d.com/products/hartk-stealthburner-toolhead-pcb?variant=42679613718740" TargetMode="External"/><Relationship Id="rId127" Type="http://schemas.openxmlformats.org/officeDocument/2006/relationships/vmlDrawing" Target="../drawings/vmlDrawing1.vm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94" Type="http://schemas.openxmlformats.org/officeDocument/2006/relationships/hyperlink" Target="https://mandalaroseworks.com/products/the-gripper-e3dv6-wrench" TargetMode="External"/><Relationship Id="rId99" Type="http://schemas.openxmlformats.org/officeDocument/2006/relationships/hyperlink" Target="https://dfh.fm/products/disco-stick?variant=43340754976990" TargetMode="External"/><Relationship Id="rId101" Type="http://schemas.openxmlformats.org/officeDocument/2006/relationships/hyperlink" Target="https://dfh.fm/products/seeeduino-xiao'" TargetMode="External"/><Relationship Id="rId122" Type="http://schemas.openxmlformats.org/officeDocument/2006/relationships/hyperlink" Target="https://dfh.fm/products/voron-2-4-sexbolt-z-endstop-super-kit?variant=42577694163166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depot.com/Product-Details.aspx?product=65183" TargetMode="External"/><Relationship Id="rId13" Type="http://schemas.openxmlformats.org/officeDocument/2006/relationships/hyperlink" Target="http://boltdepot.com/" TargetMode="External"/><Relationship Id="rId18" Type="http://schemas.openxmlformats.org/officeDocument/2006/relationships/hyperlink" Target="https://www.boltdepot.com/Product-Details.aspx?product=13637" TargetMode="External"/><Relationship Id="rId26" Type="http://schemas.openxmlformats.org/officeDocument/2006/relationships/hyperlink" Target="https://dfh.fm/products/5015-24v-dual-ball-blower?variant=39612699738281" TargetMode="External"/><Relationship Id="rId3" Type="http://schemas.openxmlformats.org/officeDocument/2006/relationships/hyperlink" Target="https://dfh.fm/products/neodymium-magnet-6x3-round?variant=40397500940457" TargetMode="External"/><Relationship Id="rId21" Type="http://schemas.openxmlformats.org/officeDocument/2006/relationships/hyperlink" Target="https://www.boltdepot.com/Product-Details.aspx?product=6385" TargetMode="External"/><Relationship Id="rId7" Type="http://schemas.openxmlformats.org/officeDocument/2006/relationships/hyperlink" Target="https://www.amazon.com/dp/B00YBMRAH4" TargetMode="External"/><Relationship Id="rId12" Type="http://schemas.openxmlformats.org/officeDocument/2006/relationships/hyperlink" Target="https://www.boltdepot.com/Product-Details.aspx?product=13637" TargetMode="External"/><Relationship Id="rId17" Type="http://schemas.openxmlformats.org/officeDocument/2006/relationships/hyperlink" Target="http://boltdepot.com/" TargetMode="External"/><Relationship Id="rId25" Type="http://schemas.openxmlformats.org/officeDocument/2006/relationships/hyperlink" Target="https://dfh.fm/products/nevermore-printer-carbon?variant=42292685209822" TargetMode="External"/><Relationship Id="rId2" Type="http://schemas.openxmlformats.org/officeDocument/2006/relationships/hyperlink" Target="https://dfh.fm/" TargetMode="External"/><Relationship Id="rId16" Type="http://schemas.openxmlformats.org/officeDocument/2006/relationships/hyperlink" Target="https://www.boltdepot.com/Product-Details.aspx?product=6385" TargetMode="External"/><Relationship Id="rId20" Type="http://schemas.openxmlformats.org/officeDocument/2006/relationships/hyperlink" Target="https://www.boltdepot.com/Product-Details.aspx?product=65183" TargetMode="External"/><Relationship Id="rId1" Type="http://schemas.openxmlformats.org/officeDocument/2006/relationships/hyperlink" Target="https://dfh.fm/products/5015-24v-dual-ball-blower?variant=39612699738281" TargetMode="External"/><Relationship Id="rId6" Type="http://schemas.openxmlformats.org/officeDocument/2006/relationships/hyperlink" Target="https://deepfriedhero.in/products/z-endstop-pcb-for-voron-v2-4" TargetMode="External"/><Relationship Id="rId11" Type="http://schemas.openxmlformats.org/officeDocument/2006/relationships/hyperlink" Target="https://www.amazon.com/dp/B0B5RBWM3Y?th=1" TargetMode="External"/><Relationship Id="rId24" Type="http://schemas.openxmlformats.org/officeDocument/2006/relationships/hyperlink" Target="https://dfh.fm/products/neodymium-magnet-6x3-round?variant=40397500940457" TargetMode="External"/><Relationship Id="rId5" Type="http://schemas.openxmlformats.org/officeDocument/2006/relationships/hyperlink" Target="https://dfh.fm/products/nevermore-printer-carbon?variant=42292685209822" TargetMode="External"/><Relationship Id="rId15" Type="http://schemas.openxmlformats.org/officeDocument/2006/relationships/hyperlink" Target="http://boltdepot.com/" TargetMode="External"/><Relationship Id="rId23" Type="http://schemas.openxmlformats.org/officeDocument/2006/relationships/hyperlink" Target="https://www.amazon.com/dp/B07JLVRYKT" TargetMode="External"/><Relationship Id="rId10" Type="http://schemas.openxmlformats.org/officeDocument/2006/relationships/hyperlink" Target="https://www.amazon.com/dp/B07JLVRYKT" TargetMode="External"/><Relationship Id="rId19" Type="http://schemas.openxmlformats.org/officeDocument/2006/relationships/hyperlink" Target="https://www.boltdepot.com/Product-Details.aspx?product=13641" TargetMode="External"/><Relationship Id="rId4" Type="http://schemas.openxmlformats.org/officeDocument/2006/relationships/hyperlink" Target="https://dfh.fm/products/threaded-heat-insert-nut?variant=39650196816041" TargetMode="External"/><Relationship Id="rId9" Type="http://schemas.openxmlformats.org/officeDocument/2006/relationships/hyperlink" Target="https://www.boltdepot.com/Product-Details.aspx?product=13641" TargetMode="External"/><Relationship Id="rId14" Type="http://schemas.openxmlformats.org/officeDocument/2006/relationships/hyperlink" Target="http://boltdepot.com/" TargetMode="External"/><Relationship Id="rId22" Type="http://schemas.openxmlformats.org/officeDocument/2006/relationships/hyperlink" Target="https://www.amazon.com/dp/B0B5RBWM3Y?th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4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4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5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5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48"/>
  <sheetViews>
    <sheetView tabSelected="1" zoomScale="110" zoomScaleNormal="110" workbookViewId="0">
      <pane xSplit="7" ySplit="2" topLeftCell="L75" activePane="bottomRight" state="frozen"/>
      <selection pane="topRight" activeCell="H1" sqref="H1"/>
      <selection pane="bottomLeft" activeCell="A3" sqref="A3"/>
      <selection pane="bottomRight" activeCell="S100" sqref="S100"/>
    </sheetView>
  </sheetViews>
  <sheetFormatPr baseColWidth="10" defaultRowHeight="16"/>
  <cols>
    <col min="1" max="1" width="52.1640625" style="60" bestFit="1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6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30" ht="24" customHeight="1">
      <c r="A1" s="135" t="s">
        <v>293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30" s="90" customFormat="1" ht="23" customHeight="1" thickBo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30" ht="32" thickTop="1" thickBot="1">
      <c r="A3" s="58" t="s">
        <v>297</v>
      </c>
      <c r="B3" s="66">
        <v>0</v>
      </c>
      <c r="C3" s="66" t="s">
        <v>298</v>
      </c>
      <c r="D3" s="66"/>
      <c r="E3" s="61" t="s">
        <v>297</v>
      </c>
      <c r="F3" s="58"/>
      <c r="G3" s="58"/>
      <c r="H3" s="78" t="s">
        <v>371</v>
      </c>
      <c r="I3" s="75" t="s">
        <v>434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5"/>
      <c r="R3" s="63" t="s">
        <v>440</v>
      </c>
      <c r="S3" s="97"/>
      <c r="T3" s="98"/>
      <c r="AD3" s="82" t="s">
        <v>431</v>
      </c>
    </row>
    <row r="4" spans="1:30" ht="45">
      <c r="A4" s="101" t="s">
        <v>299</v>
      </c>
      <c r="B4" s="102">
        <v>1</v>
      </c>
      <c r="C4" s="102" t="s">
        <v>298</v>
      </c>
      <c r="D4" s="102"/>
      <c r="E4" s="101" t="s">
        <v>300</v>
      </c>
      <c r="F4" s="103" t="s">
        <v>301</v>
      </c>
      <c r="G4" s="103"/>
      <c r="H4" s="104" t="str">
        <f>E4</f>
        <v>West3D BDF Stainless Steel Fasteners - Stainless Steel Hammer Head Upgrade</v>
      </c>
      <c r="I4" s="105"/>
      <c r="J4" s="106">
        <f>B4</f>
        <v>1</v>
      </c>
      <c r="K4" s="107">
        <v>84.99</v>
      </c>
      <c r="L4" s="107">
        <f t="shared" ref="L4:L47" si="0">J4*K4</f>
        <v>84.99</v>
      </c>
      <c r="M4" s="107">
        <v>0</v>
      </c>
      <c r="N4" s="107">
        <v>0</v>
      </c>
      <c r="O4" s="107">
        <f t="shared" ref="O4:O47" si="1">L4+M4+N4</f>
        <v>84.99</v>
      </c>
      <c r="P4" s="107">
        <f t="shared" ref="P4:P10" si="2">O4</f>
        <v>84.99</v>
      </c>
      <c r="Q4" s="105"/>
      <c r="R4" s="106" t="s">
        <v>392</v>
      </c>
      <c r="S4" s="108" t="s">
        <v>498</v>
      </c>
      <c r="T4" s="109" t="s">
        <v>450</v>
      </c>
      <c r="AD4" s="85" t="s">
        <v>280</v>
      </c>
    </row>
    <row r="5" spans="1:30" ht="30">
      <c r="A5" s="101" t="s">
        <v>302</v>
      </c>
      <c r="B5" s="102">
        <v>1</v>
      </c>
      <c r="C5" s="102" t="s">
        <v>298</v>
      </c>
      <c r="D5" s="102"/>
      <c r="E5" s="101" t="s">
        <v>303</v>
      </c>
      <c r="F5" s="101" t="s">
        <v>304</v>
      </c>
      <c r="G5" s="101" t="s">
        <v>305</v>
      </c>
      <c r="H5" s="104" t="str">
        <f>G5</f>
        <v>POWGE Motion Black</v>
      </c>
      <c r="I5" s="105" t="s">
        <v>460</v>
      </c>
      <c r="J5" s="106">
        <f>B5</f>
        <v>1</v>
      </c>
      <c r="K5" s="107">
        <v>144.99</v>
      </c>
      <c r="L5" s="107">
        <f t="shared" si="0"/>
        <v>144.99</v>
      </c>
      <c r="M5" s="107">
        <v>0</v>
      </c>
      <c r="N5" s="107">
        <v>0</v>
      </c>
      <c r="O5" s="107">
        <f t="shared" si="1"/>
        <v>144.99</v>
      </c>
      <c r="P5" s="107">
        <f t="shared" si="2"/>
        <v>144.99</v>
      </c>
      <c r="Q5" s="114"/>
      <c r="R5" s="106" t="s">
        <v>392</v>
      </c>
      <c r="S5" s="108" t="s">
        <v>497</v>
      </c>
      <c r="T5" s="109" t="s">
        <v>462</v>
      </c>
      <c r="AD5" s="85" t="s">
        <v>432</v>
      </c>
    </row>
    <row r="6" spans="1:30" ht="45">
      <c r="A6" s="101" t="s">
        <v>306</v>
      </c>
      <c r="B6" s="102">
        <v>6</v>
      </c>
      <c r="C6" s="102" t="s">
        <v>298</v>
      </c>
      <c r="D6" s="102"/>
      <c r="E6" s="101" t="s">
        <v>307</v>
      </c>
      <c r="F6" s="101" t="s">
        <v>308</v>
      </c>
      <c r="G6" s="101" t="s">
        <v>424</v>
      </c>
      <c r="H6" s="110" t="str">
        <f>G6</f>
        <v>RobotDigg GS_MGN9-1H-B400 (black anodized)</v>
      </c>
      <c r="I6" s="105" t="s">
        <v>426</v>
      </c>
      <c r="J6" s="106">
        <f>B6</f>
        <v>6</v>
      </c>
      <c r="K6" s="107">
        <v>15</v>
      </c>
      <c r="L6" s="107">
        <f t="shared" si="0"/>
        <v>90</v>
      </c>
      <c r="M6" s="107">
        <f>(41.82/($J$6+$J$7))*J6</f>
        <v>35.845714285714287</v>
      </c>
      <c r="N6" s="107">
        <v>0</v>
      </c>
      <c r="O6" s="107">
        <f t="shared" si="1"/>
        <v>125.84571428571428</v>
      </c>
      <c r="P6" s="107">
        <f t="shared" si="2"/>
        <v>125.84571428571428</v>
      </c>
      <c r="Q6" s="105"/>
      <c r="R6" s="106" t="s">
        <v>392</v>
      </c>
      <c r="S6" s="108" t="s">
        <v>496</v>
      </c>
      <c r="T6" s="109" t="s">
        <v>488</v>
      </c>
      <c r="AD6" s="85" t="s">
        <v>392</v>
      </c>
    </row>
    <row r="7" spans="1:30" ht="30">
      <c r="A7" s="101" t="s">
        <v>309</v>
      </c>
      <c r="B7" s="102">
        <v>1</v>
      </c>
      <c r="C7" s="102" t="s">
        <v>298</v>
      </c>
      <c r="D7" s="102"/>
      <c r="E7" s="101" t="s">
        <v>310</v>
      </c>
      <c r="F7" s="101" t="s">
        <v>311</v>
      </c>
      <c r="G7" s="101" t="s">
        <v>425</v>
      </c>
      <c r="H7" s="110" t="str">
        <f>G7</f>
        <v>RobotDigg GS_MGN12-1H-B400 (black anodized)</v>
      </c>
      <c r="I7" s="105" t="s">
        <v>426</v>
      </c>
      <c r="J7" s="106">
        <f>B7</f>
        <v>1</v>
      </c>
      <c r="K7" s="107">
        <v>15</v>
      </c>
      <c r="L7" s="107">
        <f t="shared" si="0"/>
        <v>15</v>
      </c>
      <c r="M7" s="107">
        <f>(41.82/($J$6+$J$7))*J7</f>
        <v>5.9742857142857142</v>
      </c>
      <c r="N7" s="107">
        <v>0</v>
      </c>
      <c r="O7" s="107">
        <f t="shared" si="1"/>
        <v>20.974285714285713</v>
      </c>
      <c r="P7" s="107">
        <f t="shared" si="2"/>
        <v>20.974285714285713</v>
      </c>
      <c r="Q7" s="105"/>
      <c r="R7" s="106" t="s">
        <v>392</v>
      </c>
      <c r="S7" s="108" t="s">
        <v>284</v>
      </c>
      <c r="T7" s="109" t="s">
        <v>488</v>
      </c>
      <c r="AD7" s="85" t="s">
        <v>433</v>
      </c>
    </row>
    <row r="8" spans="1:30">
      <c r="A8" s="101" t="s">
        <v>312</v>
      </c>
      <c r="B8" s="102">
        <v>4</v>
      </c>
      <c r="C8" s="102" t="s">
        <v>313</v>
      </c>
      <c r="D8" s="102"/>
      <c r="E8" s="103"/>
      <c r="F8" s="103"/>
      <c r="G8" s="103"/>
      <c r="H8" s="104" t="str">
        <f>A8</f>
        <v>Updated Rubber Feet for V2.4</v>
      </c>
      <c r="I8" s="105" t="s">
        <v>451</v>
      </c>
      <c r="J8" s="106">
        <v>1</v>
      </c>
      <c r="K8" s="107">
        <v>8.99</v>
      </c>
      <c r="L8" s="107">
        <f t="shared" si="0"/>
        <v>8.99</v>
      </c>
      <c r="M8" s="107">
        <v>0</v>
      </c>
      <c r="N8" s="107">
        <v>0</v>
      </c>
      <c r="O8" s="107">
        <f t="shared" si="1"/>
        <v>8.99</v>
      </c>
      <c r="P8" s="107">
        <f t="shared" si="2"/>
        <v>8.99</v>
      </c>
      <c r="Q8" s="114"/>
      <c r="R8" s="106" t="s">
        <v>392</v>
      </c>
      <c r="S8" s="108" t="s">
        <v>461</v>
      </c>
      <c r="T8" s="109" t="s">
        <v>461</v>
      </c>
      <c r="AD8" s="85" t="s">
        <v>440</v>
      </c>
    </row>
    <row r="9" spans="1:30" ht="30">
      <c r="A9" s="101" t="s">
        <v>314</v>
      </c>
      <c r="B9" s="102">
        <v>1</v>
      </c>
      <c r="C9" s="102" t="s">
        <v>298</v>
      </c>
      <c r="D9" s="102"/>
      <c r="E9" s="101" t="s">
        <v>315</v>
      </c>
      <c r="F9" s="101" t="s">
        <v>372</v>
      </c>
      <c r="G9" s="103"/>
      <c r="H9" s="104" t="str">
        <f>A9</f>
        <v>Z PCB</v>
      </c>
      <c r="I9" s="105" t="s">
        <v>463</v>
      </c>
      <c r="J9" s="106">
        <f t="shared" ref="J9:J22" si="3">B9</f>
        <v>1</v>
      </c>
      <c r="K9" s="107">
        <v>4</v>
      </c>
      <c r="L9" s="107">
        <f t="shared" si="0"/>
        <v>4</v>
      </c>
      <c r="M9" s="107">
        <v>0</v>
      </c>
      <c r="N9" s="107">
        <v>0</v>
      </c>
      <c r="O9" s="107">
        <f t="shared" si="1"/>
        <v>4</v>
      </c>
      <c r="P9" s="107">
        <f t="shared" si="2"/>
        <v>4</v>
      </c>
      <c r="Q9" s="114"/>
      <c r="R9" s="106" t="s">
        <v>392</v>
      </c>
      <c r="S9" s="108" t="s">
        <v>461</v>
      </c>
      <c r="T9" s="109" t="s">
        <v>461</v>
      </c>
      <c r="AD9" s="85" t="s">
        <v>441</v>
      </c>
    </row>
    <row r="10" spans="1:30" ht="17" thickBot="1">
      <c r="A10" s="101" t="s">
        <v>316</v>
      </c>
      <c r="B10" s="102">
        <v>1</v>
      </c>
      <c r="C10" s="102" t="s">
        <v>298</v>
      </c>
      <c r="D10" s="102"/>
      <c r="E10" s="101" t="s">
        <v>317</v>
      </c>
      <c r="F10" s="101" t="s">
        <v>318</v>
      </c>
      <c r="G10" s="103"/>
      <c r="H10" s="104" t="str">
        <f>A10</f>
        <v>XY Microswitch PCB</v>
      </c>
      <c r="I10" s="105"/>
      <c r="J10" s="106">
        <f t="shared" si="3"/>
        <v>1</v>
      </c>
      <c r="K10" s="107">
        <v>6.49</v>
      </c>
      <c r="L10" s="107">
        <f t="shared" si="0"/>
        <v>6.49</v>
      </c>
      <c r="M10" s="107">
        <v>0</v>
      </c>
      <c r="N10" s="107">
        <v>0</v>
      </c>
      <c r="O10" s="107">
        <f t="shared" si="1"/>
        <v>6.49</v>
      </c>
      <c r="P10" s="107">
        <f t="shared" si="2"/>
        <v>6.49</v>
      </c>
      <c r="Q10" s="114"/>
      <c r="R10" s="106" t="s">
        <v>392</v>
      </c>
      <c r="S10" s="108" t="s">
        <v>461</v>
      </c>
      <c r="T10" s="109" t="s">
        <v>461</v>
      </c>
      <c r="AD10" s="86"/>
    </row>
    <row r="11" spans="1:30" ht="17" thickTop="1">
      <c r="A11" s="61" t="s">
        <v>319</v>
      </c>
      <c r="B11" s="66">
        <v>1</v>
      </c>
      <c r="C11" s="66" t="s">
        <v>313</v>
      </c>
      <c r="D11" s="66"/>
      <c r="E11" s="61" t="s">
        <v>320</v>
      </c>
      <c r="F11" s="58"/>
      <c r="G11" s="58"/>
      <c r="H11" s="79" t="str">
        <f>E11</f>
        <v>Klicky Probe (Complete)</v>
      </c>
      <c r="I11" s="75" t="s">
        <v>551</v>
      </c>
      <c r="J11" s="63">
        <v>0</v>
      </c>
      <c r="K11" s="64">
        <v>27.99</v>
      </c>
      <c r="L11" s="64">
        <f t="shared" si="0"/>
        <v>0</v>
      </c>
      <c r="M11" s="64"/>
      <c r="N11" s="64"/>
      <c r="O11" s="64">
        <f t="shared" si="1"/>
        <v>0</v>
      </c>
      <c r="P11" s="64"/>
      <c r="Q11" s="75"/>
      <c r="R11" s="63"/>
      <c r="S11" s="97"/>
      <c r="T11" s="98"/>
    </row>
    <row r="12" spans="1:30">
      <c r="A12" s="61" t="s">
        <v>321</v>
      </c>
      <c r="B12" s="66">
        <v>1</v>
      </c>
      <c r="C12" s="66" t="s">
        <v>313</v>
      </c>
      <c r="D12" s="66"/>
      <c r="E12" s="58"/>
      <c r="F12" s="58"/>
      <c r="G12" s="58"/>
      <c r="H12" s="79" t="str">
        <f>A12</f>
        <v>Bat85 Diode</v>
      </c>
      <c r="I12" s="75" t="s">
        <v>550</v>
      </c>
      <c r="J12" s="63">
        <v>0</v>
      </c>
      <c r="K12" s="64">
        <v>0.99</v>
      </c>
      <c r="L12" s="64">
        <f t="shared" si="0"/>
        <v>0</v>
      </c>
      <c r="M12" s="64"/>
      <c r="N12" s="64"/>
      <c r="O12" s="64">
        <f t="shared" si="1"/>
        <v>0</v>
      </c>
      <c r="P12" s="64"/>
      <c r="Q12" s="75"/>
      <c r="R12" s="63"/>
      <c r="S12" s="97"/>
      <c r="T12" s="98"/>
    </row>
    <row r="13" spans="1:30">
      <c r="A13" s="116" t="s">
        <v>322</v>
      </c>
      <c r="B13" s="129">
        <v>1</v>
      </c>
      <c r="C13" s="129" t="s">
        <v>298</v>
      </c>
      <c r="D13" s="129"/>
      <c r="E13" s="116" t="s">
        <v>323</v>
      </c>
      <c r="F13" s="130"/>
      <c r="G13" s="130"/>
      <c r="H13" s="133" t="str">
        <f>E13</f>
        <v>Omron G3NA-210B-DC5 10A SSR</v>
      </c>
      <c r="I13" s="134"/>
      <c r="J13" s="117">
        <f t="shared" si="3"/>
        <v>1</v>
      </c>
      <c r="K13" s="121">
        <v>28.99</v>
      </c>
      <c r="L13" s="121">
        <f t="shared" si="0"/>
        <v>28.99</v>
      </c>
      <c r="M13" s="121">
        <v>0</v>
      </c>
      <c r="N13" s="121">
        <v>0</v>
      </c>
      <c r="O13" s="121">
        <f t="shared" si="1"/>
        <v>28.99</v>
      </c>
      <c r="P13" s="121">
        <f>O13</f>
        <v>28.99</v>
      </c>
      <c r="Q13" s="120"/>
      <c r="R13" s="117" t="s">
        <v>280</v>
      </c>
      <c r="S13" s="123" t="s">
        <v>553</v>
      </c>
      <c r="T13" s="124" t="s">
        <v>553</v>
      </c>
    </row>
    <row r="14" spans="1:30">
      <c r="A14" s="101" t="s">
        <v>324</v>
      </c>
      <c r="B14" s="102">
        <v>1</v>
      </c>
      <c r="C14" s="102" t="s">
        <v>298</v>
      </c>
      <c r="D14" s="102"/>
      <c r="E14" s="101" t="s">
        <v>325</v>
      </c>
      <c r="F14" s="103"/>
      <c r="G14" s="103"/>
      <c r="H14" s="104" t="str">
        <f>E14</f>
        <v>LDO V 2.4 Motor Kit</v>
      </c>
      <c r="I14" s="105"/>
      <c r="J14" s="106">
        <f t="shared" si="3"/>
        <v>1</v>
      </c>
      <c r="K14" s="107">
        <v>109.99</v>
      </c>
      <c r="L14" s="107">
        <f t="shared" si="0"/>
        <v>109.99</v>
      </c>
      <c r="M14" s="107">
        <v>0</v>
      </c>
      <c r="N14" s="107">
        <v>0</v>
      </c>
      <c r="O14" s="107">
        <f t="shared" si="1"/>
        <v>109.99</v>
      </c>
      <c r="P14" s="107">
        <f>O14</f>
        <v>109.99</v>
      </c>
      <c r="Q14" s="105"/>
      <c r="R14" s="106" t="s">
        <v>392</v>
      </c>
      <c r="S14" s="108" t="s">
        <v>452</v>
      </c>
      <c r="T14" s="109" t="s">
        <v>452</v>
      </c>
    </row>
    <row r="15" spans="1:30">
      <c r="A15" s="116" t="s">
        <v>326</v>
      </c>
      <c r="B15" s="129">
        <v>1</v>
      </c>
      <c r="C15" s="129" t="s">
        <v>313</v>
      </c>
      <c r="D15" s="129"/>
      <c r="E15" s="116" t="s">
        <v>327</v>
      </c>
      <c r="F15" s="116" t="s">
        <v>328</v>
      </c>
      <c r="G15" s="116" t="s">
        <v>329</v>
      </c>
      <c r="H15" s="133" t="str">
        <f>A15</f>
        <v>Mean Well LRS-200-24 200W 24V 8.8A Power Supply (PSU)</v>
      </c>
      <c r="I15" s="120"/>
      <c r="J15" s="117">
        <f t="shared" si="3"/>
        <v>1</v>
      </c>
      <c r="K15" s="121">
        <v>30.99</v>
      </c>
      <c r="L15" s="121">
        <f t="shared" si="0"/>
        <v>30.99</v>
      </c>
      <c r="M15" s="121">
        <v>0</v>
      </c>
      <c r="N15" s="121">
        <v>0</v>
      </c>
      <c r="O15" s="121">
        <f t="shared" si="1"/>
        <v>30.99</v>
      </c>
      <c r="P15" s="121">
        <f>O15</f>
        <v>30.99</v>
      </c>
      <c r="Q15" s="120"/>
      <c r="R15" s="117" t="s">
        <v>280</v>
      </c>
      <c r="S15" s="123" t="s">
        <v>553</v>
      </c>
      <c r="T15" s="124" t="s">
        <v>553</v>
      </c>
    </row>
    <row r="16" spans="1:30">
      <c r="A16" s="116" t="s">
        <v>330</v>
      </c>
      <c r="B16" s="129">
        <v>1</v>
      </c>
      <c r="C16" s="129" t="s">
        <v>313</v>
      </c>
      <c r="D16" s="129"/>
      <c r="E16" s="130"/>
      <c r="F16" s="130"/>
      <c r="G16" s="130"/>
      <c r="H16" s="133" t="str">
        <f t="shared" ref="H16:H23" si="4">A16</f>
        <v>Mean Well RS-25-5 25W Power Supply (PSU)</v>
      </c>
      <c r="I16" s="120"/>
      <c r="J16" s="117">
        <f t="shared" si="3"/>
        <v>1</v>
      </c>
      <c r="K16" s="121">
        <v>18.989999999999998</v>
      </c>
      <c r="L16" s="121">
        <f t="shared" si="0"/>
        <v>18.989999999999998</v>
      </c>
      <c r="M16" s="121">
        <v>0</v>
      </c>
      <c r="N16" s="121">
        <v>0</v>
      </c>
      <c r="O16" s="121">
        <f t="shared" si="1"/>
        <v>18.989999999999998</v>
      </c>
      <c r="P16" s="121">
        <f t="shared" ref="P16:P22" si="5">O16</f>
        <v>18.989999999999998</v>
      </c>
      <c r="Q16" s="120"/>
      <c r="R16" s="117" t="s">
        <v>280</v>
      </c>
      <c r="S16" s="123" t="s">
        <v>553</v>
      </c>
      <c r="T16" s="124" t="s">
        <v>553</v>
      </c>
    </row>
    <row r="17" spans="1:30" ht="45">
      <c r="A17" s="116" t="s">
        <v>331</v>
      </c>
      <c r="B17" s="129">
        <v>1</v>
      </c>
      <c r="C17" s="129" t="s">
        <v>298</v>
      </c>
      <c r="D17" s="129"/>
      <c r="E17" s="116" t="s">
        <v>332</v>
      </c>
      <c r="F17" s="130"/>
      <c r="G17" s="130"/>
      <c r="H17" s="133" t="str">
        <f t="shared" si="4"/>
        <v>ZF - Rocker Switch DPST 16A On-Off - WRG32F2BBRLN</v>
      </c>
      <c r="I17" s="120"/>
      <c r="J17" s="117">
        <f t="shared" si="3"/>
        <v>1</v>
      </c>
      <c r="K17" s="121">
        <v>2.99</v>
      </c>
      <c r="L17" s="121">
        <f t="shared" si="0"/>
        <v>2.99</v>
      </c>
      <c r="M17" s="121">
        <v>0</v>
      </c>
      <c r="N17" s="121">
        <v>0</v>
      </c>
      <c r="O17" s="121">
        <f t="shared" si="1"/>
        <v>2.99</v>
      </c>
      <c r="P17" s="121">
        <f t="shared" si="5"/>
        <v>2.99</v>
      </c>
      <c r="Q17" s="120"/>
      <c r="R17" s="117" t="s">
        <v>280</v>
      </c>
      <c r="S17" s="123" t="s">
        <v>553</v>
      </c>
      <c r="T17" s="124" t="s">
        <v>553</v>
      </c>
    </row>
    <row r="18" spans="1:30">
      <c r="A18" s="116" t="s">
        <v>333</v>
      </c>
      <c r="B18" s="129">
        <v>1</v>
      </c>
      <c r="C18" s="129"/>
      <c r="D18" s="129"/>
      <c r="E18" s="130"/>
      <c r="F18" s="130"/>
      <c r="G18" s="130"/>
      <c r="H18" s="133" t="str">
        <f t="shared" si="4"/>
        <v>TycoElectronics - 10EHG1-2 Filtered Power Inlet</v>
      </c>
      <c r="I18" s="120"/>
      <c r="J18" s="117">
        <f t="shared" si="3"/>
        <v>1</v>
      </c>
      <c r="K18" s="121">
        <v>20.99</v>
      </c>
      <c r="L18" s="121">
        <f t="shared" si="0"/>
        <v>20.99</v>
      </c>
      <c r="M18" s="121">
        <v>0</v>
      </c>
      <c r="N18" s="121">
        <v>0</v>
      </c>
      <c r="O18" s="121">
        <f t="shared" si="1"/>
        <v>20.99</v>
      </c>
      <c r="P18" s="121">
        <f t="shared" si="5"/>
        <v>20.99</v>
      </c>
      <c r="Q18" s="120"/>
      <c r="R18" s="117" t="s">
        <v>280</v>
      </c>
      <c r="S18" s="123" t="s">
        <v>553</v>
      </c>
      <c r="T18" s="124" t="s">
        <v>553</v>
      </c>
    </row>
    <row r="19" spans="1:30">
      <c r="A19" s="116" t="s">
        <v>292</v>
      </c>
      <c r="B19" s="129">
        <v>3</v>
      </c>
      <c r="C19" s="129" t="s">
        <v>313</v>
      </c>
      <c r="D19" s="129"/>
      <c r="E19" s="130"/>
      <c r="F19" s="130"/>
      <c r="G19" s="130"/>
      <c r="H19" s="133" t="str">
        <f t="shared" si="4"/>
        <v>Fuse 8A 250V Holder Cartridge 5 X 20mm Glass</v>
      </c>
      <c r="I19" s="120"/>
      <c r="J19" s="117">
        <f t="shared" si="3"/>
        <v>3</v>
      </c>
      <c r="K19" s="121">
        <v>0.99</v>
      </c>
      <c r="L19" s="121">
        <f t="shared" si="0"/>
        <v>2.9699999999999998</v>
      </c>
      <c r="M19" s="121">
        <v>0</v>
      </c>
      <c r="N19" s="121">
        <v>0</v>
      </c>
      <c r="O19" s="121">
        <f t="shared" si="1"/>
        <v>2.9699999999999998</v>
      </c>
      <c r="P19" s="121">
        <f t="shared" si="5"/>
        <v>2.9699999999999998</v>
      </c>
      <c r="Q19" s="120"/>
      <c r="R19" s="117" t="s">
        <v>280</v>
      </c>
      <c r="S19" s="123" t="s">
        <v>553</v>
      </c>
      <c r="T19" s="124" t="s">
        <v>553</v>
      </c>
    </row>
    <row r="20" spans="1:30">
      <c r="A20" s="116" t="s">
        <v>334</v>
      </c>
      <c r="B20" s="129">
        <v>1</v>
      </c>
      <c r="C20" s="129" t="s">
        <v>298</v>
      </c>
      <c r="D20" s="129"/>
      <c r="E20" s="116" t="s">
        <v>335</v>
      </c>
      <c r="F20" s="130"/>
      <c r="G20" s="130"/>
      <c r="H20" s="133" t="str">
        <f t="shared" si="4"/>
        <v>GDSTIME DC 24V 40x40x10 Axial Fan GDA4010</v>
      </c>
      <c r="I20" s="120" t="s">
        <v>557</v>
      </c>
      <c r="J20" s="117">
        <v>2</v>
      </c>
      <c r="K20" s="121">
        <v>6.99</v>
      </c>
      <c r="L20" s="121">
        <f t="shared" si="0"/>
        <v>13.98</v>
      </c>
      <c r="M20" s="121">
        <v>0</v>
      </c>
      <c r="N20" s="121">
        <v>0</v>
      </c>
      <c r="O20" s="121">
        <f t="shared" si="1"/>
        <v>13.98</v>
      </c>
      <c r="P20" s="121">
        <f t="shared" si="5"/>
        <v>13.98</v>
      </c>
      <c r="Q20" s="120"/>
      <c r="R20" s="117" t="s">
        <v>280</v>
      </c>
      <c r="S20" s="123" t="s">
        <v>553</v>
      </c>
      <c r="T20" s="124" t="s">
        <v>553</v>
      </c>
    </row>
    <row r="21" spans="1:30">
      <c r="A21" s="116" t="s">
        <v>336</v>
      </c>
      <c r="B21" s="129">
        <v>1</v>
      </c>
      <c r="C21" s="129" t="s">
        <v>313</v>
      </c>
      <c r="D21" s="129"/>
      <c r="E21" s="130"/>
      <c r="F21" s="130"/>
      <c r="G21" s="130"/>
      <c r="H21" s="133" t="str">
        <f t="shared" si="4"/>
        <v>GDSTIME DC 24V 40x40x20 Centrifugal Blower Fan GDB4020</v>
      </c>
      <c r="I21" s="120"/>
      <c r="J21" s="117">
        <f t="shared" si="3"/>
        <v>1</v>
      </c>
      <c r="K21" s="121">
        <v>6.99</v>
      </c>
      <c r="L21" s="121">
        <f t="shared" si="0"/>
        <v>6.99</v>
      </c>
      <c r="M21" s="121">
        <v>0</v>
      </c>
      <c r="N21" s="121">
        <v>0</v>
      </c>
      <c r="O21" s="121">
        <f t="shared" si="1"/>
        <v>6.99</v>
      </c>
      <c r="P21" s="121">
        <f t="shared" si="5"/>
        <v>6.99</v>
      </c>
      <c r="Q21" s="120"/>
      <c r="R21" s="117" t="s">
        <v>280</v>
      </c>
      <c r="S21" s="123" t="s">
        <v>553</v>
      </c>
      <c r="T21" s="124" t="s">
        <v>553</v>
      </c>
    </row>
    <row r="22" spans="1:30" ht="30">
      <c r="A22" s="116" t="s">
        <v>337</v>
      </c>
      <c r="B22" s="129">
        <v>3</v>
      </c>
      <c r="C22" s="129" t="s">
        <v>313</v>
      </c>
      <c r="D22" s="129"/>
      <c r="E22" s="130"/>
      <c r="F22" s="130"/>
      <c r="G22" s="130"/>
      <c r="H22" s="133" t="str">
        <f t="shared" si="4"/>
        <v>GDSTIME DC 24V 60x60x20 Axial Fan GDA6020 Dual Ball Bearing 5000RPM 1.7W 0.1A XH2.54</v>
      </c>
      <c r="I22" s="120"/>
      <c r="J22" s="117">
        <f t="shared" si="3"/>
        <v>3</v>
      </c>
      <c r="K22" s="121">
        <v>6.99</v>
      </c>
      <c r="L22" s="121">
        <f t="shared" si="0"/>
        <v>20.97</v>
      </c>
      <c r="M22" s="121">
        <v>0</v>
      </c>
      <c r="N22" s="121">
        <v>0</v>
      </c>
      <c r="O22" s="121">
        <f t="shared" si="1"/>
        <v>20.97</v>
      </c>
      <c r="P22" s="121">
        <f t="shared" si="5"/>
        <v>20.97</v>
      </c>
      <c r="Q22" s="120"/>
      <c r="R22" s="117" t="s">
        <v>280</v>
      </c>
      <c r="S22" s="123" t="s">
        <v>553</v>
      </c>
      <c r="T22" s="124" t="s">
        <v>553</v>
      </c>
    </row>
    <row r="23" spans="1:30">
      <c r="A23" s="116" t="s">
        <v>338</v>
      </c>
      <c r="B23" s="129">
        <v>1</v>
      </c>
      <c r="C23" s="129" t="s">
        <v>313</v>
      </c>
      <c r="D23" s="129"/>
      <c r="E23" s="130"/>
      <c r="F23" s="130"/>
      <c r="G23" s="130"/>
      <c r="H23" s="133" t="str">
        <f t="shared" si="4"/>
        <v>125C Cutoff 15A Thermal Fuse</v>
      </c>
      <c r="I23" s="120" t="s">
        <v>543</v>
      </c>
      <c r="J23" s="117">
        <v>2</v>
      </c>
      <c r="K23" s="121">
        <v>1.29</v>
      </c>
      <c r="L23" s="121">
        <f t="shared" si="0"/>
        <v>2.58</v>
      </c>
      <c r="M23" s="121">
        <v>0</v>
      </c>
      <c r="N23" s="121">
        <v>0</v>
      </c>
      <c r="O23" s="121">
        <f t="shared" si="1"/>
        <v>2.58</v>
      </c>
      <c r="P23" s="121">
        <f>O23</f>
        <v>2.58</v>
      </c>
      <c r="Q23" s="122">
        <f>-1*K23</f>
        <v>-1.29</v>
      </c>
      <c r="R23" s="117" t="s">
        <v>280</v>
      </c>
      <c r="S23" s="123" t="s">
        <v>553</v>
      </c>
      <c r="T23" s="124" t="s">
        <v>553</v>
      </c>
    </row>
    <row r="24" spans="1:30" s="73" customFormat="1" ht="30">
      <c r="A24" s="68" t="s">
        <v>339</v>
      </c>
      <c r="B24" s="69">
        <v>1</v>
      </c>
      <c r="C24" s="69" t="s">
        <v>298</v>
      </c>
      <c r="D24" s="69"/>
      <c r="E24" s="70" t="s">
        <v>340</v>
      </c>
      <c r="F24" s="70" t="s">
        <v>341</v>
      </c>
      <c r="G24" s="70" t="s">
        <v>342</v>
      </c>
      <c r="H24" s="71" t="str">
        <f>F24</f>
        <v>Octopus PRO 429</v>
      </c>
      <c r="I24" s="74" t="s">
        <v>378</v>
      </c>
      <c r="J24" s="69">
        <v>0</v>
      </c>
      <c r="K24" s="72">
        <v>74.989999999999995</v>
      </c>
      <c r="L24" s="72">
        <f t="shared" si="0"/>
        <v>0</v>
      </c>
      <c r="M24" s="72"/>
      <c r="N24" s="72"/>
      <c r="O24" s="72">
        <f t="shared" si="1"/>
        <v>0</v>
      </c>
      <c r="P24" s="72"/>
      <c r="Q24" s="113"/>
      <c r="R24" s="63"/>
      <c r="S24" s="99"/>
      <c r="T24" s="100"/>
      <c r="AD24" s="84"/>
    </row>
    <row r="25" spans="1:30" ht="30">
      <c r="A25" s="101" t="s">
        <v>379</v>
      </c>
      <c r="B25" s="102">
        <v>1</v>
      </c>
      <c r="C25" s="102" t="s">
        <v>298</v>
      </c>
      <c r="D25" s="102" t="s">
        <v>298</v>
      </c>
      <c r="E25" s="101"/>
      <c r="F25" s="101"/>
      <c r="G25" s="101"/>
      <c r="H25" s="104" t="str">
        <f>A25</f>
        <v xml:space="preserve">BTT Manta M8P Klipper Controller Board / 3D Printer Control System using CB1/CM4 </v>
      </c>
      <c r="I25" s="111" t="s">
        <v>384</v>
      </c>
      <c r="J25" s="106">
        <f t="shared" ref="J25:J56" si="6">B25</f>
        <v>1</v>
      </c>
      <c r="K25" s="107">
        <v>54.99</v>
      </c>
      <c r="L25" s="107">
        <f t="shared" si="0"/>
        <v>54.99</v>
      </c>
      <c r="M25" s="107">
        <v>0</v>
      </c>
      <c r="N25" s="107">
        <v>0</v>
      </c>
      <c r="O25" s="107">
        <f t="shared" si="1"/>
        <v>54.99</v>
      </c>
      <c r="P25" s="107">
        <f>O25</f>
        <v>54.99</v>
      </c>
      <c r="Q25" s="105"/>
      <c r="R25" s="106" t="s">
        <v>392</v>
      </c>
      <c r="S25" s="108" t="s">
        <v>452</v>
      </c>
      <c r="T25" s="109" t="s">
        <v>452</v>
      </c>
    </row>
    <row r="26" spans="1:30" ht="30">
      <c r="A26" s="101" t="s">
        <v>380</v>
      </c>
      <c r="B26" s="102">
        <v>2</v>
      </c>
      <c r="C26" s="102" t="s">
        <v>313</v>
      </c>
      <c r="D26" s="102" t="s">
        <v>382</v>
      </c>
      <c r="E26" s="101"/>
      <c r="F26" s="101"/>
      <c r="G26" s="101"/>
      <c r="H26" s="104" t="str">
        <f t="shared" ref="H26:H27" si="7">A26</f>
        <v>BTT CB1 Computing Core Board Adapter for Manta CBs</v>
      </c>
      <c r="I26" s="111" t="s">
        <v>388</v>
      </c>
      <c r="J26" s="106">
        <f t="shared" si="6"/>
        <v>2</v>
      </c>
      <c r="K26" s="107">
        <v>29.99</v>
      </c>
      <c r="L26" s="107">
        <f t="shared" si="0"/>
        <v>59.98</v>
      </c>
      <c r="M26" s="107">
        <v>0</v>
      </c>
      <c r="N26" s="107">
        <v>0</v>
      </c>
      <c r="O26" s="107">
        <f t="shared" si="1"/>
        <v>59.98</v>
      </c>
      <c r="P26" s="107">
        <f t="shared" ref="P26:P27" si="8">O26</f>
        <v>59.98</v>
      </c>
      <c r="Q26" s="114">
        <f>K26*1*-1</f>
        <v>-29.99</v>
      </c>
      <c r="R26" s="106" t="s">
        <v>392</v>
      </c>
      <c r="S26" s="108" t="s">
        <v>452</v>
      </c>
      <c r="T26" s="109" t="s">
        <v>452</v>
      </c>
    </row>
    <row r="27" spans="1:30" ht="30">
      <c r="A27" s="101" t="s">
        <v>381</v>
      </c>
      <c r="B27" s="102">
        <v>1</v>
      </c>
      <c r="C27" s="102" t="s">
        <v>389</v>
      </c>
      <c r="D27" s="102" t="s">
        <v>383</v>
      </c>
      <c r="E27" s="101"/>
      <c r="F27" s="101"/>
      <c r="G27" s="101"/>
      <c r="H27" s="104" t="str">
        <f t="shared" si="7"/>
        <v xml:space="preserve">BTT Pi4B Adapter for CM4 or CB1 </v>
      </c>
      <c r="I27" s="111" t="s">
        <v>387</v>
      </c>
      <c r="J27" s="106">
        <f t="shared" si="6"/>
        <v>1</v>
      </c>
      <c r="K27" s="107">
        <v>22.99</v>
      </c>
      <c r="L27" s="107">
        <f t="shared" si="0"/>
        <v>22.99</v>
      </c>
      <c r="M27" s="107">
        <v>0</v>
      </c>
      <c r="N27" s="107">
        <v>0</v>
      </c>
      <c r="O27" s="107">
        <f t="shared" si="1"/>
        <v>22.99</v>
      </c>
      <c r="P27" s="107">
        <f t="shared" si="8"/>
        <v>22.99</v>
      </c>
      <c r="Q27" s="114">
        <f>O27 * -1</f>
        <v>-22.99</v>
      </c>
      <c r="R27" s="106" t="s">
        <v>392</v>
      </c>
      <c r="S27" s="108" t="s">
        <v>452</v>
      </c>
      <c r="T27" s="109" t="s">
        <v>452</v>
      </c>
    </row>
    <row r="28" spans="1:30">
      <c r="A28" s="132" t="s">
        <v>385</v>
      </c>
      <c r="B28" s="129">
        <v>7</v>
      </c>
      <c r="C28" s="129" t="s">
        <v>298</v>
      </c>
      <c r="D28" s="129"/>
      <c r="E28" s="116" t="s">
        <v>386</v>
      </c>
      <c r="F28" s="130" t="s">
        <v>343</v>
      </c>
      <c r="G28" s="130"/>
      <c r="H28" s="133" t="str">
        <f>E28</f>
        <v>TMC2226</v>
      </c>
      <c r="I28" s="120"/>
      <c r="J28" s="117">
        <f t="shared" si="6"/>
        <v>7</v>
      </c>
      <c r="K28" s="121">
        <v>6.49</v>
      </c>
      <c r="L28" s="121">
        <f t="shared" si="0"/>
        <v>45.43</v>
      </c>
      <c r="M28" s="121">
        <v>0</v>
      </c>
      <c r="N28" s="121">
        <v>0</v>
      </c>
      <c r="O28" s="121">
        <f t="shared" si="1"/>
        <v>45.43</v>
      </c>
      <c r="P28" s="121">
        <f>O28</f>
        <v>45.43</v>
      </c>
      <c r="Q28" s="122"/>
      <c r="R28" s="117" t="s">
        <v>280</v>
      </c>
      <c r="S28" s="123" t="s">
        <v>553</v>
      </c>
      <c r="T28" s="124" t="s">
        <v>553</v>
      </c>
    </row>
    <row r="29" spans="1:30" ht="30">
      <c r="A29" s="116" t="s">
        <v>453</v>
      </c>
      <c r="B29" s="129">
        <v>1</v>
      </c>
      <c r="C29" s="129" t="s">
        <v>298</v>
      </c>
      <c r="D29" s="129"/>
      <c r="E29" s="116" t="s">
        <v>454</v>
      </c>
      <c r="F29" s="116" t="s">
        <v>455</v>
      </c>
      <c r="G29" s="116" t="s">
        <v>634</v>
      </c>
      <c r="H29" s="133" t="str">
        <f>G29</f>
        <v>BTT HDMI7 V1.0 Display from DFH</v>
      </c>
      <c r="I29" s="120" t="s">
        <v>456</v>
      </c>
      <c r="J29" s="117">
        <v>1</v>
      </c>
      <c r="K29" s="121">
        <v>70</v>
      </c>
      <c r="L29" s="121">
        <f t="shared" si="0"/>
        <v>70</v>
      </c>
      <c r="M29" s="121">
        <f>13.1/4</f>
        <v>3.2749999999999999</v>
      </c>
      <c r="N29" s="121">
        <v>0</v>
      </c>
      <c r="O29" s="121">
        <f t="shared" si="1"/>
        <v>73.275000000000006</v>
      </c>
      <c r="P29" s="121">
        <f>O29</f>
        <v>73.275000000000006</v>
      </c>
      <c r="Q29" s="122">
        <f>P29*-1</f>
        <v>-73.275000000000006</v>
      </c>
      <c r="R29" s="117" t="s">
        <v>280</v>
      </c>
      <c r="S29" s="123" t="s">
        <v>644</v>
      </c>
      <c r="T29" s="124" t="s">
        <v>643</v>
      </c>
    </row>
    <row r="30" spans="1:30">
      <c r="A30" s="101" t="s">
        <v>344</v>
      </c>
      <c r="B30" s="102">
        <v>2</v>
      </c>
      <c r="C30" s="102" t="s">
        <v>389</v>
      </c>
      <c r="D30" s="102" t="s">
        <v>313</v>
      </c>
      <c r="E30" s="101"/>
      <c r="F30" s="103"/>
      <c r="G30" s="103"/>
      <c r="H30" s="104" t="str">
        <f>A30</f>
        <v>Mini 12864 Display Type B RGB - Choose your color</v>
      </c>
      <c r="I30" s="105" t="s">
        <v>457</v>
      </c>
      <c r="J30" s="106">
        <f t="shared" si="6"/>
        <v>2</v>
      </c>
      <c r="K30" s="107">
        <v>12.99</v>
      </c>
      <c r="L30" s="107">
        <f t="shared" ref="L30" si="9">J30*K30</f>
        <v>25.98</v>
      </c>
      <c r="M30" s="107">
        <v>0</v>
      </c>
      <c r="N30" s="107">
        <v>0</v>
      </c>
      <c r="O30" s="107">
        <f t="shared" ref="O30" si="10">L30+M30+N30</f>
        <v>25.98</v>
      </c>
      <c r="P30" s="107">
        <f>O30</f>
        <v>25.98</v>
      </c>
      <c r="Q30" s="114">
        <f>(K30*1)*-1</f>
        <v>-12.99</v>
      </c>
      <c r="R30" s="106" t="s">
        <v>392</v>
      </c>
      <c r="S30" s="108" t="s">
        <v>452</v>
      </c>
      <c r="T30" s="109" t="s">
        <v>452</v>
      </c>
    </row>
    <row r="31" spans="1:30">
      <c r="A31" s="101" t="s">
        <v>390</v>
      </c>
      <c r="B31" s="102">
        <v>1</v>
      </c>
      <c r="C31" s="102" t="s">
        <v>313</v>
      </c>
      <c r="D31" s="102"/>
      <c r="E31" s="103"/>
      <c r="F31" s="103"/>
      <c r="G31" s="103"/>
      <c r="H31" s="104" t="str">
        <f>A31</f>
        <v>Voron v2.4 USA Frame Kit (black); 350mm</v>
      </c>
      <c r="I31" s="105"/>
      <c r="J31" s="106">
        <f t="shared" si="6"/>
        <v>1</v>
      </c>
      <c r="K31" s="107">
        <v>150</v>
      </c>
      <c r="L31" s="107">
        <f t="shared" si="0"/>
        <v>150</v>
      </c>
      <c r="M31" s="107">
        <v>10</v>
      </c>
      <c r="N31" s="107">
        <v>0</v>
      </c>
      <c r="O31" s="107">
        <f t="shared" si="1"/>
        <v>160</v>
      </c>
      <c r="P31" s="107">
        <f>O31</f>
        <v>160</v>
      </c>
      <c r="Q31" s="114"/>
      <c r="R31" s="106" t="s">
        <v>392</v>
      </c>
      <c r="S31" s="108" t="s">
        <v>452</v>
      </c>
      <c r="T31" s="109" t="s">
        <v>452</v>
      </c>
    </row>
    <row r="32" spans="1:30">
      <c r="A32" s="61" t="s">
        <v>345</v>
      </c>
      <c r="B32" s="66">
        <v>3</v>
      </c>
      <c r="C32" s="66" t="s">
        <v>313</v>
      </c>
      <c r="D32" s="66"/>
      <c r="E32" s="58"/>
      <c r="F32" s="58"/>
      <c r="G32" s="58"/>
      <c r="H32" s="78" t="str">
        <f>A32</f>
        <v>Bowden / PTFE Tube 4mm OD 3mm ID</v>
      </c>
      <c r="I32" s="75" t="s">
        <v>637</v>
      </c>
      <c r="J32" s="63">
        <v>0</v>
      </c>
      <c r="K32" s="64">
        <v>3.5</v>
      </c>
      <c r="L32" s="64">
        <f t="shared" si="0"/>
        <v>0</v>
      </c>
      <c r="M32" s="64"/>
      <c r="N32" s="64"/>
      <c r="O32" s="64">
        <f t="shared" si="1"/>
        <v>0</v>
      </c>
      <c r="P32" s="64"/>
      <c r="Q32" s="115"/>
      <c r="R32" s="63"/>
      <c r="S32" s="97"/>
      <c r="T32" s="98"/>
    </row>
    <row r="33" spans="1:20">
      <c r="A33" s="116" t="s">
        <v>346</v>
      </c>
      <c r="B33" s="129">
        <v>8</v>
      </c>
      <c r="C33" s="129" t="s">
        <v>313</v>
      </c>
      <c r="D33" s="129"/>
      <c r="E33" s="130"/>
      <c r="F33" s="130"/>
      <c r="G33" s="130"/>
      <c r="H33" s="131" t="str">
        <f>A33</f>
        <v>6mm x 3mm Round Neomydium Magnets</v>
      </c>
      <c r="I33" s="120" t="s">
        <v>542</v>
      </c>
      <c r="J33" s="117">
        <v>16</v>
      </c>
      <c r="K33" s="121">
        <v>0.49</v>
      </c>
      <c r="L33" s="121">
        <f t="shared" si="0"/>
        <v>7.84</v>
      </c>
      <c r="M33" s="121"/>
      <c r="N33" s="121"/>
      <c r="O33" s="121">
        <f t="shared" si="1"/>
        <v>7.84</v>
      </c>
      <c r="P33" s="121">
        <f>O33</f>
        <v>7.84</v>
      </c>
      <c r="Q33" s="122">
        <f>-1*(K33*8)</f>
        <v>-3.92</v>
      </c>
      <c r="R33" s="117" t="s">
        <v>280</v>
      </c>
      <c r="S33" s="123" t="s">
        <v>553</v>
      </c>
      <c r="T33" s="124" t="s">
        <v>553</v>
      </c>
    </row>
    <row r="34" spans="1:20">
      <c r="A34" s="61" t="s">
        <v>347</v>
      </c>
      <c r="B34" s="66">
        <v>1</v>
      </c>
      <c r="C34" s="66" t="s">
        <v>313</v>
      </c>
      <c r="D34" s="66"/>
      <c r="E34" s="58"/>
      <c r="F34" s="58"/>
      <c r="G34" s="58"/>
      <c r="H34" s="78" t="str">
        <f t="shared" ref="H34" si="11">A34</f>
        <v>Bowden Coupler for 4mm OD PTFE Tube</v>
      </c>
      <c r="I34" s="75"/>
      <c r="J34" s="63">
        <f t="shared" si="6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5"/>
      <c r="R34" s="63"/>
      <c r="S34" s="97"/>
      <c r="T34" s="98"/>
    </row>
    <row r="35" spans="1:20">
      <c r="A35" s="61" t="s">
        <v>348</v>
      </c>
      <c r="B35" s="66">
        <v>1</v>
      </c>
      <c r="C35" s="66" t="s">
        <v>313</v>
      </c>
      <c r="D35" s="66"/>
      <c r="E35" s="58"/>
      <c r="F35" s="58"/>
      <c r="G35" s="58"/>
      <c r="H35" s="78" t="str">
        <f>A35</f>
        <v>5mm x 10m Single Sided Self Adhesive Tape / 1mm thick</v>
      </c>
      <c r="I35" s="75"/>
      <c r="J35" s="63">
        <f t="shared" si="6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5"/>
      <c r="R35" s="63"/>
      <c r="S35" s="97"/>
      <c r="T35" s="98"/>
    </row>
    <row r="36" spans="1:20" ht="30">
      <c r="A36" s="132" t="s">
        <v>349</v>
      </c>
      <c r="B36" s="129">
        <v>1</v>
      </c>
      <c r="C36" s="129" t="s">
        <v>298</v>
      </c>
      <c r="D36" s="129"/>
      <c r="E36" s="116" t="s">
        <v>350</v>
      </c>
      <c r="F36" s="130"/>
      <c r="G36" s="130"/>
      <c r="H36" s="131" t="str">
        <f>E36</f>
        <v>BMG Components Kit Nano Coated RNC</v>
      </c>
      <c r="I36" s="120"/>
      <c r="J36" s="117">
        <f t="shared" si="6"/>
        <v>1</v>
      </c>
      <c r="K36" s="121">
        <v>32.99</v>
      </c>
      <c r="L36" s="121">
        <f t="shared" si="0"/>
        <v>32.99</v>
      </c>
      <c r="M36" s="121">
        <v>0</v>
      </c>
      <c r="N36" s="121">
        <v>0</v>
      </c>
      <c r="O36" s="121">
        <f t="shared" si="1"/>
        <v>32.99</v>
      </c>
      <c r="P36" s="121">
        <f>O36</f>
        <v>32.99</v>
      </c>
      <c r="Q36" s="122"/>
      <c r="R36" s="117" t="s">
        <v>280</v>
      </c>
      <c r="S36" s="123" t="s">
        <v>553</v>
      </c>
      <c r="T36" s="124" t="s">
        <v>553</v>
      </c>
    </row>
    <row r="37" spans="1:20" ht="30">
      <c r="A37" s="116" t="s">
        <v>351</v>
      </c>
      <c r="B37" s="129">
        <v>1</v>
      </c>
      <c r="C37" s="129" t="s">
        <v>298</v>
      </c>
      <c r="D37" s="129"/>
      <c r="E37" s="116" t="s">
        <v>352</v>
      </c>
      <c r="F37" s="130" t="s">
        <v>353</v>
      </c>
      <c r="G37" s="130"/>
      <c r="H37" s="131" t="str">
        <f>A37</f>
        <v>Wiring Harness for Voron 2.4 / Trident</v>
      </c>
      <c r="I37" s="120" t="s">
        <v>396</v>
      </c>
      <c r="J37" s="117">
        <f t="shared" si="6"/>
        <v>1</v>
      </c>
      <c r="K37" s="121">
        <v>79.989999999999995</v>
      </c>
      <c r="L37" s="121">
        <f t="shared" si="0"/>
        <v>79.989999999999995</v>
      </c>
      <c r="M37" s="121">
        <v>0</v>
      </c>
      <c r="N37" s="121">
        <v>0</v>
      </c>
      <c r="O37" s="121">
        <f t="shared" si="1"/>
        <v>79.989999999999995</v>
      </c>
      <c r="P37" s="121">
        <f t="shared" ref="P37:P38" si="12">O37</f>
        <v>79.989999999999995</v>
      </c>
      <c r="Q37" s="122"/>
      <c r="R37" s="117" t="s">
        <v>280</v>
      </c>
      <c r="S37" s="123" t="s">
        <v>553</v>
      </c>
      <c r="T37" s="124" t="s">
        <v>553</v>
      </c>
    </row>
    <row r="38" spans="1:20" ht="30">
      <c r="A38" s="116" t="s">
        <v>394</v>
      </c>
      <c r="B38" s="129">
        <v>1</v>
      </c>
      <c r="C38" s="129" t="s">
        <v>298</v>
      </c>
      <c r="D38" s="129"/>
      <c r="E38" s="116" t="s">
        <v>393</v>
      </c>
      <c r="F38" s="130"/>
      <c r="G38" s="130"/>
      <c r="H38" s="131" t="str">
        <f>E38</f>
        <v>IGUS Cable Chain Set (350mm)</v>
      </c>
      <c r="I38" s="120" t="s">
        <v>395</v>
      </c>
      <c r="J38" s="117">
        <f t="shared" si="6"/>
        <v>1</v>
      </c>
      <c r="K38" s="121">
        <v>79.989999999999995</v>
      </c>
      <c r="L38" s="121">
        <f t="shared" si="0"/>
        <v>79.989999999999995</v>
      </c>
      <c r="M38" s="121">
        <v>0</v>
      </c>
      <c r="N38" s="121">
        <v>0</v>
      </c>
      <c r="O38" s="121">
        <f t="shared" si="1"/>
        <v>79.989999999999995</v>
      </c>
      <c r="P38" s="121">
        <f t="shared" si="12"/>
        <v>79.989999999999995</v>
      </c>
      <c r="Q38" s="120"/>
      <c r="R38" s="117" t="s">
        <v>280</v>
      </c>
      <c r="S38" s="123" t="s">
        <v>553</v>
      </c>
      <c r="T38" s="124" t="s">
        <v>553</v>
      </c>
    </row>
    <row r="39" spans="1:20" ht="30">
      <c r="A39" s="101" t="s">
        <v>400</v>
      </c>
      <c r="B39" s="102">
        <v>1</v>
      </c>
      <c r="C39" s="102" t="s">
        <v>298</v>
      </c>
      <c r="D39" s="102"/>
      <c r="E39" s="126" t="s">
        <v>399</v>
      </c>
      <c r="F39" s="101" t="s">
        <v>458</v>
      </c>
      <c r="G39" s="103"/>
      <c r="H39" s="110" t="str">
        <f>F39</f>
        <v>Printed Solide - Aluminum Composite backing Panels</v>
      </c>
      <c r="I39" s="105" t="s">
        <v>459</v>
      </c>
      <c r="J39" s="106">
        <f t="shared" si="6"/>
        <v>1</v>
      </c>
      <c r="K39" s="107">
        <v>65</v>
      </c>
      <c r="L39" s="107">
        <f t="shared" si="0"/>
        <v>65</v>
      </c>
      <c r="M39" s="107">
        <v>0</v>
      </c>
      <c r="N39" s="107">
        <v>0</v>
      </c>
      <c r="O39" s="107">
        <f t="shared" si="1"/>
        <v>65</v>
      </c>
      <c r="P39" s="107">
        <f>O39</f>
        <v>65</v>
      </c>
      <c r="Q39" s="114"/>
      <c r="R39" s="106" t="s">
        <v>392</v>
      </c>
      <c r="S39" s="108" t="s">
        <v>465</v>
      </c>
      <c r="T39" s="109" t="s">
        <v>465</v>
      </c>
    </row>
    <row r="40" spans="1:20" ht="30">
      <c r="A40" s="116" t="s">
        <v>397</v>
      </c>
      <c r="B40" s="129">
        <v>1</v>
      </c>
      <c r="C40" s="129" t="s">
        <v>298</v>
      </c>
      <c r="D40" s="129"/>
      <c r="E40" s="132" t="s">
        <v>398</v>
      </c>
      <c r="F40" s="130"/>
      <c r="G40" s="130"/>
      <c r="H40" s="131" t="str">
        <f>E40</f>
        <v>Mandala Roseworks Acrylic Panels Clear</v>
      </c>
      <c r="I40" s="120" t="s">
        <v>646</v>
      </c>
      <c r="J40" s="117">
        <f t="shared" si="6"/>
        <v>1</v>
      </c>
      <c r="K40" s="121">
        <v>48.99</v>
      </c>
      <c r="L40" s="121">
        <f t="shared" si="0"/>
        <v>48.99</v>
      </c>
      <c r="M40" s="121">
        <f>39.15/2</f>
        <v>19.574999999999999</v>
      </c>
      <c r="N40" s="121">
        <v>0</v>
      </c>
      <c r="O40" s="121">
        <f t="shared" si="1"/>
        <v>68.564999999999998</v>
      </c>
      <c r="P40" s="121">
        <f>O40</f>
        <v>68.564999999999998</v>
      </c>
      <c r="Q40" s="120"/>
      <c r="R40" s="117" t="s">
        <v>280</v>
      </c>
      <c r="S40" s="123" t="s">
        <v>636</v>
      </c>
      <c r="T40" s="124" t="s">
        <v>636</v>
      </c>
    </row>
    <row r="41" spans="1:20" ht="30">
      <c r="A41" s="101" t="s">
        <v>402</v>
      </c>
      <c r="B41" s="102">
        <v>1</v>
      </c>
      <c r="C41" s="102" t="s">
        <v>298</v>
      </c>
      <c r="D41" s="102"/>
      <c r="E41" s="101" t="s">
        <v>401</v>
      </c>
      <c r="F41" s="103"/>
      <c r="G41" s="103"/>
      <c r="H41" s="112" t="str">
        <f>E41</f>
        <v>Mandala Roseworks Ultraflat Magbed (350mm)</v>
      </c>
      <c r="I41" s="105" t="s">
        <v>403</v>
      </c>
      <c r="J41" s="106">
        <f t="shared" si="6"/>
        <v>1</v>
      </c>
      <c r="K41" s="107">
        <v>253.99</v>
      </c>
      <c r="L41" s="107">
        <f t="shared" si="0"/>
        <v>253.99</v>
      </c>
      <c r="M41" s="107">
        <v>25</v>
      </c>
      <c r="N41" s="107">
        <v>0</v>
      </c>
      <c r="O41" s="107">
        <f t="shared" si="1"/>
        <v>278.99</v>
      </c>
      <c r="P41" s="107">
        <f>O41</f>
        <v>278.99</v>
      </c>
      <c r="Q41" s="114"/>
      <c r="R41" s="106" t="s">
        <v>392</v>
      </c>
      <c r="S41" s="108" t="s">
        <v>461</v>
      </c>
      <c r="T41" s="109" t="s">
        <v>461</v>
      </c>
    </row>
    <row r="42" spans="1:20" ht="30">
      <c r="A42" s="132" t="s">
        <v>354</v>
      </c>
      <c r="B42" s="129">
        <v>1</v>
      </c>
      <c r="C42" s="129" t="s">
        <v>298</v>
      </c>
      <c r="D42" s="129"/>
      <c r="E42" s="116" t="s">
        <v>404</v>
      </c>
      <c r="F42" s="116" t="s">
        <v>628</v>
      </c>
      <c r="G42" s="130"/>
      <c r="H42" s="119" t="str">
        <f>F42</f>
        <v>Fermoi Style (350mm) from Keenovo Store</v>
      </c>
      <c r="I42" s="120" t="s">
        <v>629</v>
      </c>
      <c r="J42" s="117">
        <f t="shared" si="6"/>
        <v>1</v>
      </c>
      <c r="K42" s="121">
        <v>102.12</v>
      </c>
      <c r="L42" s="121">
        <f t="shared" si="0"/>
        <v>102.12</v>
      </c>
      <c r="M42" s="121">
        <v>32</v>
      </c>
      <c r="N42" s="121">
        <v>0</v>
      </c>
      <c r="O42" s="121">
        <f t="shared" si="1"/>
        <v>134.12</v>
      </c>
      <c r="P42" s="121">
        <f>O42</f>
        <v>134.12</v>
      </c>
      <c r="Q42" s="120"/>
      <c r="R42" s="117" t="s">
        <v>280</v>
      </c>
      <c r="S42" s="123" t="s">
        <v>631</v>
      </c>
      <c r="T42" s="124" t="s">
        <v>630</v>
      </c>
    </row>
    <row r="43" spans="1:20" ht="30">
      <c r="A43" s="116" t="s">
        <v>355</v>
      </c>
      <c r="B43" s="129">
        <v>1</v>
      </c>
      <c r="C43" s="129" t="s">
        <v>298</v>
      </c>
      <c r="D43" s="129"/>
      <c r="E43" s="132"/>
      <c r="F43" s="132"/>
      <c r="G43" s="130"/>
      <c r="H43" s="119" t="str">
        <f>A43</f>
        <v>Magnetic Flex Plate Double-Sided (Texture - Smooth) with 3M Magnetic Backing (Energetic &amp; West3D Collab)</v>
      </c>
      <c r="I43" s="120" t="s">
        <v>405</v>
      </c>
      <c r="J43" s="117">
        <f t="shared" si="6"/>
        <v>1</v>
      </c>
      <c r="K43" s="121">
        <v>59.99</v>
      </c>
      <c r="L43" s="121">
        <f t="shared" si="0"/>
        <v>59.99</v>
      </c>
      <c r="M43" s="121">
        <f>39.15/2</f>
        <v>19.574999999999999</v>
      </c>
      <c r="N43" s="121">
        <v>0</v>
      </c>
      <c r="O43" s="121">
        <f t="shared" si="1"/>
        <v>79.564999999999998</v>
      </c>
      <c r="P43" s="121">
        <f>O43</f>
        <v>79.564999999999998</v>
      </c>
      <c r="Q43" s="120"/>
      <c r="R43" s="117" t="s">
        <v>280</v>
      </c>
      <c r="S43" s="123" t="s">
        <v>645</v>
      </c>
      <c r="T43" s="124" t="s">
        <v>635</v>
      </c>
    </row>
    <row r="44" spans="1:20" ht="30">
      <c r="A44" s="132" t="s">
        <v>356</v>
      </c>
      <c r="B44" s="129">
        <v>1</v>
      </c>
      <c r="C44" s="129" t="s">
        <v>298</v>
      </c>
      <c r="D44" s="129"/>
      <c r="E44" s="132" t="s">
        <v>357</v>
      </c>
      <c r="F44" s="132" t="s">
        <v>358</v>
      </c>
      <c r="G44" s="116" t="s">
        <v>406</v>
      </c>
      <c r="H44" s="119" t="str">
        <f>G44</f>
        <v>Phaetus Rapido UHF /TL PT1000 (black)</v>
      </c>
      <c r="I44" s="120"/>
      <c r="J44" s="117">
        <f t="shared" si="6"/>
        <v>1</v>
      </c>
      <c r="K44" s="121">
        <v>119.99</v>
      </c>
      <c r="L44" s="121">
        <f t="shared" si="0"/>
        <v>119.99</v>
      </c>
      <c r="M44" s="121">
        <v>0</v>
      </c>
      <c r="N44" s="121">
        <v>0</v>
      </c>
      <c r="O44" s="121">
        <f t="shared" si="1"/>
        <v>119.99</v>
      </c>
      <c r="P44" s="121">
        <f>O44</f>
        <v>119.99</v>
      </c>
      <c r="Q44" s="120"/>
      <c r="R44" s="117" t="s">
        <v>280</v>
      </c>
      <c r="S44" s="123" t="s">
        <v>553</v>
      </c>
      <c r="T44" s="124" t="s">
        <v>553</v>
      </c>
    </row>
    <row r="45" spans="1:20" ht="30">
      <c r="A45" s="59" t="s">
        <v>359</v>
      </c>
      <c r="B45" s="66">
        <v>1</v>
      </c>
      <c r="C45" s="66" t="s">
        <v>298</v>
      </c>
      <c r="D45" s="66"/>
      <c r="E45" s="59" t="s">
        <v>360</v>
      </c>
      <c r="F45" s="58"/>
      <c r="G45" s="58"/>
      <c r="H45" s="67" t="s">
        <v>389</v>
      </c>
      <c r="I45" s="75" t="s">
        <v>407</v>
      </c>
      <c r="J45" s="63">
        <f t="shared" si="6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5"/>
      <c r="R45" s="63"/>
      <c r="S45" s="97"/>
      <c r="T45" s="98"/>
    </row>
    <row r="46" spans="1:20" ht="30">
      <c r="A46" s="59" t="s">
        <v>361</v>
      </c>
      <c r="B46" s="66">
        <v>1</v>
      </c>
      <c r="C46" s="66" t="s">
        <v>298</v>
      </c>
      <c r="D46" s="66"/>
      <c r="E46" s="59" t="s">
        <v>362</v>
      </c>
      <c r="F46" s="59" t="s">
        <v>363</v>
      </c>
      <c r="G46" s="58"/>
      <c r="H46" s="67" t="s">
        <v>389</v>
      </c>
      <c r="I46" s="75" t="s">
        <v>408</v>
      </c>
      <c r="J46" s="63">
        <f t="shared" si="6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5"/>
      <c r="R46" s="63"/>
      <c r="S46" s="97"/>
      <c r="T46" s="98"/>
    </row>
    <row r="47" spans="1:20">
      <c r="A47" s="101" t="s">
        <v>364</v>
      </c>
      <c r="B47" s="102">
        <v>1</v>
      </c>
      <c r="C47" s="102" t="s">
        <v>313</v>
      </c>
      <c r="D47" s="102"/>
      <c r="E47" s="103"/>
      <c r="F47" s="103"/>
      <c r="G47" s="103"/>
      <c r="H47" s="112" t="str">
        <f t="shared" ref="H47:H53" si="13">A47</f>
        <v>Mobil Mobilux EP2 10ml filled syringe with blunt tips</v>
      </c>
      <c r="I47" s="105"/>
      <c r="J47" s="106">
        <f t="shared" si="6"/>
        <v>1</v>
      </c>
      <c r="K47" s="107">
        <v>8.99</v>
      </c>
      <c r="L47" s="107">
        <f t="shared" si="0"/>
        <v>8.99</v>
      </c>
      <c r="M47" s="107">
        <v>0</v>
      </c>
      <c r="N47" s="107">
        <v>0</v>
      </c>
      <c r="O47" s="107">
        <f t="shared" si="1"/>
        <v>8.99</v>
      </c>
      <c r="P47" s="107">
        <f>O47</f>
        <v>8.99</v>
      </c>
      <c r="Q47" s="114"/>
      <c r="R47" s="106" t="s">
        <v>392</v>
      </c>
      <c r="S47" s="108" t="s">
        <v>461</v>
      </c>
      <c r="T47" s="109" t="s">
        <v>461</v>
      </c>
    </row>
    <row r="48" spans="1:20">
      <c r="A48" s="61" t="s">
        <v>365</v>
      </c>
      <c r="B48" s="66">
        <v>1</v>
      </c>
      <c r="C48" s="66" t="s">
        <v>313</v>
      </c>
      <c r="D48" s="66"/>
      <c r="E48" s="58"/>
      <c r="F48" s="58"/>
      <c r="G48" s="58"/>
      <c r="H48" s="67" t="str">
        <f t="shared" si="13"/>
        <v>Large Printed Parts Decal</v>
      </c>
      <c r="I48" s="75" t="s">
        <v>409</v>
      </c>
      <c r="J48" s="63">
        <f t="shared" si="6"/>
        <v>1</v>
      </c>
      <c r="K48" s="64">
        <v>15.99</v>
      </c>
      <c r="L48" s="64">
        <f t="shared" ref="L48:L56" si="14">J48*K48</f>
        <v>15.99</v>
      </c>
      <c r="M48" s="64"/>
      <c r="N48" s="64"/>
      <c r="O48" s="64">
        <f t="shared" ref="O48:O56" si="15">L48+M48+N48</f>
        <v>15.99</v>
      </c>
      <c r="P48" s="64"/>
      <c r="Q48" s="75"/>
      <c r="R48" s="63"/>
      <c r="S48" s="97"/>
      <c r="T48" s="98"/>
    </row>
    <row r="49" spans="1:20">
      <c r="A49" s="61" t="s">
        <v>366</v>
      </c>
      <c r="B49" s="66">
        <v>1</v>
      </c>
      <c r="C49" s="66" t="s">
        <v>313</v>
      </c>
      <c r="D49" s="66"/>
      <c r="E49" s="58"/>
      <c r="F49" s="58"/>
      <c r="G49" s="58"/>
      <c r="H49" s="67" t="str">
        <f t="shared" si="13"/>
        <v>Voron Design Decal</v>
      </c>
      <c r="I49" s="75" t="s">
        <v>409</v>
      </c>
      <c r="J49" s="63">
        <f t="shared" si="6"/>
        <v>1</v>
      </c>
      <c r="K49" s="64">
        <v>5.99</v>
      </c>
      <c r="L49" s="64">
        <f t="shared" si="14"/>
        <v>5.99</v>
      </c>
      <c r="M49" s="64"/>
      <c r="N49" s="64"/>
      <c r="O49" s="64">
        <f t="shared" si="15"/>
        <v>5.99</v>
      </c>
      <c r="P49" s="64"/>
      <c r="Q49" s="75"/>
      <c r="R49" s="63"/>
      <c r="S49" s="97"/>
      <c r="T49" s="98"/>
    </row>
    <row r="50" spans="1:20">
      <c r="A50" s="101" t="s">
        <v>376</v>
      </c>
      <c r="B50" s="102">
        <v>1</v>
      </c>
      <c r="C50" s="102" t="s">
        <v>313</v>
      </c>
      <c r="D50" s="102"/>
      <c r="E50" s="103"/>
      <c r="F50" s="103"/>
      <c r="G50" s="103"/>
      <c r="H50" s="112" t="str">
        <f t="shared" si="13"/>
        <v>Din Rails (Pair); 470mm (350 builds; Model 2.4</v>
      </c>
      <c r="I50" s="105"/>
      <c r="J50" s="106">
        <f t="shared" si="6"/>
        <v>1</v>
      </c>
      <c r="K50" s="107">
        <v>11.99</v>
      </c>
      <c r="L50" s="107">
        <f t="shared" si="14"/>
        <v>11.99</v>
      </c>
      <c r="M50" s="107">
        <v>0</v>
      </c>
      <c r="N50" s="107">
        <v>0</v>
      </c>
      <c r="O50" s="107">
        <f t="shared" si="15"/>
        <v>11.99</v>
      </c>
      <c r="P50" s="107">
        <f>O50</f>
        <v>11.99</v>
      </c>
      <c r="Q50" s="114"/>
      <c r="R50" s="106" t="s">
        <v>392</v>
      </c>
      <c r="S50" s="108" t="s">
        <v>461</v>
      </c>
      <c r="T50" s="109" t="s">
        <v>461</v>
      </c>
    </row>
    <row r="51" spans="1:20">
      <c r="A51" s="101" t="s">
        <v>411</v>
      </c>
      <c r="B51" s="102">
        <v>1</v>
      </c>
      <c r="C51" s="102" t="s">
        <v>313</v>
      </c>
      <c r="D51" s="102"/>
      <c r="E51" s="103"/>
      <c r="F51" s="103"/>
      <c r="G51" s="103"/>
      <c r="H51" s="112" t="str">
        <f t="shared" si="13"/>
        <v xml:space="preserve">Din Rail Clamp / Bracket for Solid State Relay (SSR) </v>
      </c>
      <c r="I51" s="105"/>
      <c r="J51" s="106">
        <f t="shared" si="6"/>
        <v>1</v>
      </c>
      <c r="K51" s="107">
        <v>3.99</v>
      </c>
      <c r="L51" s="107">
        <f t="shared" si="14"/>
        <v>3.99</v>
      </c>
      <c r="M51" s="107">
        <v>0</v>
      </c>
      <c r="N51" s="107">
        <v>0</v>
      </c>
      <c r="O51" s="107">
        <f t="shared" si="15"/>
        <v>3.99</v>
      </c>
      <c r="P51" s="107">
        <f>O51</f>
        <v>3.99</v>
      </c>
      <c r="Q51" s="114"/>
      <c r="R51" s="106" t="s">
        <v>392</v>
      </c>
      <c r="S51" s="108" t="s">
        <v>461</v>
      </c>
      <c r="T51" s="109" t="s">
        <v>461</v>
      </c>
    </row>
    <row r="52" spans="1:20">
      <c r="A52" s="61" t="s">
        <v>410</v>
      </c>
      <c r="B52" s="66">
        <v>3</v>
      </c>
      <c r="C52" s="66" t="s">
        <v>313</v>
      </c>
      <c r="D52" s="66"/>
      <c r="E52" s="58"/>
      <c r="F52" s="58"/>
      <c r="G52" s="58"/>
      <c r="H52" s="67" t="str">
        <f t="shared" si="13"/>
        <v>Wire Connectors (Wago 221-415)</v>
      </c>
      <c r="I52" s="75"/>
      <c r="J52" s="63">
        <f t="shared" si="6"/>
        <v>3</v>
      </c>
      <c r="K52" s="64">
        <v>2.79</v>
      </c>
      <c r="L52" s="64">
        <f t="shared" si="14"/>
        <v>8.370000000000001</v>
      </c>
      <c r="M52" s="64"/>
      <c r="N52" s="64"/>
      <c r="O52" s="64">
        <f t="shared" si="15"/>
        <v>8.370000000000001</v>
      </c>
      <c r="P52" s="64"/>
      <c r="Q52" s="75"/>
      <c r="R52" s="63"/>
      <c r="S52" s="97"/>
      <c r="T52" s="98"/>
    </row>
    <row r="53" spans="1:20">
      <c r="A53" s="116" t="s">
        <v>412</v>
      </c>
      <c r="B53" s="129">
        <v>2</v>
      </c>
      <c r="C53" s="129" t="s">
        <v>313</v>
      </c>
      <c r="D53" s="129"/>
      <c r="E53" s="130"/>
      <c r="F53" s="130"/>
      <c r="G53" s="130"/>
      <c r="H53" s="119" t="str">
        <f t="shared" si="13"/>
        <v xml:space="preserve">3-3 DIN Mounting Fast Wire Cable Connectors / Wago Connector </v>
      </c>
      <c r="I53" s="120" t="s">
        <v>555</v>
      </c>
      <c r="J53" s="117">
        <v>3</v>
      </c>
      <c r="K53" s="121">
        <v>3.49</v>
      </c>
      <c r="L53" s="121">
        <f t="shared" si="14"/>
        <v>10.47</v>
      </c>
      <c r="M53" s="121">
        <v>0</v>
      </c>
      <c r="N53" s="121">
        <v>0</v>
      </c>
      <c r="O53" s="121">
        <f>L53+M53+N53</f>
        <v>10.47</v>
      </c>
      <c r="P53" s="121">
        <f>O53</f>
        <v>10.47</v>
      </c>
      <c r="Q53" s="122">
        <f>-1*K53</f>
        <v>-3.49</v>
      </c>
      <c r="R53" s="117" t="s">
        <v>280</v>
      </c>
      <c r="S53" s="123" t="s">
        <v>553</v>
      </c>
      <c r="T53" s="124" t="s">
        <v>553</v>
      </c>
    </row>
    <row r="54" spans="1:20" ht="30">
      <c r="A54" s="116" t="s">
        <v>413</v>
      </c>
      <c r="B54" s="129">
        <v>1</v>
      </c>
      <c r="C54" s="129" t="s">
        <v>298</v>
      </c>
      <c r="D54" s="129" t="s">
        <v>298</v>
      </c>
      <c r="E54" s="116" t="s">
        <v>620</v>
      </c>
      <c r="F54" s="130"/>
      <c r="G54" s="130"/>
      <c r="H54" s="119" t="str">
        <f>E54</f>
        <v>LDO Input Shaper kit; ADXL345 and more</v>
      </c>
      <c r="I54" s="120" t="s">
        <v>621</v>
      </c>
      <c r="J54" s="117">
        <f t="shared" si="6"/>
        <v>1</v>
      </c>
      <c r="K54" s="121">
        <v>9.99</v>
      </c>
      <c r="L54" s="121">
        <f t="shared" si="14"/>
        <v>9.99</v>
      </c>
      <c r="M54" s="121">
        <v>4.99</v>
      </c>
      <c r="N54" s="121">
        <v>0</v>
      </c>
      <c r="O54" s="121">
        <f t="shared" si="15"/>
        <v>14.98</v>
      </c>
      <c r="P54" s="121">
        <f>O54</f>
        <v>14.98</v>
      </c>
      <c r="Q54" s="120"/>
      <c r="R54" s="117" t="s">
        <v>280</v>
      </c>
      <c r="S54" s="123" t="s">
        <v>623</v>
      </c>
      <c r="T54" s="124" t="s">
        <v>624</v>
      </c>
    </row>
    <row r="55" spans="1:20">
      <c r="A55" s="61" t="s">
        <v>67</v>
      </c>
      <c r="B55" s="66">
        <v>1</v>
      </c>
      <c r="C55" s="66" t="s">
        <v>313</v>
      </c>
      <c r="D55" s="66"/>
      <c r="E55" s="58"/>
      <c r="F55" s="58"/>
      <c r="G55" s="65"/>
      <c r="H55" s="67" t="str">
        <f t="shared" ref="H55" si="16">A55</f>
        <v>C13 Power Cord</v>
      </c>
      <c r="I55" s="75" t="s">
        <v>414</v>
      </c>
      <c r="J55" s="63">
        <f t="shared" si="6"/>
        <v>1</v>
      </c>
      <c r="K55" s="64"/>
      <c r="L55" s="64">
        <f t="shared" si="14"/>
        <v>0</v>
      </c>
      <c r="M55" s="64"/>
      <c r="N55" s="64"/>
      <c r="O55" s="64">
        <f t="shared" si="15"/>
        <v>0</v>
      </c>
      <c r="P55" s="64"/>
      <c r="Q55" s="75"/>
      <c r="R55" s="63"/>
      <c r="S55" s="97"/>
      <c r="T55" s="98"/>
    </row>
    <row r="56" spans="1:20">
      <c r="A56" s="59" t="s">
        <v>367</v>
      </c>
      <c r="B56" s="66">
        <v>1</v>
      </c>
      <c r="C56" s="66" t="s">
        <v>313</v>
      </c>
      <c r="D56" s="66"/>
      <c r="E56" s="58"/>
      <c r="F56" s="65"/>
      <c r="G56" s="58"/>
      <c r="H56" s="67"/>
      <c r="I56" s="75" t="s">
        <v>418</v>
      </c>
      <c r="J56" s="63">
        <f t="shared" si="6"/>
        <v>1</v>
      </c>
      <c r="K56" s="64"/>
      <c r="L56" s="64">
        <f t="shared" si="14"/>
        <v>0</v>
      </c>
      <c r="M56" s="64"/>
      <c r="N56" s="64"/>
      <c r="O56" s="64">
        <f t="shared" si="15"/>
        <v>0</v>
      </c>
      <c r="P56" s="64"/>
      <c r="Q56" s="75"/>
      <c r="R56" s="63"/>
      <c r="S56" s="97"/>
      <c r="T56" s="98"/>
    </row>
    <row r="57" spans="1:20">
      <c r="A57" s="116" t="s">
        <v>415</v>
      </c>
      <c r="B57" s="117">
        <v>1</v>
      </c>
      <c r="C57" s="117"/>
      <c r="D57" s="117" t="s">
        <v>298</v>
      </c>
      <c r="E57" s="118"/>
      <c r="F57" s="118"/>
      <c r="G57" s="130"/>
      <c r="H57" s="154" t="str">
        <f>A57</f>
        <v>3M VHB Tape 5952 5mm width</v>
      </c>
      <c r="I57" s="120" t="s">
        <v>417</v>
      </c>
      <c r="J57" s="117">
        <f t="shared" ref="J57:J59" si="17">B57</f>
        <v>1</v>
      </c>
      <c r="K57" s="121">
        <v>5.99</v>
      </c>
      <c r="L57" s="121">
        <f t="shared" ref="L57:L129" si="18">J57*K57</f>
        <v>5.99</v>
      </c>
      <c r="M57" s="121">
        <f>6.88*(1/5)</f>
        <v>1.3760000000000001</v>
      </c>
      <c r="N57" s="121">
        <v>0</v>
      </c>
      <c r="O57" s="121">
        <f t="shared" ref="O57:O63" si="19">L57+M57+N57</f>
        <v>7.3660000000000005</v>
      </c>
      <c r="P57" s="121">
        <f>O57</f>
        <v>7.3660000000000005</v>
      </c>
      <c r="Q57" s="120"/>
      <c r="R57" s="117" t="s">
        <v>280</v>
      </c>
      <c r="S57" s="123" t="s">
        <v>652</v>
      </c>
      <c r="T57" s="124" t="s">
        <v>652</v>
      </c>
    </row>
    <row r="58" spans="1:20">
      <c r="A58" s="116" t="s">
        <v>416</v>
      </c>
      <c r="B58" s="117">
        <v>1</v>
      </c>
      <c r="C58" s="117"/>
      <c r="D58" s="117" t="s">
        <v>298</v>
      </c>
      <c r="E58" s="118"/>
      <c r="F58" s="118"/>
      <c r="G58" s="130"/>
      <c r="H58" s="154" t="str">
        <f>A58</f>
        <v>3M VHB Tape 5952 6.35mm width</v>
      </c>
      <c r="I58" s="120" t="s">
        <v>417</v>
      </c>
      <c r="J58" s="117">
        <f t="shared" si="17"/>
        <v>1</v>
      </c>
      <c r="K58" s="121">
        <v>6.99</v>
      </c>
      <c r="L58" s="121">
        <f t="shared" si="18"/>
        <v>6.99</v>
      </c>
      <c r="M58" s="121">
        <f>6.88*(1/5)</f>
        <v>1.3760000000000001</v>
      </c>
      <c r="N58" s="121">
        <v>0</v>
      </c>
      <c r="O58" s="121">
        <f t="shared" si="19"/>
        <v>8.3659999999999997</v>
      </c>
      <c r="P58" s="121">
        <f>O58</f>
        <v>8.3659999999999997</v>
      </c>
      <c r="Q58" s="120"/>
      <c r="R58" s="117" t="s">
        <v>280</v>
      </c>
      <c r="S58" s="123" t="s">
        <v>652</v>
      </c>
      <c r="T58" s="124" t="s">
        <v>652</v>
      </c>
    </row>
    <row r="59" spans="1:20">
      <c r="A59" s="61" t="s">
        <v>419</v>
      </c>
      <c r="B59" s="63">
        <v>1</v>
      </c>
      <c r="C59" s="63"/>
      <c r="D59" s="63" t="s">
        <v>298</v>
      </c>
      <c r="E59" s="65"/>
      <c r="F59" s="65"/>
      <c r="G59" s="58"/>
      <c r="H59" s="67"/>
      <c r="I59" s="75"/>
      <c r="J59" s="63">
        <f t="shared" si="17"/>
        <v>1</v>
      </c>
      <c r="K59" s="64">
        <v>6.5</v>
      </c>
      <c r="L59" s="64">
        <f t="shared" si="18"/>
        <v>6.5</v>
      </c>
      <c r="M59" s="64"/>
      <c r="N59" s="64"/>
      <c r="O59" s="64">
        <f t="shared" si="19"/>
        <v>6.5</v>
      </c>
      <c r="P59" s="64"/>
      <c r="Q59" s="75"/>
      <c r="R59" s="63"/>
      <c r="S59" s="97"/>
      <c r="T59" s="98"/>
    </row>
    <row r="60" spans="1:20">
      <c r="A60" s="101" t="s">
        <v>420</v>
      </c>
      <c r="B60" s="106">
        <v>1</v>
      </c>
      <c r="C60" s="106" t="s">
        <v>313</v>
      </c>
      <c r="D60" s="106" t="s">
        <v>298</v>
      </c>
      <c r="E60" s="111"/>
      <c r="F60" s="111"/>
      <c r="G60" s="111"/>
      <c r="H60" s="112" t="str">
        <f>A60</f>
        <v>Titanium Backers for Voron 2.4/Trident with screws 3-Pack (350mm)</v>
      </c>
      <c r="I60" s="105" t="s">
        <v>421</v>
      </c>
      <c r="J60" s="106">
        <f t="shared" ref="J60:J129" si="20">B60</f>
        <v>1</v>
      </c>
      <c r="K60" s="107">
        <v>74.989999999999995</v>
      </c>
      <c r="L60" s="107">
        <f t="shared" si="18"/>
        <v>74.989999999999995</v>
      </c>
      <c r="M60" s="107">
        <v>0</v>
      </c>
      <c r="N60" s="107">
        <v>0</v>
      </c>
      <c r="O60" s="107">
        <f t="shared" si="19"/>
        <v>74.989999999999995</v>
      </c>
      <c r="P60" s="107">
        <f>O60</f>
        <v>74.989999999999995</v>
      </c>
      <c r="Q60" s="114"/>
      <c r="R60" s="106" t="s">
        <v>392</v>
      </c>
      <c r="S60" s="108" t="s">
        <v>461</v>
      </c>
      <c r="T60" s="109" t="s">
        <v>461</v>
      </c>
    </row>
    <row r="61" spans="1:20" ht="45">
      <c r="A61" s="101" t="s">
        <v>422</v>
      </c>
      <c r="B61" s="106">
        <v>1</v>
      </c>
      <c r="C61" s="106" t="s">
        <v>313</v>
      </c>
      <c r="D61" s="106" t="s">
        <v>298</v>
      </c>
      <c r="E61" s="101" t="s">
        <v>467</v>
      </c>
      <c r="F61" s="111"/>
      <c r="G61" s="111"/>
      <c r="H61" s="112" t="str">
        <f>E61</f>
        <v>Mandala Roseworks Matched height kinematic kit</v>
      </c>
      <c r="I61" s="105" t="s">
        <v>477</v>
      </c>
      <c r="J61" s="106">
        <f t="shared" si="20"/>
        <v>1</v>
      </c>
      <c r="K61" s="107">
        <v>88</v>
      </c>
      <c r="L61" s="107">
        <f t="shared" si="18"/>
        <v>88</v>
      </c>
      <c r="M61" s="107">
        <v>4.0599999999999996</v>
      </c>
      <c r="N61" s="107">
        <v>0</v>
      </c>
      <c r="O61" s="107">
        <f t="shared" si="19"/>
        <v>92.06</v>
      </c>
      <c r="P61" s="107">
        <f>O61</f>
        <v>92.06</v>
      </c>
      <c r="Q61" s="105"/>
      <c r="R61" s="106" t="s">
        <v>392</v>
      </c>
      <c r="S61" s="108" t="s">
        <v>469</v>
      </c>
      <c r="T61" s="109" t="s">
        <v>469</v>
      </c>
    </row>
    <row r="62" spans="1:20">
      <c r="A62" s="65" t="s">
        <v>429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7" t="str">
        <f t="shared" ref="H62:H65" si="21">A62</f>
        <v>Kapton Tape</v>
      </c>
      <c r="I62" s="75" t="s">
        <v>435</v>
      </c>
      <c r="J62" s="63">
        <f t="shared" si="20"/>
        <v>1</v>
      </c>
      <c r="K62" s="64">
        <v>0</v>
      </c>
      <c r="L62" s="64">
        <f t="shared" si="18"/>
        <v>0</v>
      </c>
      <c r="M62" s="64"/>
      <c r="N62" s="64"/>
      <c r="O62" s="64">
        <f t="shared" si="19"/>
        <v>0</v>
      </c>
      <c r="P62" s="64"/>
      <c r="Q62" s="75"/>
      <c r="R62" s="63"/>
      <c r="S62" s="97"/>
      <c r="T62" s="98"/>
    </row>
    <row r="63" spans="1:20">
      <c r="A63" s="89" t="s">
        <v>446</v>
      </c>
      <c r="B63" s="63">
        <v>1</v>
      </c>
      <c r="C63" s="63" t="s">
        <v>313</v>
      </c>
      <c r="D63" s="63"/>
      <c r="E63" s="65"/>
      <c r="F63" s="65"/>
      <c r="G63" s="65"/>
      <c r="H63" s="67" t="str">
        <f t="shared" si="21"/>
        <v>Voron Zip Tie Kit</v>
      </c>
      <c r="I63" s="75" t="s">
        <v>436</v>
      </c>
      <c r="J63" s="63">
        <f t="shared" si="20"/>
        <v>1</v>
      </c>
      <c r="K63" s="64">
        <v>4</v>
      </c>
      <c r="L63" s="64">
        <f t="shared" si="18"/>
        <v>4</v>
      </c>
      <c r="M63" s="64"/>
      <c r="N63" s="64"/>
      <c r="O63" s="64">
        <f t="shared" si="19"/>
        <v>4</v>
      </c>
      <c r="P63" s="64"/>
      <c r="Q63" s="75"/>
      <c r="R63" s="63"/>
      <c r="S63" s="97"/>
      <c r="T63" s="98"/>
    </row>
    <row r="64" spans="1:20" ht="75">
      <c r="A64" s="101" t="s">
        <v>437</v>
      </c>
      <c r="B64" s="106">
        <v>3</v>
      </c>
      <c r="C64" s="106" t="s">
        <v>313</v>
      </c>
      <c r="D64" s="106" t="s">
        <v>298</v>
      </c>
      <c r="E64" s="111"/>
      <c r="F64" s="111"/>
      <c r="G64" s="111"/>
      <c r="H64" s="112" t="str">
        <f t="shared" si="21"/>
        <v>Jet Black ASA Prusament (850g) - Primary color</v>
      </c>
      <c r="I64" s="105" t="s">
        <v>439</v>
      </c>
      <c r="J64" s="106">
        <f t="shared" si="20"/>
        <v>3</v>
      </c>
      <c r="K64" s="107">
        <v>35.99</v>
      </c>
      <c r="L64" s="107">
        <f t="shared" si="18"/>
        <v>107.97</v>
      </c>
      <c r="M64" s="114">
        <v>0</v>
      </c>
      <c r="N64" s="107">
        <v>0</v>
      </c>
      <c r="O64" s="107">
        <f t="shared" ref="O64:O129" si="22">L64+M64+N64</f>
        <v>107.97</v>
      </c>
      <c r="P64" s="107">
        <f>O64</f>
        <v>107.97</v>
      </c>
      <c r="Q64" s="114"/>
      <c r="R64" s="106" t="s">
        <v>392</v>
      </c>
      <c r="S64" s="108" t="s">
        <v>493</v>
      </c>
      <c r="T64" s="109" t="s">
        <v>464</v>
      </c>
    </row>
    <row r="65" spans="1:20">
      <c r="A65" s="101" t="s">
        <v>438</v>
      </c>
      <c r="B65" s="106">
        <v>2</v>
      </c>
      <c r="C65" s="106" t="s">
        <v>313</v>
      </c>
      <c r="D65" s="106" t="s">
        <v>298</v>
      </c>
      <c r="E65" s="111"/>
      <c r="F65" s="111"/>
      <c r="G65" s="111"/>
      <c r="H65" s="112" t="str">
        <f t="shared" si="21"/>
        <v>Lipstick Red ASA Prusament (850g) - Secondary color</v>
      </c>
      <c r="I65" s="105" t="s">
        <v>439</v>
      </c>
      <c r="J65" s="106">
        <f t="shared" si="20"/>
        <v>2</v>
      </c>
      <c r="K65" s="107">
        <v>35.99</v>
      </c>
      <c r="L65" s="107">
        <f t="shared" si="18"/>
        <v>71.98</v>
      </c>
      <c r="M65" s="107">
        <v>0</v>
      </c>
      <c r="N65" s="107"/>
      <c r="O65" s="107">
        <f t="shared" si="22"/>
        <v>71.98</v>
      </c>
      <c r="P65" s="107">
        <f>K65 * 1</f>
        <v>35.99</v>
      </c>
      <c r="Q65" s="105"/>
      <c r="R65" s="106" t="s">
        <v>441</v>
      </c>
      <c r="S65" s="108" t="s">
        <v>278</v>
      </c>
      <c r="T65" s="109" t="s">
        <v>278</v>
      </c>
    </row>
    <row r="66" spans="1:20" ht="30">
      <c r="A66" s="116" t="s">
        <v>447</v>
      </c>
      <c r="B66" s="117">
        <v>1</v>
      </c>
      <c r="C66" s="117" t="s">
        <v>313</v>
      </c>
      <c r="D66" s="117" t="s">
        <v>298</v>
      </c>
      <c r="E66" s="116" t="s">
        <v>632</v>
      </c>
      <c r="F66" s="118"/>
      <c r="G66" s="118"/>
      <c r="H66" s="119" t="str">
        <f>E66</f>
        <v>BTT SFS V1.0 Smart Filament Sensor (from DFH)</v>
      </c>
      <c r="I66" s="120" t="s">
        <v>633</v>
      </c>
      <c r="J66" s="117">
        <f t="shared" si="20"/>
        <v>1</v>
      </c>
      <c r="K66" s="121">
        <v>20</v>
      </c>
      <c r="L66" s="121">
        <f t="shared" si="18"/>
        <v>20</v>
      </c>
      <c r="M66" s="121">
        <f>13.1/4</f>
        <v>3.2749999999999999</v>
      </c>
      <c r="N66" s="121">
        <v>0</v>
      </c>
      <c r="O66" s="121">
        <f t="shared" si="22"/>
        <v>23.274999999999999</v>
      </c>
      <c r="P66" s="121">
        <f>O66</f>
        <v>23.274999999999999</v>
      </c>
      <c r="Q66" s="120"/>
      <c r="R66" s="117" t="s">
        <v>280</v>
      </c>
      <c r="S66" s="123" t="s">
        <v>642</v>
      </c>
      <c r="T66" s="124" t="s">
        <v>642</v>
      </c>
    </row>
    <row r="67" spans="1:20">
      <c r="A67" s="101" t="s">
        <v>448</v>
      </c>
      <c r="B67" s="106">
        <v>2</v>
      </c>
      <c r="C67" s="106" t="s">
        <v>313</v>
      </c>
      <c r="D67" s="106" t="s">
        <v>298</v>
      </c>
      <c r="E67" s="111"/>
      <c r="F67" s="111"/>
      <c r="G67" s="111"/>
      <c r="H67" s="112" t="str">
        <f t="shared" ref="H67:H70" si="23">A67</f>
        <v>BTT CB1 Heatsink</v>
      </c>
      <c r="I67" s="105" t="s">
        <v>449</v>
      </c>
      <c r="J67" s="106">
        <f t="shared" si="20"/>
        <v>2</v>
      </c>
      <c r="K67" s="107">
        <v>5.99</v>
      </c>
      <c r="L67" s="107">
        <f t="shared" si="18"/>
        <v>11.98</v>
      </c>
      <c r="M67" s="107">
        <v>0</v>
      </c>
      <c r="N67" s="107">
        <v>0</v>
      </c>
      <c r="O67" s="107">
        <f t="shared" si="22"/>
        <v>11.98</v>
      </c>
      <c r="P67" s="107">
        <f>O67</f>
        <v>11.98</v>
      </c>
      <c r="Q67" s="114">
        <f>(K67*1) * -1</f>
        <v>-5.99</v>
      </c>
      <c r="R67" s="106" t="s">
        <v>392</v>
      </c>
      <c r="S67" s="108" t="s">
        <v>452</v>
      </c>
      <c r="T67" s="109" t="s">
        <v>452</v>
      </c>
    </row>
    <row r="68" spans="1:20" ht="45">
      <c r="A68" s="101" t="s">
        <v>466</v>
      </c>
      <c r="B68" s="106">
        <v>1</v>
      </c>
      <c r="C68" s="106" t="s">
        <v>313</v>
      </c>
      <c r="D68" s="106" t="s">
        <v>298</v>
      </c>
      <c r="E68" s="111"/>
      <c r="F68" s="111"/>
      <c r="G68" s="111"/>
      <c r="H68" s="112" t="str">
        <f t="shared" si="23"/>
        <v>Mandala Roseworks Kinematic center brace for Voron 2.4</v>
      </c>
      <c r="I68" s="105" t="s">
        <v>490</v>
      </c>
      <c r="J68" s="106">
        <f t="shared" ref="J68:J126" si="24">B68</f>
        <v>1</v>
      </c>
      <c r="K68" s="107">
        <v>35</v>
      </c>
      <c r="L68" s="107">
        <f t="shared" ref="L68:L126" si="25">J68*K68</f>
        <v>35</v>
      </c>
      <c r="M68" s="107">
        <v>4.0599999999999996</v>
      </c>
      <c r="N68" s="107">
        <v>0</v>
      </c>
      <c r="O68" s="107">
        <f t="shared" ref="O68:O126" si="26">L68+M68+N68</f>
        <v>39.06</v>
      </c>
      <c r="P68" s="107">
        <f>O68</f>
        <v>39.06</v>
      </c>
      <c r="Q68" s="114"/>
      <c r="R68" s="106" t="s">
        <v>392</v>
      </c>
      <c r="S68" s="108" t="s">
        <v>492</v>
      </c>
      <c r="T68" s="109" t="s">
        <v>468</v>
      </c>
    </row>
    <row r="69" spans="1:20" ht="45">
      <c r="A69" s="101" t="s">
        <v>470</v>
      </c>
      <c r="B69" s="106">
        <v>1</v>
      </c>
      <c r="C69" s="106" t="s">
        <v>313</v>
      </c>
      <c r="D69" s="106" t="s">
        <v>298</v>
      </c>
      <c r="E69" s="111"/>
      <c r="F69" s="111"/>
      <c r="G69" s="111"/>
      <c r="H69" s="112" t="str">
        <f t="shared" si="23"/>
        <v>Mandala Roseworks The "Gripper" E3DV6 Wrench</v>
      </c>
      <c r="I69" s="105" t="s">
        <v>473</v>
      </c>
      <c r="J69" s="106">
        <f t="shared" si="24"/>
        <v>1</v>
      </c>
      <c r="K69" s="107">
        <v>29</v>
      </c>
      <c r="L69" s="107">
        <f t="shared" si="25"/>
        <v>29</v>
      </c>
      <c r="M69" s="107">
        <v>6.27</v>
      </c>
      <c r="N69" s="107">
        <v>0</v>
      </c>
      <c r="O69" s="107">
        <f t="shared" si="26"/>
        <v>35.269999999999996</v>
      </c>
      <c r="P69" s="107">
        <f>O69</f>
        <v>35.269999999999996</v>
      </c>
      <c r="Q69" s="114">
        <f>-1*P69</f>
        <v>-35.269999999999996</v>
      </c>
      <c r="R69" s="106" t="s">
        <v>392</v>
      </c>
      <c r="S69" s="108" t="s">
        <v>491</v>
      </c>
      <c r="T69" s="109" t="s">
        <v>474</v>
      </c>
    </row>
    <row r="70" spans="1:20" ht="30">
      <c r="A70" s="101" t="s">
        <v>471</v>
      </c>
      <c r="B70" s="106">
        <v>1</v>
      </c>
      <c r="C70" s="106" t="s">
        <v>313</v>
      </c>
      <c r="D70" s="106" t="s">
        <v>298</v>
      </c>
      <c r="E70" s="111"/>
      <c r="F70" s="111"/>
      <c r="G70" s="111"/>
      <c r="H70" s="112" t="str">
        <f t="shared" si="23"/>
        <v>Layerneer Bed Weld - Original 3D printing adhesive</v>
      </c>
      <c r="I70" s="105" t="s">
        <v>472</v>
      </c>
      <c r="J70" s="106">
        <f t="shared" ref="J70:J123" si="27">B70</f>
        <v>1</v>
      </c>
      <c r="K70" s="107">
        <v>22.95</v>
      </c>
      <c r="L70" s="107">
        <f t="shared" ref="L70:L123" si="28">J70*K70</f>
        <v>22.95</v>
      </c>
      <c r="M70" s="107">
        <v>0</v>
      </c>
      <c r="N70" s="107">
        <v>0</v>
      </c>
      <c r="O70" s="107">
        <f t="shared" ref="O70:O123" si="29">L70+M70+N70</f>
        <v>22.95</v>
      </c>
      <c r="P70" s="107">
        <f>O70</f>
        <v>22.95</v>
      </c>
      <c r="Q70" s="114">
        <f>-1*P70</f>
        <v>-22.95</v>
      </c>
      <c r="R70" s="106" t="s">
        <v>392</v>
      </c>
      <c r="S70" s="108" t="s">
        <v>494</v>
      </c>
      <c r="T70" s="109" t="s">
        <v>475</v>
      </c>
    </row>
    <row r="71" spans="1:20" ht="45">
      <c r="A71" s="116" t="s">
        <v>476</v>
      </c>
      <c r="B71" s="117">
        <v>1</v>
      </c>
      <c r="C71" s="117" t="s">
        <v>313</v>
      </c>
      <c r="D71" s="117" t="s">
        <v>298</v>
      </c>
      <c r="E71" s="118"/>
      <c r="F71" s="118"/>
      <c r="G71" s="118"/>
      <c r="H71" s="119" t="str">
        <f t="shared" ref="H71:H76" si="30">A71</f>
        <v>Voron Tap - rail w/ optotap v2 (5-24v) and HW kit; from DFH</v>
      </c>
      <c r="I71" s="120" t="s">
        <v>489</v>
      </c>
      <c r="J71" s="117">
        <f t="shared" ref="J71:J118" si="31">B71</f>
        <v>1</v>
      </c>
      <c r="K71" s="121">
        <v>45</v>
      </c>
      <c r="L71" s="121">
        <f t="shared" ref="L71:L118" si="32">J71*K71</f>
        <v>45</v>
      </c>
      <c r="M71" s="121">
        <f>(20.18/9)*J71</f>
        <v>2.2422222222222223</v>
      </c>
      <c r="N71" s="121">
        <v>0</v>
      </c>
      <c r="O71" s="121">
        <f t="shared" ref="O71:O118" si="33">L71+M71+N71</f>
        <v>47.242222222222225</v>
      </c>
      <c r="P71" s="121">
        <f>O71-((18.05/9)*J71)</f>
        <v>45.236666666666672</v>
      </c>
      <c r="Q71" s="120"/>
      <c r="R71" s="117" t="s">
        <v>280</v>
      </c>
      <c r="S71" s="123" t="s">
        <v>495</v>
      </c>
      <c r="T71" s="124" t="s">
        <v>484</v>
      </c>
    </row>
    <row r="72" spans="1:20" ht="30">
      <c r="A72" s="116" t="s">
        <v>478</v>
      </c>
      <c r="B72" s="117">
        <v>2</v>
      </c>
      <c r="C72" s="117" t="s">
        <v>313</v>
      </c>
      <c r="D72" s="117" t="s">
        <v>298</v>
      </c>
      <c r="E72" s="118"/>
      <c r="F72" s="118"/>
      <c r="G72" s="118"/>
      <c r="H72" s="119" t="str">
        <f t="shared" si="30"/>
        <v>Nightlight on a stick - LED Strip; from DFH</v>
      </c>
      <c r="I72" s="120" t="s">
        <v>483</v>
      </c>
      <c r="J72" s="117">
        <f t="shared" si="31"/>
        <v>2</v>
      </c>
      <c r="K72" s="121">
        <v>17.5</v>
      </c>
      <c r="L72" s="121">
        <f t="shared" si="32"/>
        <v>35</v>
      </c>
      <c r="M72" s="121">
        <f t="shared" ref="M72:M76" si="34">(20.18/9)*J72</f>
        <v>4.4844444444444447</v>
      </c>
      <c r="N72" s="121">
        <v>0</v>
      </c>
      <c r="O72" s="121">
        <f t="shared" si="33"/>
        <v>39.484444444444442</v>
      </c>
      <c r="P72" s="121">
        <f t="shared" ref="P72:P76" si="35">O72-((18.05/9)*J72)</f>
        <v>35.473333333333329</v>
      </c>
      <c r="Q72" s="122">
        <f>-1*P72</f>
        <v>-35.473333333333329</v>
      </c>
      <c r="R72" s="117" t="s">
        <v>280</v>
      </c>
      <c r="S72" s="123" t="s">
        <v>485</v>
      </c>
      <c r="T72" s="124" t="s">
        <v>485</v>
      </c>
    </row>
    <row r="73" spans="1:20" ht="30">
      <c r="A73" s="116" t="s">
        <v>479</v>
      </c>
      <c r="B73" s="117">
        <v>2</v>
      </c>
      <c r="C73" s="117" t="s">
        <v>313</v>
      </c>
      <c r="D73" s="117" t="s">
        <v>298</v>
      </c>
      <c r="E73" s="118"/>
      <c r="F73" s="118"/>
      <c r="G73" s="118"/>
      <c r="H73" s="119" t="str">
        <f t="shared" si="30"/>
        <v>Disco stick on black PCB - LED Strip; from DFH</v>
      </c>
      <c r="I73" s="120" t="s">
        <v>483</v>
      </c>
      <c r="J73" s="117">
        <f t="shared" si="31"/>
        <v>2</v>
      </c>
      <c r="K73" s="121">
        <v>16.5</v>
      </c>
      <c r="L73" s="121">
        <f t="shared" si="32"/>
        <v>33</v>
      </c>
      <c r="M73" s="121">
        <f t="shared" si="34"/>
        <v>4.4844444444444447</v>
      </c>
      <c r="N73" s="121">
        <v>0</v>
      </c>
      <c r="O73" s="121">
        <f t="shared" si="33"/>
        <v>37.484444444444442</v>
      </c>
      <c r="P73" s="121">
        <f t="shared" si="35"/>
        <v>33.473333333333329</v>
      </c>
      <c r="Q73" s="120"/>
      <c r="R73" s="117" t="s">
        <v>280</v>
      </c>
      <c r="S73" s="123" t="s">
        <v>485</v>
      </c>
      <c r="T73" s="124" t="s">
        <v>485</v>
      </c>
    </row>
    <row r="74" spans="1:20" ht="30">
      <c r="A74" s="116" t="s">
        <v>481</v>
      </c>
      <c r="B74" s="117">
        <v>1</v>
      </c>
      <c r="C74" s="117" t="s">
        <v>313</v>
      </c>
      <c r="D74" s="117" t="s">
        <v>298</v>
      </c>
      <c r="E74" s="118"/>
      <c r="F74" s="118"/>
      <c r="G74" s="118"/>
      <c r="H74" s="119" t="str">
        <f t="shared" si="30"/>
        <v>OV5640 Camera Module; from DFH</v>
      </c>
      <c r="I74" s="120" t="s">
        <v>483</v>
      </c>
      <c r="J74" s="117">
        <f t="shared" si="31"/>
        <v>1</v>
      </c>
      <c r="K74" s="121">
        <v>32.5</v>
      </c>
      <c r="L74" s="121">
        <f t="shared" si="32"/>
        <v>32.5</v>
      </c>
      <c r="M74" s="121">
        <f t="shared" si="34"/>
        <v>2.2422222222222223</v>
      </c>
      <c r="N74" s="121">
        <v>0</v>
      </c>
      <c r="O74" s="121">
        <f t="shared" si="33"/>
        <v>34.742222222222225</v>
      </c>
      <c r="P74" s="121">
        <f t="shared" si="35"/>
        <v>32.736666666666672</v>
      </c>
      <c r="Q74" s="120"/>
      <c r="R74" s="117" t="s">
        <v>280</v>
      </c>
      <c r="S74" s="123" t="s">
        <v>485</v>
      </c>
      <c r="T74" s="124" t="s">
        <v>485</v>
      </c>
    </row>
    <row r="75" spans="1:20" ht="30">
      <c r="A75" s="116" t="s">
        <v>482</v>
      </c>
      <c r="B75" s="117">
        <v>2</v>
      </c>
      <c r="C75" s="117" t="s">
        <v>313</v>
      </c>
      <c r="D75" s="117" t="s">
        <v>383</v>
      </c>
      <c r="E75" s="118"/>
      <c r="F75" s="118"/>
      <c r="G75" s="118"/>
      <c r="H75" s="119" t="str">
        <f t="shared" si="30"/>
        <v>Seeeduino XIAO; from DFH</v>
      </c>
      <c r="I75" s="120" t="s">
        <v>487</v>
      </c>
      <c r="J75" s="117">
        <f t="shared" si="31"/>
        <v>2</v>
      </c>
      <c r="K75" s="121">
        <v>10</v>
      </c>
      <c r="L75" s="121">
        <f t="shared" si="32"/>
        <v>20</v>
      </c>
      <c r="M75" s="121">
        <f t="shared" si="34"/>
        <v>4.4844444444444447</v>
      </c>
      <c r="N75" s="121">
        <v>0</v>
      </c>
      <c r="O75" s="121">
        <f t="shared" si="33"/>
        <v>24.484444444444446</v>
      </c>
      <c r="P75" s="121">
        <f t="shared" si="35"/>
        <v>20.473333333333336</v>
      </c>
      <c r="Q75" s="122">
        <f>-1*(P75/2)</f>
        <v>-10.236666666666668</v>
      </c>
      <c r="R75" s="117" t="s">
        <v>280</v>
      </c>
      <c r="S75" s="123" t="s">
        <v>485</v>
      </c>
      <c r="T75" s="124" t="s">
        <v>485</v>
      </c>
    </row>
    <row r="76" spans="1:20" ht="30">
      <c r="A76" s="116" t="s">
        <v>480</v>
      </c>
      <c r="B76" s="117">
        <v>1</v>
      </c>
      <c r="C76" s="117" t="s">
        <v>313</v>
      </c>
      <c r="D76" s="117" t="s">
        <v>383</v>
      </c>
      <c r="E76" s="118"/>
      <c r="F76" s="118"/>
      <c r="G76" s="118"/>
      <c r="H76" s="119" t="str">
        <f t="shared" si="30"/>
        <v>Daylight on a stick on black PCB; from DFH</v>
      </c>
      <c r="I76" s="120" t="s">
        <v>486</v>
      </c>
      <c r="J76" s="117">
        <f t="shared" si="31"/>
        <v>1</v>
      </c>
      <c r="K76" s="121">
        <v>15</v>
      </c>
      <c r="L76" s="121">
        <f t="shared" si="32"/>
        <v>15</v>
      </c>
      <c r="M76" s="121">
        <f t="shared" si="34"/>
        <v>2.2422222222222223</v>
      </c>
      <c r="N76" s="121">
        <v>0</v>
      </c>
      <c r="O76" s="121">
        <f t="shared" si="33"/>
        <v>17.242222222222221</v>
      </c>
      <c r="P76" s="121">
        <f t="shared" si="35"/>
        <v>15.236666666666665</v>
      </c>
      <c r="Q76" s="122">
        <f>-1*P76</f>
        <v>-15.236666666666665</v>
      </c>
      <c r="R76" s="117" t="s">
        <v>280</v>
      </c>
      <c r="S76" s="123" t="s">
        <v>485</v>
      </c>
      <c r="T76" s="124" t="s">
        <v>485</v>
      </c>
    </row>
    <row r="77" spans="1:20" ht="30">
      <c r="A77" s="65" t="s">
        <v>500</v>
      </c>
      <c r="B77" s="63"/>
      <c r="C77" s="63"/>
      <c r="D77" s="63"/>
      <c r="E77" s="65"/>
      <c r="F77" s="65"/>
      <c r="G77" s="65"/>
      <c r="H77" s="67"/>
      <c r="I77" s="75" t="s">
        <v>499</v>
      </c>
      <c r="J77" s="63">
        <f t="shared" ref="J77:J86" si="36">B77</f>
        <v>0</v>
      </c>
      <c r="K77" s="64"/>
      <c r="L77" s="64">
        <f t="shared" ref="L77:L80" si="37">J77*K77</f>
        <v>0</v>
      </c>
      <c r="M77" s="64"/>
      <c r="N77" s="64"/>
      <c r="O77" s="64">
        <f t="shared" ref="O77:O86" si="38">L77+M77+N77</f>
        <v>0</v>
      </c>
      <c r="P77" s="64"/>
      <c r="Q77" s="75"/>
      <c r="R77" s="63"/>
      <c r="S77" s="97"/>
      <c r="T77" s="98"/>
    </row>
    <row r="78" spans="1:20" ht="30">
      <c r="A78" s="65" t="s">
        <v>501</v>
      </c>
      <c r="B78" s="63"/>
      <c r="C78" s="63"/>
      <c r="D78" s="63"/>
      <c r="E78" s="65"/>
      <c r="F78" s="65"/>
      <c r="G78" s="65"/>
      <c r="H78" s="67"/>
      <c r="I78" s="75" t="s">
        <v>499</v>
      </c>
      <c r="J78" s="63">
        <f t="shared" si="36"/>
        <v>0</v>
      </c>
      <c r="K78" s="64"/>
      <c r="L78" s="64">
        <f t="shared" si="37"/>
        <v>0</v>
      </c>
      <c r="M78" s="64"/>
      <c r="N78" s="64"/>
      <c r="O78" s="64">
        <f t="shared" si="38"/>
        <v>0</v>
      </c>
      <c r="P78" s="64"/>
      <c r="Q78" s="75"/>
      <c r="R78" s="63"/>
      <c r="S78" s="97"/>
      <c r="T78" s="98"/>
    </row>
    <row r="79" spans="1:20" ht="30">
      <c r="A79" s="116" t="s">
        <v>549</v>
      </c>
      <c r="B79" s="117">
        <v>1</v>
      </c>
      <c r="C79" s="117" t="s">
        <v>313</v>
      </c>
      <c r="D79" s="117" t="s">
        <v>298</v>
      </c>
      <c r="E79" s="118"/>
      <c r="F79" s="118"/>
      <c r="G79" s="118"/>
      <c r="H79" s="119" t="str">
        <f>A79</f>
        <v>LDO Nema14 36mm Pancake Stepper Motor LDO-36STH20-1004AHG</v>
      </c>
      <c r="I79" s="120" t="s">
        <v>499</v>
      </c>
      <c r="J79" s="117">
        <f t="shared" si="36"/>
        <v>1</v>
      </c>
      <c r="K79" s="121">
        <v>20.99</v>
      </c>
      <c r="L79" s="121">
        <f t="shared" si="37"/>
        <v>20.99</v>
      </c>
      <c r="M79" s="121">
        <v>0</v>
      </c>
      <c r="N79" s="121">
        <v>0</v>
      </c>
      <c r="O79" s="121">
        <f t="shared" si="38"/>
        <v>20.99</v>
      </c>
      <c r="P79" s="121">
        <f>O79</f>
        <v>20.99</v>
      </c>
      <c r="Q79" s="120"/>
      <c r="R79" s="117" t="s">
        <v>280</v>
      </c>
      <c r="S79" s="123" t="s">
        <v>553</v>
      </c>
      <c r="T79" s="124" t="s">
        <v>553</v>
      </c>
    </row>
    <row r="80" spans="1:20" ht="30">
      <c r="A80" s="116" t="s">
        <v>554</v>
      </c>
      <c r="B80" s="117">
        <v>1</v>
      </c>
      <c r="C80" s="117" t="s">
        <v>313</v>
      </c>
      <c r="D80" s="117" t="s">
        <v>298</v>
      </c>
      <c r="E80" s="118"/>
      <c r="F80" s="118"/>
      <c r="G80" s="118"/>
      <c r="H80" s="119" t="str">
        <f>A80</f>
        <v>Hartk Stealthburner Toolhead PCB</v>
      </c>
      <c r="I80" s="120" t="s">
        <v>499</v>
      </c>
      <c r="J80" s="117">
        <f t="shared" si="36"/>
        <v>1</v>
      </c>
      <c r="K80" s="121">
        <v>21.99</v>
      </c>
      <c r="L80" s="121">
        <f t="shared" si="37"/>
        <v>21.99</v>
      </c>
      <c r="M80" s="121">
        <v>0</v>
      </c>
      <c r="N80" s="121">
        <v>0</v>
      </c>
      <c r="O80" s="121">
        <f t="shared" si="38"/>
        <v>21.99</v>
      </c>
      <c r="P80" s="121">
        <f>O80</f>
        <v>21.99</v>
      </c>
      <c r="Q80" s="120"/>
      <c r="R80" s="117" t="s">
        <v>280</v>
      </c>
      <c r="S80" s="123" t="s">
        <v>553</v>
      </c>
      <c r="T80" s="124" t="s">
        <v>553</v>
      </c>
    </row>
    <row r="81" spans="1:20" ht="30">
      <c r="A81" s="116" t="s">
        <v>556</v>
      </c>
      <c r="B81" s="117">
        <v>1</v>
      </c>
      <c r="C81" s="117" t="s">
        <v>313</v>
      </c>
      <c r="D81" s="117" t="s">
        <v>298</v>
      </c>
      <c r="E81" s="118"/>
      <c r="F81" s="118"/>
      <c r="G81" s="118"/>
      <c r="H81" s="119" t="str">
        <f>A81</f>
        <v>5015 GDSTIME DC 24V 50x50x15 Centrifugal Blower Fan GDB5015Dual Ball Bearing 6000RPM 2.2W .1A XH2.54</v>
      </c>
      <c r="I81" s="120" t="s">
        <v>499</v>
      </c>
      <c r="J81" s="117">
        <f t="shared" ref="J81:J83" si="39">B81</f>
        <v>1</v>
      </c>
      <c r="K81" s="121">
        <v>8.99</v>
      </c>
      <c r="L81" s="121">
        <f t="shared" ref="L81:L83" si="40">J81*K81</f>
        <v>8.99</v>
      </c>
      <c r="M81" s="121">
        <v>0</v>
      </c>
      <c r="N81" s="121">
        <v>0</v>
      </c>
      <c r="O81" s="121">
        <f t="shared" ref="O81:O83" si="41">L81+M81+N81</f>
        <v>8.99</v>
      </c>
      <c r="P81" s="121">
        <f>O81</f>
        <v>8.99</v>
      </c>
      <c r="Q81" s="120"/>
      <c r="R81" s="117" t="s">
        <v>280</v>
      </c>
      <c r="S81" s="123" t="s">
        <v>553</v>
      </c>
      <c r="T81" s="124" t="s">
        <v>553</v>
      </c>
    </row>
    <row r="82" spans="1:20">
      <c r="A82" s="116" t="s">
        <v>638</v>
      </c>
      <c r="B82" s="117">
        <v>1</v>
      </c>
      <c r="C82" s="117" t="s">
        <v>313</v>
      </c>
      <c r="D82" s="117" t="s">
        <v>298</v>
      </c>
      <c r="E82" s="118"/>
      <c r="F82" s="118"/>
      <c r="G82" s="118"/>
      <c r="H82" s="119" t="str">
        <f>A82</f>
        <v>Voron Stealthburner Fastener and LED Kit</v>
      </c>
      <c r="I82" s="120" t="s">
        <v>639</v>
      </c>
      <c r="J82" s="117">
        <f>B82</f>
        <v>1</v>
      </c>
      <c r="K82" s="121">
        <v>12</v>
      </c>
      <c r="L82" s="121">
        <f>J82*K82</f>
        <v>12</v>
      </c>
      <c r="M82" s="121">
        <f>13.1/4</f>
        <v>3.2749999999999999</v>
      </c>
      <c r="N82" s="121">
        <v>0</v>
      </c>
      <c r="O82" s="121">
        <f>L82+M82+N82</f>
        <v>15.275</v>
      </c>
      <c r="P82" s="121">
        <f>O82</f>
        <v>15.275</v>
      </c>
      <c r="Q82" s="120"/>
      <c r="R82" s="117" t="s">
        <v>280</v>
      </c>
      <c r="S82" s="123" t="s">
        <v>642</v>
      </c>
      <c r="T82" s="124" t="s">
        <v>642</v>
      </c>
    </row>
    <row r="83" spans="1:20">
      <c r="A83" s="116" t="s">
        <v>640</v>
      </c>
      <c r="B83" s="117">
        <v>1</v>
      </c>
      <c r="C83" s="117" t="s">
        <v>313</v>
      </c>
      <c r="D83" s="117" t="s">
        <v>298</v>
      </c>
      <c r="E83" s="118"/>
      <c r="F83" s="118"/>
      <c r="G83" s="118"/>
      <c r="H83" s="119" t="str">
        <f>A83</f>
        <v xml:space="preserve">Voron 2.4 and Trident Sexbolt Z Endstop Super Kit </v>
      </c>
      <c r="I83" s="120" t="s">
        <v>641</v>
      </c>
      <c r="J83" s="117">
        <f t="shared" si="39"/>
        <v>1</v>
      </c>
      <c r="K83" s="121">
        <v>15</v>
      </c>
      <c r="L83" s="121">
        <f t="shared" si="40"/>
        <v>15</v>
      </c>
      <c r="M83" s="121">
        <f>13.1/4</f>
        <v>3.2749999999999999</v>
      </c>
      <c r="N83" s="121">
        <v>0</v>
      </c>
      <c r="O83" s="121">
        <f t="shared" si="41"/>
        <v>18.274999999999999</v>
      </c>
      <c r="P83" s="121">
        <f>O83</f>
        <v>18.274999999999999</v>
      </c>
      <c r="Q83" s="120"/>
      <c r="R83" s="117" t="s">
        <v>280</v>
      </c>
      <c r="S83" s="123" t="s">
        <v>642</v>
      </c>
      <c r="T83" s="124" t="s">
        <v>642</v>
      </c>
    </row>
    <row r="84" spans="1:20" ht="30">
      <c r="A84" s="116" t="s">
        <v>647</v>
      </c>
      <c r="B84" s="117">
        <v>2</v>
      </c>
      <c r="C84" s="117" t="s">
        <v>313</v>
      </c>
      <c r="D84" s="117" t="s">
        <v>298</v>
      </c>
      <c r="E84" s="118"/>
      <c r="F84" s="118"/>
      <c r="G84" s="118"/>
      <c r="H84" s="119" t="str">
        <f>A84</f>
        <v>Capricornus PTFE Tube 1.9mm Teflonto Bowden Tube - Red</v>
      </c>
      <c r="I84" s="120" t="s">
        <v>648</v>
      </c>
      <c r="J84" s="117">
        <f>B84</f>
        <v>2</v>
      </c>
      <c r="K84" s="121">
        <v>4.99</v>
      </c>
      <c r="L84" s="121">
        <f>J84*K84</f>
        <v>9.98</v>
      </c>
      <c r="M84" s="121">
        <f>6.88*(2/5)</f>
        <v>2.7520000000000002</v>
      </c>
      <c r="N84" s="121">
        <v>0</v>
      </c>
      <c r="O84" s="121">
        <f>L84+M84+N84</f>
        <v>12.732000000000001</v>
      </c>
      <c r="P84" s="121">
        <f>O84</f>
        <v>12.732000000000001</v>
      </c>
      <c r="Q84" s="120"/>
      <c r="R84" s="117" t="s">
        <v>280</v>
      </c>
      <c r="S84" s="123" t="s">
        <v>653</v>
      </c>
      <c r="T84" s="124" t="s">
        <v>651</v>
      </c>
    </row>
    <row r="85" spans="1:20">
      <c r="A85" s="116" t="s">
        <v>649</v>
      </c>
      <c r="B85" s="117">
        <v>1</v>
      </c>
      <c r="C85" s="117" t="s">
        <v>313</v>
      </c>
      <c r="D85" s="117" t="s">
        <v>298</v>
      </c>
      <c r="E85" s="118"/>
      <c r="F85" s="118"/>
      <c r="G85" s="118"/>
      <c r="H85" s="119" t="str">
        <f>A85</f>
        <v>5mm x 10m Single Sided Self Adhesive Tape / 3mm thick</v>
      </c>
      <c r="I85" s="120" t="s">
        <v>650</v>
      </c>
      <c r="J85" s="117">
        <f>B85</f>
        <v>1</v>
      </c>
      <c r="K85" s="121">
        <v>5.99</v>
      </c>
      <c r="L85" s="121">
        <f>J85*K85</f>
        <v>5.99</v>
      </c>
      <c r="M85" s="121">
        <f>6.88*(1/5)</f>
        <v>1.3760000000000001</v>
      </c>
      <c r="N85" s="121">
        <v>0</v>
      </c>
      <c r="O85" s="121">
        <f>L85+M85+N85</f>
        <v>7.3660000000000005</v>
      </c>
      <c r="P85" s="121">
        <f>O85</f>
        <v>7.3660000000000005</v>
      </c>
      <c r="Q85" s="120"/>
      <c r="R85" s="117" t="s">
        <v>280</v>
      </c>
      <c r="S85" s="123" t="s">
        <v>652</v>
      </c>
      <c r="T85" s="124" t="s">
        <v>652</v>
      </c>
    </row>
    <row r="86" spans="1:20" ht="30">
      <c r="A86" s="116" t="s">
        <v>544</v>
      </c>
      <c r="B86" s="117">
        <v>1</v>
      </c>
      <c r="C86" s="117" t="s">
        <v>313</v>
      </c>
      <c r="D86" s="117" t="s">
        <v>383</v>
      </c>
      <c r="E86" s="118"/>
      <c r="F86" s="118"/>
      <c r="G86" s="118"/>
      <c r="H86" s="119" t="str">
        <f>A86</f>
        <v>MODIFI3D - PRO 3D Print Finishing and Repair Tool</v>
      </c>
      <c r="I86" s="120" t="s">
        <v>545</v>
      </c>
      <c r="J86" s="117">
        <f t="shared" si="36"/>
        <v>1</v>
      </c>
      <c r="K86" s="121"/>
      <c r="L86" s="121">
        <v>89.99</v>
      </c>
      <c r="M86" s="121">
        <v>0</v>
      </c>
      <c r="N86" s="121">
        <v>0</v>
      </c>
      <c r="O86" s="121">
        <f t="shared" si="38"/>
        <v>89.99</v>
      </c>
      <c r="P86" s="121">
        <f>O86</f>
        <v>89.99</v>
      </c>
      <c r="Q86" s="122">
        <f>-1*P86</f>
        <v>-89.99</v>
      </c>
      <c r="R86" s="117" t="s">
        <v>280</v>
      </c>
      <c r="S86" s="123" t="s">
        <v>546</v>
      </c>
      <c r="T86" s="124" t="s">
        <v>547</v>
      </c>
    </row>
    <row r="87" spans="1:20" ht="30">
      <c r="A87" s="116" t="s">
        <v>548</v>
      </c>
      <c r="B87" s="117">
        <v>4</v>
      </c>
      <c r="C87" s="117" t="s">
        <v>313</v>
      </c>
      <c r="D87" s="117" t="s">
        <v>298</v>
      </c>
      <c r="E87" s="118"/>
      <c r="F87" s="118"/>
      <c r="G87" s="118"/>
      <c r="H87" s="119" t="str">
        <f>A87</f>
        <v>SK6812 RGBW 5v LED (Similar to NeoPixel)</v>
      </c>
      <c r="I87" s="120" t="s">
        <v>499</v>
      </c>
      <c r="J87" s="117">
        <f>B87</f>
        <v>4</v>
      </c>
      <c r="K87" s="121">
        <v>1.29</v>
      </c>
      <c r="L87" s="121">
        <f t="shared" si="32"/>
        <v>5.16</v>
      </c>
      <c r="M87" s="121">
        <v>0</v>
      </c>
      <c r="N87" s="121">
        <v>0</v>
      </c>
      <c r="O87" s="121">
        <f t="shared" si="33"/>
        <v>5.16</v>
      </c>
      <c r="P87" s="121">
        <f>O87</f>
        <v>5.16</v>
      </c>
      <c r="Q87" s="122"/>
      <c r="R87" s="117" t="s">
        <v>280</v>
      </c>
      <c r="S87" s="123" t="s">
        <v>558</v>
      </c>
      <c r="T87" s="124" t="s">
        <v>552</v>
      </c>
    </row>
    <row r="88" spans="1:20" ht="30">
      <c r="A88" s="152" t="s">
        <v>617</v>
      </c>
      <c r="B88" s="117">
        <v>1</v>
      </c>
      <c r="C88" s="117" t="s">
        <v>313</v>
      </c>
      <c r="D88" s="117" t="s">
        <v>298</v>
      </c>
      <c r="E88" s="118"/>
      <c r="F88" s="118"/>
      <c r="G88" s="118"/>
      <c r="H88" s="119" t="str">
        <f t="shared" ref="H88:H92" si="42">A88</f>
        <v>LBY 100pcs Binding Screw kit,M5 x 10/20/30/40/50; Nickel Plated (Black)</v>
      </c>
      <c r="I88" s="120" t="s">
        <v>611</v>
      </c>
      <c r="J88" s="117">
        <f>B88</f>
        <v>1</v>
      </c>
      <c r="K88" s="121">
        <v>9.19</v>
      </c>
      <c r="L88" s="121">
        <f t="shared" si="32"/>
        <v>9.19</v>
      </c>
      <c r="M88" s="121">
        <v>0</v>
      </c>
      <c r="N88" s="121">
        <f>1.3/2</f>
        <v>0.65</v>
      </c>
      <c r="O88" s="121">
        <f t="shared" si="33"/>
        <v>9.84</v>
      </c>
      <c r="P88" s="121">
        <f>O88</f>
        <v>9.84</v>
      </c>
      <c r="Q88" s="120"/>
      <c r="R88" s="117" t="s">
        <v>280</v>
      </c>
      <c r="S88" s="123" t="s">
        <v>622</v>
      </c>
      <c r="T88" s="124" t="s">
        <v>618</v>
      </c>
    </row>
    <row r="89" spans="1:20">
      <c r="A89" s="152" t="s">
        <v>616</v>
      </c>
      <c r="B89" s="117">
        <v>1</v>
      </c>
      <c r="C89" s="117" t="s">
        <v>313</v>
      </c>
      <c r="D89" s="117" t="s">
        <v>298</v>
      </c>
      <c r="E89" s="118"/>
      <c r="F89" s="118"/>
      <c r="G89" s="118"/>
      <c r="H89" s="119" t="str">
        <f t="shared" si="42"/>
        <v>uxcell 10pcs Sleeve Bearing 5x7x8mm</v>
      </c>
      <c r="I89" s="120" t="s">
        <v>611</v>
      </c>
      <c r="J89" s="117">
        <f t="shared" ref="J89:J115" si="43">B89</f>
        <v>1</v>
      </c>
      <c r="K89" s="121">
        <v>6.99</v>
      </c>
      <c r="L89" s="121">
        <f t="shared" ref="L89:L115" si="44">J89*K89</f>
        <v>6.99</v>
      </c>
      <c r="M89" s="121">
        <v>0</v>
      </c>
      <c r="N89" s="121">
        <f>1.3/2</f>
        <v>0.65</v>
      </c>
      <c r="O89" s="121">
        <f t="shared" ref="O89:O115" si="45">L89+M89+N89</f>
        <v>7.6400000000000006</v>
      </c>
      <c r="P89" s="121">
        <f>O89</f>
        <v>7.6400000000000006</v>
      </c>
      <c r="Q89" s="120"/>
      <c r="R89" s="117" t="s">
        <v>280</v>
      </c>
      <c r="S89" s="123" t="s">
        <v>619</v>
      </c>
      <c r="T89" s="124" t="s">
        <v>619</v>
      </c>
    </row>
    <row r="90" spans="1:20" ht="30">
      <c r="A90" s="152" t="s">
        <v>559</v>
      </c>
      <c r="B90" s="117">
        <v>2</v>
      </c>
      <c r="C90" s="117" t="s">
        <v>313</v>
      </c>
      <c r="D90" s="117" t="s">
        <v>298</v>
      </c>
      <c r="E90" s="118"/>
      <c r="F90" s="118"/>
      <c r="G90" s="118"/>
      <c r="H90" s="119" t="str">
        <f t="shared" si="42"/>
        <v>5015 24v Dual Ball Blower</v>
      </c>
      <c r="I90" s="120" t="s">
        <v>611</v>
      </c>
      <c r="J90" s="117">
        <f t="shared" si="43"/>
        <v>2</v>
      </c>
      <c r="K90" s="121">
        <v>8</v>
      </c>
      <c r="L90" s="121">
        <f t="shared" si="44"/>
        <v>16</v>
      </c>
      <c r="M90" s="121">
        <f>14.76/3</f>
        <v>4.92</v>
      </c>
      <c r="N90" s="121">
        <v>0</v>
      </c>
      <c r="O90" s="121">
        <f t="shared" si="45"/>
        <v>20.92</v>
      </c>
      <c r="P90" s="121">
        <f t="shared" ref="P90:P92" si="46">O90</f>
        <v>20.92</v>
      </c>
      <c r="Q90" s="120"/>
      <c r="R90" s="117" t="s">
        <v>280</v>
      </c>
      <c r="S90" s="123" t="s">
        <v>625</v>
      </c>
      <c r="T90" s="124" t="s">
        <v>626</v>
      </c>
    </row>
    <row r="91" spans="1:20">
      <c r="A91" s="152" t="s">
        <v>563</v>
      </c>
      <c r="B91" s="117">
        <v>1</v>
      </c>
      <c r="C91" s="117" t="s">
        <v>313</v>
      </c>
      <c r="D91" s="117" t="s">
        <v>298</v>
      </c>
      <c r="E91" s="118"/>
      <c r="F91" s="118"/>
      <c r="G91" s="118"/>
      <c r="H91" s="119" t="str">
        <f t="shared" si="42"/>
        <v>Nevermore Printer Carbon</v>
      </c>
      <c r="I91" s="120" t="s">
        <v>611</v>
      </c>
      <c r="J91" s="117">
        <f t="shared" si="43"/>
        <v>1</v>
      </c>
      <c r="K91" s="121">
        <v>13.5</v>
      </c>
      <c r="L91" s="121">
        <f t="shared" si="44"/>
        <v>13.5</v>
      </c>
      <c r="M91" s="121">
        <f t="shared" ref="M91:M92" si="47">14.76/3</f>
        <v>4.92</v>
      </c>
      <c r="N91" s="121">
        <v>0</v>
      </c>
      <c r="O91" s="121">
        <f t="shared" si="45"/>
        <v>18.420000000000002</v>
      </c>
      <c r="P91" s="121">
        <f t="shared" si="46"/>
        <v>18.420000000000002</v>
      </c>
      <c r="Q91" s="120"/>
      <c r="R91" s="117" t="s">
        <v>280</v>
      </c>
      <c r="S91" s="123" t="s">
        <v>627</v>
      </c>
      <c r="T91" s="124" t="s">
        <v>627</v>
      </c>
    </row>
    <row r="92" spans="1:20">
      <c r="A92" s="152" t="s">
        <v>564</v>
      </c>
      <c r="B92" s="117">
        <v>1</v>
      </c>
      <c r="C92" s="117" t="s">
        <v>313</v>
      </c>
      <c r="D92" s="117" t="s">
        <v>298</v>
      </c>
      <c r="E92" s="118"/>
      <c r="F92" s="118"/>
      <c r="G92" s="118"/>
      <c r="H92" s="119" t="str">
        <f t="shared" si="42"/>
        <v>Neodymium Magnet 6x3 Round - 10 Pack</v>
      </c>
      <c r="I92" s="120" t="s">
        <v>611</v>
      </c>
      <c r="J92" s="117">
        <f t="shared" si="43"/>
        <v>1</v>
      </c>
      <c r="K92" s="121">
        <v>1.69</v>
      </c>
      <c r="L92" s="121">
        <f>J92*K92</f>
        <v>1.69</v>
      </c>
      <c r="M92" s="121">
        <f t="shared" si="47"/>
        <v>4.92</v>
      </c>
      <c r="N92" s="121">
        <v>0</v>
      </c>
      <c r="O92" s="121">
        <f>L92+M92+N92</f>
        <v>6.6099999999999994</v>
      </c>
      <c r="P92" s="121">
        <f t="shared" si="46"/>
        <v>6.6099999999999994</v>
      </c>
      <c r="Q92" s="120"/>
      <c r="R92" s="117" t="s">
        <v>280</v>
      </c>
      <c r="S92" s="123" t="s">
        <v>627</v>
      </c>
      <c r="T92" s="124" t="s">
        <v>627</v>
      </c>
    </row>
    <row r="93" spans="1:20" ht="30">
      <c r="A93" s="152" t="s">
        <v>607</v>
      </c>
      <c r="B93" s="117">
        <v>8</v>
      </c>
      <c r="C93" s="117" t="s">
        <v>313</v>
      </c>
      <c r="D93" s="117" t="s">
        <v>298</v>
      </c>
      <c r="E93" s="118"/>
      <c r="F93" s="118"/>
      <c r="G93" s="118"/>
      <c r="H93" s="119" t="str">
        <f>A93</f>
        <v>M3x12 SHCS; Class 12.9 alloy steel black oxide finish</v>
      </c>
      <c r="I93" s="120" t="s">
        <v>611</v>
      </c>
      <c r="J93" s="117">
        <f t="shared" si="43"/>
        <v>8</v>
      </c>
      <c r="K93" s="153">
        <v>0.12</v>
      </c>
      <c r="L93" s="121">
        <f t="shared" ref="L93:L96" si="48">J93*K93</f>
        <v>0.96</v>
      </c>
      <c r="M93" s="121">
        <f>4.95/4</f>
        <v>1.2375</v>
      </c>
      <c r="N93" s="121">
        <f>0.82/4</f>
        <v>0.20499999999999999</v>
      </c>
      <c r="O93" s="121">
        <f>L93+M93+N93</f>
        <v>2.4024999999999999</v>
      </c>
      <c r="P93" s="121">
        <f>O93</f>
        <v>2.4024999999999999</v>
      </c>
      <c r="Q93" s="120"/>
      <c r="R93" s="117" t="s">
        <v>280</v>
      </c>
      <c r="S93" s="123" t="s">
        <v>612</v>
      </c>
      <c r="T93" s="124" t="s">
        <v>613</v>
      </c>
    </row>
    <row r="94" spans="1:20">
      <c r="A94" s="152" t="s">
        <v>606</v>
      </c>
      <c r="B94" s="117">
        <v>8</v>
      </c>
      <c r="C94" s="117" t="s">
        <v>313</v>
      </c>
      <c r="D94" s="117" t="s">
        <v>298</v>
      </c>
      <c r="E94" s="118"/>
      <c r="F94" s="118"/>
      <c r="G94" s="118"/>
      <c r="H94" s="119" t="str">
        <f t="shared" ref="H94:H96" si="49">A94</f>
        <v>M5x8 SHCS; Class 12.9 alloy steel black oxide finish</v>
      </c>
      <c r="I94" s="120" t="s">
        <v>611</v>
      </c>
      <c r="J94" s="117">
        <f t="shared" si="43"/>
        <v>8</v>
      </c>
      <c r="K94" s="153">
        <v>0.11</v>
      </c>
      <c r="L94" s="121">
        <f t="shared" si="48"/>
        <v>0.88</v>
      </c>
      <c r="M94" s="121">
        <f t="shared" ref="M94:M96" si="50">4.95/4</f>
        <v>1.2375</v>
      </c>
      <c r="N94" s="121">
        <f t="shared" ref="N94:N96" si="51">0.82/4</f>
        <v>0.20499999999999999</v>
      </c>
      <c r="O94" s="121">
        <f>L94+M94+N94</f>
        <v>2.3225000000000002</v>
      </c>
      <c r="P94" s="121">
        <f t="shared" ref="P94:P96" si="52">O94</f>
        <v>2.3225000000000002</v>
      </c>
      <c r="Q94" s="120"/>
      <c r="R94" s="117" t="s">
        <v>280</v>
      </c>
      <c r="S94" s="123" t="s">
        <v>614</v>
      </c>
      <c r="T94" s="124" t="s">
        <v>614</v>
      </c>
    </row>
    <row r="95" spans="1:20">
      <c r="A95" s="152" t="s">
        <v>608</v>
      </c>
      <c r="B95" s="117">
        <v>12</v>
      </c>
      <c r="C95" s="117" t="s">
        <v>313</v>
      </c>
      <c r="D95" s="117" t="s">
        <v>298</v>
      </c>
      <c r="E95" s="118"/>
      <c r="F95" s="118"/>
      <c r="G95" s="118"/>
      <c r="H95" s="119" t="str">
        <f t="shared" si="49"/>
        <v>M3x30 SHCS; Class 12.9 alloy steel black oxide finish</v>
      </c>
      <c r="I95" s="120" t="s">
        <v>611</v>
      </c>
      <c r="J95" s="117">
        <f t="shared" si="43"/>
        <v>12</v>
      </c>
      <c r="K95" s="153">
        <v>0.2</v>
      </c>
      <c r="L95" s="121">
        <f t="shared" si="48"/>
        <v>2.4000000000000004</v>
      </c>
      <c r="M95" s="121">
        <f t="shared" si="50"/>
        <v>1.2375</v>
      </c>
      <c r="N95" s="121">
        <f t="shared" si="51"/>
        <v>0.20499999999999999</v>
      </c>
      <c r="O95" s="121">
        <f>L95+M95+N95</f>
        <v>3.8425000000000002</v>
      </c>
      <c r="P95" s="121">
        <f t="shared" si="52"/>
        <v>3.8425000000000002</v>
      </c>
      <c r="Q95" s="120"/>
      <c r="R95" s="117" t="s">
        <v>280</v>
      </c>
      <c r="S95" s="123" t="s">
        <v>614</v>
      </c>
      <c r="T95" s="124" t="s">
        <v>614</v>
      </c>
    </row>
    <row r="96" spans="1:20" ht="30">
      <c r="A96" s="152" t="s">
        <v>609</v>
      </c>
      <c r="B96" s="117">
        <v>8</v>
      </c>
      <c r="C96" s="117" t="s">
        <v>313</v>
      </c>
      <c r="D96" s="117" t="s">
        <v>383</v>
      </c>
      <c r="E96" s="118"/>
      <c r="F96" s="118"/>
      <c r="G96" s="118"/>
      <c r="H96" s="119" t="str">
        <f t="shared" si="49"/>
        <v>M3x30 SHCS; Stainless steel 18-8 (A-2)</v>
      </c>
      <c r="I96" s="120" t="s">
        <v>610</v>
      </c>
      <c r="J96" s="117">
        <f t="shared" si="43"/>
        <v>8</v>
      </c>
      <c r="K96" s="153">
        <v>0.13</v>
      </c>
      <c r="L96" s="121">
        <f t="shared" si="48"/>
        <v>1.04</v>
      </c>
      <c r="M96" s="121">
        <f t="shared" si="50"/>
        <v>1.2375</v>
      </c>
      <c r="N96" s="121">
        <f t="shared" si="51"/>
        <v>0.20499999999999999</v>
      </c>
      <c r="O96" s="121">
        <f t="shared" si="45"/>
        <v>2.4824999999999999</v>
      </c>
      <c r="P96" s="121">
        <f t="shared" si="52"/>
        <v>2.4824999999999999</v>
      </c>
      <c r="Q96" s="122">
        <f>-1*P96</f>
        <v>-2.4824999999999999</v>
      </c>
      <c r="R96" s="117" t="s">
        <v>280</v>
      </c>
      <c r="S96" s="123" t="s">
        <v>614</v>
      </c>
      <c r="T96" s="124" t="s">
        <v>614</v>
      </c>
    </row>
    <row r="97" spans="1:20" ht="30">
      <c r="A97" s="61" t="s">
        <v>654</v>
      </c>
      <c r="B97" s="63">
        <v>1</v>
      </c>
      <c r="C97" s="63" t="s">
        <v>313</v>
      </c>
      <c r="D97" s="63" t="s">
        <v>298</v>
      </c>
      <c r="E97" s="65"/>
      <c r="F97" s="65"/>
      <c r="G97" s="65"/>
      <c r="H97" s="67" t="str">
        <f>A97</f>
        <v>Clockwise Tools DITR-0105 Digital Dial Indicator Gauge; 0.00005 Inch/0.001mm Resolution</v>
      </c>
      <c r="I97" s="75" t="s">
        <v>655</v>
      </c>
      <c r="J97" s="63">
        <f>B97</f>
        <v>1</v>
      </c>
      <c r="K97" s="64">
        <v>63.84</v>
      </c>
      <c r="L97" s="64">
        <f>J97*K97</f>
        <v>63.84</v>
      </c>
      <c r="M97" s="64">
        <v>0</v>
      </c>
      <c r="N97" s="64">
        <f>5.91/2</f>
        <v>2.9550000000000001</v>
      </c>
      <c r="O97" s="64">
        <f>L97+M97+N97</f>
        <v>66.795000000000002</v>
      </c>
      <c r="P97" s="64">
        <f>O97</f>
        <v>66.795000000000002</v>
      </c>
      <c r="Q97" s="75"/>
      <c r="R97" s="63" t="s">
        <v>280</v>
      </c>
      <c r="S97" s="97" t="s">
        <v>657</v>
      </c>
      <c r="T97" s="98" t="s">
        <v>658</v>
      </c>
    </row>
    <row r="98" spans="1:20">
      <c r="A98" s="61" t="s">
        <v>656</v>
      </c>
      <c r="B98" s="63">
        <v>1</v>
      </c>
      <c r="C98" s="63" t="s">
        <v>313</v>
      </c>
      <c r="D98" s="63" t="s">
        <v>298</v>
      </c>
      <c r="E98" s="65"/>
      <c r="F98" s="65"/>
      <c r="G98" s="65"/>
      <c r="H98" s="67" t="str">
        <f>A98</f>
        <v>TÜRLEN Premium 22 pc Dial/Digital Indicator End Tip Point Set</v>
      </c>
      <c r="I98" s="75" t="s">
        <v>655</v>
      </c>
      <c r="J98" s="63">
        <f>B98</f>
        <v>1</v>
      </c>
      <c r="K98" s="64">
        <v>9.99</v>
      </c>
      <c r="L98" s="64">
        <f>J98*K98</f>
        <v>9.99</v>
      </c>
      <c r="M98" s="64">
        <v>0</v>
      </c>
      <c r="N98" s="64">
        <f>5.91/2</f>
        <v>2.9550000000000001</v>
      </c>
      <c r="O98" s="64">
        <f>L98+M98+N98</f>
        <v>12.945</v>
      </c>
      <c r="P98" s="64">
        <f>O98</f>
        <v>12.945</v>
      </c>
      <c r="Q98" s="75"/>
      <c r="R98" s="63" t="s">
        <v>280</v>
      </c>
      <c r="S98" s="97" t="s">
        <v>659</v>
      </c>
      <c r="T98" s="98" t="s">
        <v>659</v>
      </c>
    </row>
    <row r="99" spans="1:20">
      <c r="A99" s="65"/>
      <c r="B99" s="63"/>
      <c r="C99" s="63"/>
      <c r="D99" s="63"/>
      <c r="E99" s="65"/>
      <c r="F99" s="65"/>
      <c r="G99" s="65"/>
      <c r="H99" s="67"/>
      <c r="I99" s="75"/>
      <c r="J99" s="63">
        <f>B99</f>
        <v>0</v>
      </c>
      <c r="K99" s="64"/>
      <c r="L99" s="64">
        <f>J99*K99</f>
        <v>0</v>
      </c>
      <c r="M99" s="64"/>
      <c r="N99" s="64"/>
      <c r="O99" s="64">
        <f>L99+M99+N99</f>
        <v>0</v>
      </c>
      <c r="P99" s="64"/>
      <c r="Q99" s="75"/>
      <c r="R99" s="63"/>
      <c r="S99" s="97"/>
      <c r="T99" s="98"/>
    </row>
    <row r="100" spans="1:20">
      <c r="A100" s="65"/>
      <c r="B100" s="63"/>
      <c r="C100" s="63"/>
      <c r="D100" s="63"/>
      <c r="E100" s="65"/>
      <c r="F100" s="65"/>
      <c r="G100" s="65"/>
      <c r="H100" s="67"/>
      <c r="I100" s="75"/>
      <c r="J100" s="63">
        <f>B100</f>
        <v>0</v>
      </c>
      <c r="K100" s="64"/>
      <c r="L100" s="64">
        <f>J100*K100</f>
        <v>0</v>
      </c>
      <c r="M100" s="64"/>
      <c r="N100" s="64"/>
      <c r="O100" s="64">
        <f>L100+M100+N100</f>
        <v>0</v>
      </c>
      <c r="P100" s="64"/>
      <c r="Q100" s="75"/>
      <c r="R100" s="63"/>
      <c r="S100" s="97"/>
      <c r="T100" s="98"/>
    </row>
    <row r="101" spans="1:20">
      <c r="A101" s="65"/>
      <c r="B101" s="63"/>
      <c r="C101" s="63"/>
      <c r="D101" s="63"/>
      <c r="E101" s="65"/>
      <c r="F101" s="65"/>
      <c r="G101" s="65"/>
      <c r="H101" s="67"/>
      <c r="I101" s="75"/>
      <c r="J101" s="63">
        <f>B101</f>
        <v>0</v>
      </c>
      <c r="K101" s="64"/>
      <c r="L101" s="64">
        <f>J101*K101</f>
        <v>0</v>
      </c>
      <c r="M101" s="64"/>
      <c r="N101" s="64"/>
      <c r="O101" s="64">
        <f>L101+M101+N101</f>
        <v>0</v>
      </c>
      <c r="P101" s="64"/>
      <c r="Q101" s="75"/>
      <c r="R101" s="63"/>
      <c r="S101" s="97"/>
      <c r="T101" s="98"/>
    </row>
    <row r="102" spans="1:20">
      <c r="A102" s="65"/>
      <c r="B102" s="63"/>
      <c r="C102" s="63"/>
      <c r="D102" s="63"/>
      <c r="E102" s="65"/>
      <c r="F102" s="65"/>
      <c r="G102" s="65"/>
      <c r="H102" s="67"/>
      <c r="I102" s="75"/>
      <c r="J102" s="63">
        <f>B102</f>
        <v>0</v>
      </c>
      <c r="K102" s="64"/>
      <c r="L102" s="64">
        <f>J102*K102</f>
        <v>0</v>
      </c>
      <c r="M102" s="64"/>
      <c r="N102" s="64"/>
      <c r="O102" s="64">
        <f>L102+M102+N102</f>
        <v>0</v>
      </c>
      <c r="P102" s="64"/>
      <c r="Q102" s="75"/>
      <c r="R102" s="63"/>
      <c r="S102" s="97"/>
      <c r="T102" s="98"/>
    </row>
    <row r="103" spans="1:20">
      <c r="A103" s="65"/>
      <c r="B103" s="63"/>
      <c r="C103" s="63"/>
      <c r="D103" s="63"/>
      <c r="E103" s="65"/>
      <c r="F103" s="65"/>
      <c r="G103" s="65"/>
      <c r="H103" s="67"/>
      <c r="I103" s="75"/>
      <c r="J103" s="63">
        <f>B103</f>
        <v>0</v>
      </c>
      <c r="K103" s="64"/>
      <c r="L103" s="64">
        <f>J103*K103</f>
        <v>0</v>
      </c>
      <c r="M103" s="64"/>
      <c r="N103" s="64"/>
      <c r="O103" s="64">
        <f>L103+M103+N103</f>
        <v>0</v>
      </c>
      <c r="P103" s="64"/>
      <c r="Q103" s="75"/>
      <c r="R103" s="63"/>
      <c r="S103" s="97"/>
      <c r="T103" s="98"/>
    </row>
    <row r="104" spans="1:20">
      <c r="A104" s="65"/>
      <c r="B104" s="63"/>
      <c r="C104" s="63"/>
      <c r="D104" s="63"/>
      <c r="E104" s="65"/>
      <c r="F104" s="65"/>
      <c r="G104" s="65"/>
      <c r="H104" s="67"/>
      <c r="I104" s="75"/>
      <c r="J104" s="63">
        <f>B104</f>
        <v>0</v>
      </c>
      <c r="K104" s="64"/>
      <c r="L104" s="64">
        <f>J104*K104</f>
        <v>0</v>
      </c>
      <c r="M104" s="64"/>
      <c r="N104" s="64"/>
      <c r="O104" s="64">
        <f>L104+M104+N104</f>
        <v>0</v>
      </c>
      <c r="P104" s="64"/>
      <c r="Q104" s="75"/>
      <c r="R104" s="63"/>
      <c r="S104" s="97"/>
      <c r="T104" s="98"/>
    </row>
    <row r="105" spans="1:20">
      <c r="A105" s="65"/>
      <c r="B105" s="63"/>
      <c r="C105" s="63"/>
      <c r="D105" s="63"/>
      <c r="E105" s="65"/>
      <c r="F105" s="65"/>
      <c r="G105" s="65"/>
      <c r="H105" s="67"/>
      <c r="I105" s="75"/>
      <c r="J105" s="63">
        <f>B105</f>
        <v>0</v>
      </c>
      <c r="K105" s="64"/>
      <c r="L105" s="64">
        <f>J105*K105</f>
        <v>0</v>
      </c>
      <c r="M105" s="64"/>
      <c r="N105" s="64"/>
      <c r="O105" s="64">
        <f>L105+M105+N105</f>
        <v>0</v>
      </c>
      <c r="P105" s="64"/>
      <c r="Q105" s="75"/>
      <c r="R105" s="63"/>
      <c r="S105" s="97"/>
      <c r="T105" s="98"/>
    </row>
    <row r="106" spans="1:20">
      <c r="A106" s="65"/>
      <c r="B106" s="63"/>
      <c r="C106" s="63"/>
      <c r="D106" s="63"/>
      <c r="E106" s="65"/>
      <c r="F106" s="65"/>
      <c r="G106" s="65"/>
      <c r="H106" s="67"/>
      <c r="I106" s="75"/>
      <c r="J106" s="63">
        <f>B106</f>
        <v>0</v>
      </c>
      <c r="K106" s="64"/>
      <c r="L106" s="64">
        <f>J106*K106</f>
        <v>0</v>
      </c>
      <c r="M106" s="64"/>
      <c r="N106" s="64"/>
      <c r="O106" s="64">
        <f>L106+M106+N106</f>
        <v>0</v>
      </c>
      <c r="P106" s="64"/>
      <c r="Q106" s="75"/>
      <c r="R106" s="63"/>
      <c r="S106" s="97"/>
      <c r="T106" s="98"/>
    </row>
    <row r="107" spans="1:20">
      <c r="A107" s="65"/>
      <c r="B107" s="63"/>
      <c r="C107" s="63"/>
      <c r="D107" s="63"/>
      <c r="E107" s="65"/>
      <c r="F107" s="65"/>
      <c r="G107" s="65"/>
      <c r="H107" s="67"/>
      <c r="I107" s="75"/>
      <c r="J107" s="63">
        <f>B107</f>
        <v>0</v>
      </c>
      <c r="K107" s="64"/>
      <c r="L107" s="64">
        <f>J107*K107</f>
        <v>0</v>
      </c>
      <c r="M107" s="64"/>
      <c r="N107" s="64"/>
      <c r="O107" s="64">
        <f>L107+M107+N107</f>
        <v>0</v>
      </c>
      <c r="P107" s="64"/>
      <c r="Q107" s="75"/>
      <c r="R107" s="63"/>
      <c r="S107" s="97"/>
      <c r="T107" s="98"/>
    </row>
    <row r="108" spans="1:20">
      <c r="A108" s="65"/>
      <c r="B108" s="63"/>
      <c r="C108" s="63"/>
      <c r="D108" s="63"/>
      <c r="E108" s="65"/>
      <c r="F108" s="65"/>
      <c r="G108" s="65"/>
      <c r="H108" s="67"/>
      <c r="I108" s="75"/>
      <c r="J108" s="63">
        <f>B108</f>
        <v>0</v>
      </c>
      <c r="K108" s="64"/>
      <c r="L108" s="64">
        <f>J108*K108</f>
        <v>0</v>
      </c>
      <c r="M108" s="64"/>
      <c r="N108" s="64"/>
      <c r="O108" s="64">
        <f>L108+M108+N108</f>
        <v>0</v>
      </c>
      <c r="P108" s="64"/>
      <c r="Q108" s="75"/>
      <c r="R108" s="63"/>
      <c r="S108" s="97"/>
      <c r="T108" s="98"/>
    </row>
    <row r="109" spans="1:20">
      <c r="A109" s="65"/>
      <c r="B109" s="63"/>
      <c r="C109" s="63"/>
      <c r="D109" s="63"/>
      <c r="E109" s="65"/>
      <c r="F109" s="65"/>
      <c r="G109" s="65"/>
      <c r="H109" s="67"/>
      <c r="I109" s="75"/>
      <c r="J109" s="63">
        <f>B109</f>
        <v>0</v>
      </c>
      <c r="K109" s="64"/>
      <c r="L109" s="64">
        <f>J109*K109</f>
        <v>0</v>
      </c>
      <c r="M109" s="64"/>
      <c r="N109" s="64"/>
      <c r="O109" s="64">
        <f>L109+M109+N109</f>
        <v>0</v>
      </c>
      <c r="P109" s="64"/>
      <c r="Q109" s="75"/>
      <c r="R109" s="63"/>
      <c r="S109" s="97"/>
      <c r="T109" s="98"/>
    </row>
    <row r="110" spans="1:20">
      <c r="A110" s="65"/>
      <c r="B110" s="63"/>
      <c r="C110" s="63"/>
      <c r="D110" s="63"/>
      <c r="E110" s="65"/>
      <c r="F110" s="65"/>
      <c r="G110" s="65"/>
      <c r="H110" s="67"/>
      <c r="I110" s="75"/>
      <c r="J110" s="63">
        <f>B110</f>
        <v>0</v>
      </c>
      <c r="K110" s="64"/>
      <c r="L110" s="64">
        <f>J110*K110</f>
        <v>0</v>
      </c>
      <c r="M110" s="64"/>
      <c r="N110" s="64"/>
      <c r="O110" s="64">
        <f>L110+M110+N110</f>
        <v>0</v>
      </c>
      <c r="P110" s="64"/>
      <c r="Q110" s="75"/>
      <c r="R110" s="63"/>
      <c r="S110" s="97"/>
      <c r="T110" s="98"/>
    </row>
    <row r="111" spans="1:20">
      <c r="A111" s="65"/>
      <c r="B111" s="63"/>
      <c r="C111" s="63"/>
      <c r="D111" s="63"/>
      <c r="E111" s="65"/>
      <c r="F111" s="65"/>
      <c r="G111" s="65"/>
      <c r="H111" s="67"/>
      <c r="I111" s="75"/>
      <c r="J111" s="63">
        <f t="shared" si="43"/>
        <v>0</v>
      </c>
      <c r="K111" s="64"/>
      <c r="L111" s="64">
        <f t="shared" si="44"/>
        <v>0</v>
      </c>
      <c r="M111" s="64"/>
      <c r="N111" s="64"/>
      <c r="O111" s="64">
        <f t="shared" si="45"/>
        <v>0</v>
      </c>
      <c r="P111" s="64"/>
      <c r="Q111" s="75"/>
      <c r="R111" s="63"/>
      <c r="S111" s="97"/>
      <c r="T111" s="98"/>
    </row>
    <row r="112" spans="1:20">
      <c r="A112" s="65"/>
      <c r="B112" s="63"/>
      <c r="C112" s="63"/>
      <c r="D112" s="63"/>
      <c r="E112" s="65"/>
      <c r="F112" s="65"/>
      <c r="G112" s="65"/>
      <c r="H112" s="67"/>
      <c r="I112" s="75"/>
      <c r="J112" s="63">
        <f t="shared" si="43"/>
        <v>0</v>
      </c>
      <c r="K112" s="64"/>
      <c r="L112" s="64">
        <f t="shared" si="44"/>
        <v>0</v>
      </c>
      <c r="M112" s="64"/>
      <c r="N112" s="64"/>
      <c r="O112" s="64">
        <f t="shared" si="45"/>
        <v>0</v>
      </c>
      <c r="P112" s="64"/>
      <c r="Q112" s="75"/>
      <c r="R112" s="63"/>
      <c r="S112" s="97"/>
      <c r="T112" s="98"/>
    </row>
    <row r="113" spans="1:20">
      <c r="A113" s="65"/>
      <c r="B113" s="63"/>
      <c r="C113" s="63"/>
      <c r="D113" s="63"/>
      <c r="E113" s="65"/>
      <c r="F113" s="65"/>
      <c r="G113" s="65"/>
      <c r="H113" s="67"/>
      <c r="I113" s="75"/>
      <c r="J113" s="63">
        <f t="shared" si="43"/>
        <v>0</v>
      </c>
      <c r="K113" s="64"/>
      <c r="L113" s="64">
        <f t="shared" si="44"/>
        <v>0</v>
      </c>
      <c r="M113" s="64"/>
      <c r="N113" s="64"/>
      <c r="O113" s="64">
        <f t="shared" si="45"/>
        <v>0</v>
      </c>
      <c r="P113" s="64"/>
      <c r="Q113" s="75"/>
      <c r="R113" s="63"/>
      <c r="S113" s="97"/>
      <c r="T113" s="98"/>
    </row>
    <row r="114" spans="1:20">
      <c r="A114" s="65"/>
      <c r="B114" s="63"/>
      <c r="C114" s="63"/>
      <c r="D114" s="63"/>
      <c r="E114" s="65"/>
      <c r="F114" s="65"/>
      <c r="G114" s="65"/>
      <c r="H114" s="67"/>
      <c r="I114" s="75"/>
      <c r="J114" s="63">
        <f t="shared" si="43"/>
        <v>0</v>
      </c>
      <c r="K114" s="64"/>
      <c r="L114" s="64">
        <f t="shared" si="44"/>
        <v>0</v>
      </c>
      <c r="M114" s="64"/>
      <c r="N114" s="64"/>
      <c r="O114" s="64">
        <f t="shared" si="45"/>
        <v>0</v>
      </c>
      <c r="P114" s="64"/>
      <c r="Q114" s="75"/>
      <c r="R114" s="63"/>
      <c r="S114" s="97"/>
      <c r="T114" s="98"/>
    </row>
    <row r="115" spans="1:20">
      <c r="A115" s="65"/>
      <c r="B115" s="63"/>
      <c r="C115" s="63"/>
      <c r="D115" s="63"/>
      <c r="E115" s="65"/>
      <c r="F115" s="65"/>
      <c r="G115" s="65"/>
      <c r="H115" s="67"/>
      <c r="I115" s="75"/>
      <c r="J115" s="63">
        <f t="shared" si="43"/>
        <v>0</v>
      </c>
      <c r="K115" s="64"/>
      <c r="L115" s="64">
        <f t="shared" si="44"/>
        <v>0</v>
      </c>
      <c r="M115" s="64"/>
      <c r="N115" s="64"/>
      <c r="O115" s="64">
        <f t="shared" si="45"/>
        <v>0</v>
      </c>
      <c r="P115" s="64"/>
      <c r="Q115" s="75"/>
      <c r="R115" s="63"/>
      <c r="S115" s="97"/>
      <c r="T115" s="98"/>
    </row>
    <row r="116" spans="1:20">
      <c r="A116" s="65"/>
      <c r="B116" s="63"/>
      <c r="C116" s="63"/>
      <c r="D116" s="63"/>
      <c r="E116" s="65"/>
      <c r="F116" s="65"/>
      <c r="G116" s="65"/>
      <c r="H116" s="67"/>
      <c r="I116" s="75"/>
      <c r="J116" s="63">
        <f t="shared" si="31"/>
        <v>0</v>
      </c>
      <c r="K116" s="64"/>
      <c r="L116" s="64">
        <f t="shared" si="32"/>
        <v>0</v>
      </c>
      <c r="M116" s="64"/>
      <c r="N116" s="64"/>
      <c r="O116" s="64">
        <f t="shared" si="33"/>
        <v>0</v>
      </c>
      <c r="P116" s="64"/>
      <c r="Q116" s="75"/>
      <c r="R116" s="63"/>
      <c r="S116" s="97"/>
      <c r="T116" s="98"/>
    </row>
    <row r="117" spans="1:20">
      <c r="A117" s="65"/>
      <c r="B117" s="63"/>
      <c r="C117" s="63"/>
      <c r="D117" s="63"/>
      <c r="E117" s="65"/>
      <c r="F117" s="65"/>
      <c r="G117" s="65"/>
      <c r="H117" s="67"/>
      <c r="I117" s="75"/>
      <c r="J117" s="63">
        <f t="shared" si="31"/>
        <v>0</v>
      </c>
      <c r="K117" s="64"/>
      <c r="L117" s="64">
        <f t="shared" si="32"/>
        <v>0</v>
      </c>
      <c r="M117" s="64"/>
      <c r="N117" s="64"/>
      <c r="O117" s="64">
        <f t="shared" si="33"/>
        <v>0</v>
      </c>
      <c r="P117" s="64"/>
      <c r="Q117" s="75"/>
      <c r="R117" s="63"/>
      <c r="S117" s="97"/>
      <c r="T117" s="98"/>
    </row>
    <row r="118" spans="1:20">
      <c r="A118" s="65"/>
      <c r="B118" s="63"/>
      <c r="C118" s="63"/>
      <c r="D118" s="63"/>
      <c r="E118" s="65"/>
      <c r="F118" s="65"/>
      <c r="G118" s="65"/>
      <c r="H118" s="67"/>
      <c r="I118" s="75"/>
      <c r="J118" s="63">
        <f t="shared" si="31"/>
        <v>0</v>
      </c>
      <c r="K118" s="64"/>
      <c r="L118" s="64">
        <f t="shared" si="32"/>
        <v>0</v>
      </c>
      <c r="M118" s="64"/>
      <c r="N118" s="64"/>
      <c r="O118" s="64">
        <f t="shared" si="33"/>
        <v>0</v>
      </c>
      <c r="P118" s="64"/>
      <c r="Q118" s="75"/>
      <c r="R118" s="63"/>
      <c r="S118" s="97"/>
      <c r="T118" s="98"/>
    </row>
    <row r="119" spans="1:20">
      <c r="A119" s="65"/>
      <c r="B119" s="63"/>
      <c r="C119" s="63"/>
      <c r="D119" s="63"/>
      <c r="E119" s="65"/>
      <c r="F119" s="65"/>
      <c r="G119" s="65"/>
      <c r="H119" s="67"/>
      <c r="I119" s="75"/>
      <c r="J119" s="63">
        <f t="shared" si="27"/>
        <v>0</v>
      </c>
      <c r="K119" s="64"/>
      <c r="L119" s="64">
        <f t="shared" si="28"/>
        <v>0</v>
      </c>
      <c r="M119" s="64"/>
      <c r="N119" s="64"/>
      <c r="O119" s="64">
        <f t="shared" si="29"/>
        <v>0</v>
      </c>
      <c r="P119" s="64"/>
      <c r="Q119" s="75"/>
      <c r="R119" s="63"/>
      <c r="S119" s="97"/>
      <c r="T119" s="98"/>
    </row>
    <row r="120" spans="1:20">
      <c r="A120" s="65"/>
      <c r="B120" s="63"/>
      <c r="C120" s="63"/>
      <c r="D120" s="63"/>
      <c r="E120" s="65"/>
      <c r="F120" s="65"/>
      <c r="G120" s="65"/>
      <c r="H120" s="67"/>
      <c r="I120" s="75"/>
      <c r="J120" s="63">
        <f t="shared" si="27"/>
        <v>0</v>
      </c>
      <c r="K120" s="64"/>
      <c r="L120" s="64">
        <f t="shared" si="28"/>
        <v>0</v>
      </c>
      <c r="M120" s="64"/>
      <c r="N120" s="64"/>
      <c r="O120" s="64">
        <f t="shared" si="29"/>
        <v>0</v>
      </c>
      <c r="P120" s="64"/>
      <c r="Q120" s="75"/>
      <c r="R120" s="63"/>
      <c r="S120" s="97"/>
      <c r="T120" s="98"/>
    </row>
    <row r="121" spans="1:20">
      <c r="A121" s="65"/>
      <c r="B121" s="63"/>
      <c r="C121" s="63"/>
      <c r="D121" s="63"/>
      <c r="E121" s="65"/>
      <c r="F121" s="65"/>
      <c r="G121" s="65"/>
      <c r="H121" s="67"/>
      <c r="I121" s="75"/>
      <c r="J121" s="63">
        <f t="shared" si="27"/>
        <v>0</v>
      </c>
      <c r="K121" s="64"/>
      <c r="L121" s="64">
        <f t="shared" si="28"/>
        <v>0</v>
      </c>
      <c r="M121" s="64"/>
      <c r="N121" s="64"/>
      <c r="O121" s="64">
        <f t="shared" si="29"/>
        <v>0</v>
      </c>
      <c r="P121" s="64"/>
      <c r="Q121" s="75"/>
      <c r="R121" s="63"/>
      <c r="S121" s="97"/>
      <c r="T121" s="98"/>
    </row>
    <row r="122" spans="1:20">
      <c r="A122" s="65"/>
      <c r="B122" s="63"/>
      <c r="C122" s="63"/>
      <c r="D122" s="63"/>
      <c r="E122" s="65"/>
      <c r="F122" s="65"/>
      <c r="G122" s="65"/>
      <c r="H122" s="67"/>
      <c r="I122" s="75"/>
      <c r="J122" s="63">
        <f t="shared" si="27"/>
        <v>0</v>
      </c>
      <c r="K122" s="64"/>
      <c r="L122" s="64">
        <f t="shared" si="28"/>
        <v>0</v>
      </c>
      <c r="M122" s="64"/>
      <c r="N122" s="64"/>
      <c r="O122" s="64">
        <f t="shared" si="29"/>
        <v>0</v>
      </c>
      <c r="P122" s="64"/>
      <c r="Q122" s="75"/>
      <c r="R122" s="63"/>
      <c r="S122" s="97"/>
      <c r="T122" s="98"/>
    </row>
    <row r="123" spans="1:20">
      <c r="A123" s="65"/>
      <c r="B123" s="63"/>
      <c r="C123" s="63"/>
      <c r="D123" s="63"/>
      <c r="E123" s="65"/>
      <c r="F123" s="65"/>
      <c r="G123" s="65"/>
      <c r="H123" s="67"/>
      <c r="I123" s="75"/>
      <c r="J123" s="63">
        <f t="shared" si="27"/>
        <v>0</v>
      </c>
      <c r="K123" s="64"/>
      <c r="L123" s="64">
        <f t="shared" si="28"/>
        <v>0</v>
      </c>
      <c r="M123" s="64"/>
      <c r="N123" s="64"/>
      <c r="O123" s="64">
        <f t="shared" si="29"/>
        <v>0</v>
      </c>
      <c r="P123" s="64"/>
      <c r="Q123" s="75"/>
      <c r="R123" s="63"/>
      <c r="S123" s="97"/>
      <c r="T123" s="98"/>
    </row>
    <row r="124" spans="1:20">
      <c r="A124" s="65"/>
      <c r="B124" s="63"/>
      <c r="C124" s="63"/>
      <c r="D124" s="63"/>
      <c r="E124" s="65"/>
      <c r="F124" s="65"/>
      <c r="G124" s="65"/>
      <c r="H124" s="67"/>
      <c r="I124" s="75"/>
      <c r="J124" s="63">
        <f t="shared" si="24"/>
        <v>0</v>
      </c>
      <c r="K124" s="64"/>
      <c r="L124" s="64">
        <f t="shared" si="25"/>
        <v>0</v>
      </c>
      <c r="M124" s="64"/>
      <c r="N124" s="64"/>
      <c r="O124" s="64">
        <f t="shared" si="26"/>
        <v>0</v>
      </c>
      <c r="P124" s="64"/>
      <c r="Q124" s="75"/>
      <c r="R124" s="63"/>
      <c r="S124" s="97"/>
      <c r="T124" s="98"/>
    </row>
    <row r="125" spans="1:20">
      <c r="A125" s="65"/>
      <c r="B125" s="63"/>
      <c r="C125" s="63"/>
      <c r="D125" s="63"/>
      <c r="E125" s="65"/>
      <c r="F125" s="65"/>
      <c r="G125" s="65"/>
      <c r="H125" s="67"/>
      <c r="I125" s="75"/>
      <c r="J125" s="63">
        <f t="shared" si="24"/>
        <v>0</v>
      </c>
      <c r="K125" s="64"/>
      <c r="L125" s="64">
        <f t="shared" si="25"/>
        <v>0</v>
      </c>
      <c r="M125" s="64"/>
      <c r="N125" s="64"/>
      <c r="O125" s="64">
        <f t="shared" si="26"/>
        <v>0</v>
      </c>
      <c r="P125" s="64"/>
      <c r="Q125" s="75"/>
      <c r="R125" s="63"/>
      <c r="S125" s="97"/>
      <c r="T125" s="98"/>
    </row>
    <row r="126" spans="1:20">
      <c r="A126" s="65"/>
      <c r="B126" s="63"/>
      <c r="C126" s="63"/>
      <c r="D126" s="63"/>
      <c r="E126" s="65"/>
      <c r="F126" s="65"/>
      <c r="G126" s="65"/>
      <c r="H126" s="67"/>
      <c r="I126" s="75"/>
      <c r="J126" s="63">
        <f t="shared" si="24"/>
        <v>0</v>
      </c>
      <c r="K126" s="64"/>
      <c r="L126" s="64">
        <f t="shared" si="25"/>
        <v>0</v>
      </c>
      <c r="M126" s="64"/>
      <c r="N126" s="64"/>
      <c r="O126" s="64">
        <f t="shared" si="26"/>
        <v>0</v>
      </c>
      <c r="P126" s="64"/>
      <c r="Q126" s="75"/>
      <c r="R126" s="63"/>
      <c r="S126" s="97"/>
      <c r="T126" s="98"/>
    </row>
    <row r="127" spans="1:20">
      <c r="A127" s="65"/>
      <c r="B127" s="63"/>
      <c r="C127" s="63"/>
      <c r="D127" s="63"/>
      <c r="E127" s="65"/>
      <c r="F127" s="65"/>
      <c r="G127" s="65"/>
      <c r="H127" s="67"/>
      <c r="I127" s="75"/>
      <c r="J127" s="63">
        <f t="shared" si="20"/>
        <v>0</v>
      </c>
      <c r="K127" s="64"/>
      <c r="L127" s="64">
        <f t="shared" si="18"/>
        <v>0</v>
      </c>
      <c r="M127" s="64"/>
      <c r="N127" s="64"/>
      <c r="O127" s="64">
        <f t="shared" si="22"/>
        <v>0</v>
      </c>
      <c r="P127" s="64"/>
      <c r="Q127" s="75"/>
      <c r="R127" s="63"/>
      <c r="S127" s="97"/>
      <c r="T127" s="98"/>
    </row>
    <row r="128" spans="1:20">
      <c r="A128" s="65"/>
      <c r="B128" s="63"/>
      <c r="C128" s="63"/>
      <c r="D128" s="63"/>
      <c r="E128" s="65"/>
      <c r="F128" s="65"/>
      <c r="G128" s="65"/>
      <c r="H128" s="67"/>
      <c r="I128" s="75"/>
      <c r="J128" s="63">
        <f t="shared" si="20"/>
        <v>0</v>
      </c>
      <c r="K128" s="64"/>
      <c r="L128" s="64">
        <f t="shared" si="18"/>
        <v>0</v>
      </c>
      <c r="M128" s="64"/>
      <c r="N128" s="64"/>
      <c r="O128" s="64">
        <f t="shared" si="22"/>
        <v>0</v>
      </c>
      <c r="P128" s="64"/>
      <c r="Q128" s="75"/>
      <c r="R128" s="63"/>
      <c r="S128" s="97"/>
      <c r="T128" s="98"/>
    </row>
    <row r="129" spans="1:20">
      <c r="A129" s="65"/>
      <c r="B129" s="63"/>
      <c r="C129" s="63"/>
      <c r="D129" s="63"/>
      <c r="E129" s="65"/>
      <c r="F129" s="65"/>
      <c r="G129" s="65"/>
      <c r="H129" s="67"/>
      <c r="I129" s="75"/>
      <c r="J129" s="63">
        <f t="shared" si="20"/>
        <v>0</v>
      </c>
      <c r="K129" s="64"/>
      <c r="L129" s="64">
        <f t="shared" si="18"/>
        <v>0</v>
      </c>
      <c r="M129" s="64"/>
      <c r="N129" s="64"/>
      <c r="O129" s="64">
        <f t="shared" si="22"/>
        <v>0</v>
      </c>
      <c r="P129" s="64"/>
      <c r="Q129" s="75"/>
      <c r="R129" s="63"/>
      <c r="S129" s="97"/>
      <c r="T129" s="98"/>
    </row>
    <row r="130" spans="1:20" ht="17" thickBot="1">
      <c r="A130" s="65"/>
      <c r="B130" s="63"/>
      <c r="C130" s="63"/>
      <c r="D130" s="63"/>
      <c r="E130" s="65"/>
      <c r="F130" s="65"/>
      <c r="G130" s="65"/>
      <c r="H130" s="67"/>
      <c r="I130" s="75"/>
      <c r="J130" s="63"/>
      <c r="K130" s="64"/>
      <c r="L130" s="64"/>
      <c r="M130" s="64"/>
      <c r="N130" s="64"/>
      <c r="O130" s="64"/>
      <c r="P130" s="64"/>
      <c r="Q130" s="62"/>
      <c r="S130" s="65"/>
      <c r="T130" s="65"/>
    </row>
    <row r="131" spans="1:20" ht="18" thickTop="1">
      <c r="A131" s="65"/>
      <c r="B131" s="63"/>
      <c r="C131" s="63"/>
      <c r="D131" s="63"/>
      <c r="E131" s="65"/>
      <c r="F131" s="65"/>
      <c r="G131" s="80"/>
      <c r="H131" s="76"/>
      <c r="I131" s="125" t="s">
        <v>423</v>
      </c>
      <c r="J131" s="77"/>
      <c r="K131" s="76"/>
      <c r="L131" s="76">
        <f>SUM(L3:L129)</f>
        <v>2959.3299999999986</v>
      </c>
      <c r="M131" s="76">
        <f>SUM(M3:M129)</f>
        <v>227.22000000000006</v>
      </c>
      <c r="N131" s="76">
        <f>SUM(N3:N129)</f>
        <v>8.0300000000000011</v>
      </c>
      <c r="O131" s="76">
        <f>SUM(O3:O129)</f>
        <v>3194.5799999999977</v>
      </c>
      <c r="P131" s="76">
        <f>SUM(P3:P129)</f>
        <v>3093.7099999999991</v>
      </c>
      <c r="Q131" s="76">
        <f>SUM(Q3:Q129)</f>
        <v>-365.57416666666666</v>
      </c>
      <c r="R131" s="81"/>
    </row>
    <row r="132" spans="1:20">
      <c r="A132" s="65"/>
      <c r="B132" s="63"/>
      <c r="C132" s="63"/>
      <c r="D132" s="63"/>
      <c r="E132" s="65"/>
      <c r="F132" s="65"/>
      <c r="G132" s="65"/>
      <c r="H132" s="67"/>
      <c r="I132" s="75"/>
      <c r="J132" s="63"/>
      <c r="K132" s="64"/>
      <c r="L132" s="64"/>
      <c r="M132" s="64"/>
      <c r="N132" s="64"/>
      <c r="O132" s="64"/>
      <c r="P132" s="64"/>
      <c r="Q132" s="65" t="s">
        <v>430</v>
      </c>
      <c r="R132" s="64">
        <f>O131-P131+Q131</f>
        <v>-264.70416666666813</v>
      </c>
    </row>
    <row r="133" spans="1:20">
      <c r="A133" s="65"/>
      <c r="B133" s="63"/>
      <c r="C133" s="63"/>
      <c r="D133" s="63"/>
      <c r="E133" s="65"/>
      <c r="F133" s="65"/>
      <c r="G133" s="65"/>
      <c r="H133" s="67"/>
      <c r="I133" s="75"/>
      <c r="J133" s="63"/>
      <c r="K133" s="64"/>
      <c r="L133" s="64"/>
      <c r="M133" s="64"/>
      <c r="N133" s="64"/>
      <c r="O133" s="64"/>
      <c r="P133" s="64"/>
      <c r="Q133" s="65" t="s">
        <v>427</v>
      </c>
      <c r="R133" s="64">
        <f>P131</f>
        <v>3093.7099999999991</v>
      </c>
    </row>
    <row r="134" spans="1:20">
      <c r="A134" s="65"/>
      <c r="B134" s="63"/>
      <c r="C134" s="63"/>
      <c r="D134" s="63"/>
      <c r="E134" s="65"/>
      <c r="F134" s="65"/>
      <c r="G134" s="65"/>
      <c r="H134" s="67"/>
      <c r="I134" s="75"/>
      <c r="J134" s="63"/>
      <c r="K134" s="64"/>
      <c r="L134" s="64"/>
      <c r="M134" s="64"/>
      <c r="N134" s="64"/>
      <c r="O134" s="64"/>
      <c r="P134" s="64"/>
      <c r="Q134" s="65" t="s">
        <v>428</v>
      </c>
      <c r="R134" s="64">
        <f>SUM(Q3:Q129)*-1</f>
        <v>365.57416666666666</v>
      </c>
    </row>
    <row r="135" spans="1:20">
      <c r="A135" s="65"/>
      <c r="B135" s="63"/>
      <c r="C135" s="63"/>
      <c r="D135" s="63"/>
      <c r="E135" s="65"/>
      <c r="F135" s="65"/>
      <c r="G135" s="65"/>
      <c r="H135" s="67"/>
      <c r="I135" s="62"/>
      <c r="J135" s="63"/>
      <c r="K135" s="64"/>
      <c r="L135" s="64"/>
      <c r="M135" s="64"/>
      <c r="N135" s="64"/>
      <c r="O135" s="64"/>
      <c r="P135" s="64"/>
      <c r="Q135" s="87" t="s">
        <v>443</v>
      </c>
      <c r="R135" s="88">
        <v>146.82</v>
      </c>
    </row>
    <row r="136" spans="1:20">
      <c r="A136" s="65"/>
      <c r="B136" s="63"/>
      <c r="C136" s="63"/>
      <c r="D136" s="63"/>
      <c r="E136" s="65"/>
      <c r="F136" s="65"/>
      <c r="G136" s="65"/>
      <c r="H136" s="67"/>
      <c r="I136" s="62"/>
      <c r="J136" s="63"/>
      <c r="K136" s="64"/>
      <c r="L136" s="64"/>
      <c r="M136" s="64"/>
      <c r="N136" s="64"/>
      <c r="O136" s="64"/>
      <c r="P136" s="64"/>
      <c r="Q136" s="87" t="s">
        <v>444</v>
      </c>
      <c r="R136" s="88">
        <v>71.98</v>
      </c>
    </row>
    <row r="137" spans="1:20">
      <c r="A137" s="65"/>
      <c r="B137" s="63"/>
      <c r="C137" s="63"/>
      <c r="D137" s="63"/>
      <c r="E137" s="65"/>
      <c r="F137" s="65"/>
      <c r="G137" s="65"/>
      <c r="H137" s="67"/>
      <c r="I137" s="62"/>
      <c r="J137" s="63"/>
      <c r="K137" s="64"/>
      <c r="L137" s="64"/>
      <c r="M137" s="64"/>
      <c r="N137" s="64"/>
      <c r="O137" s="64"/>
      <c r="P137" s="64"/>
      <c r="Q137" s="65" t="s">
        <v>445</v>
      </c>
      <c r="R137" s="64">
        <f>530.9+136.98+543.42+131.12+35.27+22.95+182.63+89.99+11.05+581.28+17.48+45.95+35.83+14.98+148.13+134.12+130.1</f>
        <v>2792.18</v>
      </c>
    </row>
    <row r="138" spans="1:20">
      <c r="A138" s="65"/>
      <c r="B138" s="63"/>
      <c r="C138" s="63"/>
      <c r="D138" s="63"/>
      <c r="E138" s="65"/>
      <c r="F138" s="65"/>
      <c r="G138" s="65"/>
      <c r="H138" s="67"/>
      <c r="I138" s="62"/>
      <c r="J138" s="63"/>
      <c r="K138" s="64"/>
      <c r="L138" s="64"/>
      <c r="M138" s="64"/>
      <c r="N138" s="64"/>
      <c r="O138" s="64"/>
      <c r="P138" s="64"/>
      <c r="Q138" s="65"/>
      <c r="R138" s="64"/>
    </row>
    <row r="139" spans="1:20">
      <c r="H139" s="67"/>
      <c r="Q139" s="57"/>
      <c r="R139" s="64"/>
    </row>
    <row r="140" spans="1:20">
      <c r="H140" s="67"/>
      <c r="Q140" s="57"/>
      <c r="R140" s="64"/>
    </row>
    <row r="141" spans="1:20">
      <c r="H141" s="67"/>
      <c r="Q141" s="57"/>
      <c r="R141" s="64"/>
    </row>
    <row r="142" spans="1:20">
      <c r="Q142" s="57"/>
      <c r="R142" s="64"/>
    </row>
    <row r="143" spans="1:20">
      <c r="Q143" s="57"/>
      <c r="R143" s="64"/>
    </row>
    <row r="144" spans="1:20">
      <c r="Q144" s="57"/>
      <c r="R144" s="64"/>
    </row>
    <row r="145" spans="17:18">
      <c r="Q145" s="57"/>
      <c r="R145" s="64"/>
    </row>
    <row r="146" spans="17:18">
      <c r="Q146" s="57"/>
      <c r="R146" s="64"/>
    </row>
    <row r="147" spans="17:18">
      <c r="Q147" s="57"/>
      <c r="R147" s="64"/>
    </row>
    <row r="148" spans="17:18">
      <c r="R148" s="64"/>
    </row>
  </sheetData>
  <mergeCells count="1">
    <mergeCell ref="A1:T1"/>
  </mergeCells>
  <dataValidations disablePrompts="1" count="1">
    <dataValidation type="list" allowBlank="1" showInputMessage="1" showErrorMessage="1" sqref="R3:R129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5" r:id="rId84" xr:uid="{894BE992-E4D0-744B-AC7C-5D0BFB533815}"/>
    <hyperlink ref="A64" r:id="rId85" xr:uid="{B121025F-B9D8-6541-8E45-BFBF6B9EBFE7}"/>
    <hyperlink ref="A63" r:id="rId86" xr:uid="{81390D92-870E-C84A-8855-EC0AFE3EF261}"/>
    <hyperlink ref="A66" r:id="rId87" xr:uid="{5DB840B2-46B9-BA48-A980-11B64496C83D}"/>
    <hyperlink ref="A67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68" r:id="rId93" xr:uid="{85B2FF62-2608-CB48-BB1D-A10E8DC456BE}"/>
    <hyperlink ref="A69" r:id="rId94" xr:uid="{74A5D6C7-F7CE-964A-91E1-00B79BAFEB5B}"/>
    <hyperlink ref="A70" r:id="rId95" xr:uid="{D4E64753-7DF1-BC46-9783-EE4EA90305B4}"/>
    <hyperlink ref="E61" r:id="rId96" xr:uid="{A782B948-F32A-DF45-85B9-9862EE145443}"/>
    <hyperlink ref="A71" r:id="rId97" xr:uid="{E39F14A3-4AE1-FE41-AADE-2275E109D5E7}"/>
    <hyperlink ref="A72" r:id="rId98" xr:uid="{B31ACB39-14B2-F342-BF62-356704801E5C}"/>
    <hyperlink ref="A73" r:id="rId99" xr:uid="{E0DFEB3E-1B65-104C-895C-63E7833C538C}"/>
    <hyperlink ref="A74" r:id="rId100" xr:uid="{D4CC3802-04BE-B14C-8DCE-3AB15733D983}"/>
    <hyperlink ref="A75" r:id="rId101" xr:uid="{86DAA688-EE23-6A4A-A517-12DB5FD32832}"/>
    <hyperlink ref="A76" r:id="rId102" xr:uid="{A6FC9FB5-F7AB-7E42-9201-841F5EB0F339}"/>
    <hyperlink ref="A86" r:id="rId103" xr:uid="{B202E3DB-830A-9842-B8BE-60AE407C9CF5}"/>
    <hyperlink ref="A87" r:id="rId104" xr:uid="{FF2F95B1-9208-2E49-AC68-2C515FAAC5A6}"/>
    <hyperlink ref="A79" r:id="rId105" xr:uid="{4A4ED3AA-8D87-AC4C-ADF9-C62C98509344}"/>
    <hyperlink ref="A80" r:id="rId106" xr:uid="{86827A56-C08F-F149-AE5D-2A99BCF46739}"/>
    <hyperlink ref="A81" r:id="rId107" xr:uid="{B66DC76F-B3E8-AA4B-8C7C-D488169E59A6}"/>
    <hyperlink ref="A93" r:id="rId108" display="M3x12; Class 12.9 alloy steel black oxide finish" xr:uid="{C6C236BE-6147-5C46-9779-E67B15B2436F}"/>
    <hyperlink ref="A95" r:id="rId109" xr:uid="{8E702139-CDB2-1D47-82AE-DC48D42F76C9}"/>
    <hyperlink ref="A94" r:id="rId110" xr:uid="{02A48F8B-121C-3041-8978-92C074E34614}"/>
    <hyperlink ref="A96" r:id="rId111" xr:uid="{95B9BD04-11C6-3F41-9C2C-422882941AD1}"/>
    <hyperlink ref="A88" r:id="rId112" display="LBY 100pcs Binding Screw kit,M5 x 10/20/30/40/50mm; Nickel Plated (Black)" xr:uid="{C6C0C6A2-3C65-9B4D-97C2-9B8EC2335002}"/>
    <hyperlink ref="A89" r:id="rId113" xr:uid="{DEFE7E5B-4A16-4449-872F-545BBF5C42CB}"/>
    <hyperlink ref="E54" r:id="rId114" xr:uid="{987CD14A-8779-0D41-8911-CA09393372AD}"/>
    <hyperlink ref="A92" r:id="rId115" xr:uid="{9070E90A-5085-284B-8696-5BB7B3503AFA}"/>
    <hyperlink ref="A91" r:id="rId116" xr:uid="{C241A602-940E-C545-BBDF-F91B4A0ACD76}"/>
    <hyperlink ref="A90" r:id="rId117" xr:uid="{EA8BD24D-2EF5-2C49-8621-AA212E41A1A2}"/>
    <hyperlink ref="F42" r:id="rId118" xr:uid="{E946E855-ED01-C742-A20D-67542909A11B}"/>
    <hyperlink ref="E66" r:id="rId119" xr:uid="{C3BCA868-CC90-474F-9E85-BDDAF5AE4BD2}"/>
    <hyperlink ref="G29" r:id="rId120" xr:uid="{404B2434-E410-1A45-B95C-6F453F70FDA6}"/>
    <hyperlink ref="A82" r:id="rId121" xr:uid="{5AE46B62-4A57-6B49-94F8-F4D2A88BCBD5}"/>
    <hyperlink ref="A83" r:id="rId122" xr:uid="{8D9DEDFD-DDB6-B343-8957-FC1D5F91B7B8}"/>
    <hyperlink ref="A84" r:id="rId123" xr:uid="{4FD8E1FD-54A0-174E-9B21-42A46B3397FB}"/>
    <hyperlink ref="A85" r:id="rId124" xr:uid="{F56E788D-C6A9-B649-9AB7-7E76F82CF976}"/>
    <hyperlink ref="A97" r:id="rId125" xr:uid="{8587D93C-CC3D-5145-B889-402E59B34174}"/>
    <hyperlink ref="A98" r:id="rId126" xr:uid="{068EE0AD-578C-D647-8898-1D3A11DBF731}"/>
  </hyperlinks>
  <pageMargins left="0.7" right="0.7" top="0.75" bottom="0.75" header="0.3" footer="0.3"/>
  <legacyDrawing r:id="rId12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48" t="s">
        <v>147</v>
      </c>
      <c r="B1" s="148"/>
      <c r="C1" s="148"/>
      <c r="D1" s="148"/>
      <c r="E1" s="148"/>
      <c r="F1" s="148"/>
      <c r="G1" s="148"/>
      <c r="H1" s="148"/>
      <c r="I1" s="148"/>
      <c r="J1" s="148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0291-564B-8843-B6FE-FDAF8C16BEF0}">
  <dimension ref="A1:I63"/>
  <sheetViews>
    <sheetView workbookViewId="0">
      <selection activeCell="I61" sqref="I61:I63"/>
    </sheetView>
  </sheetViews>
  <sheetFormatPr baseColWidth="10" defaultRowHeight="16"/>
  <cols>
    <col min="1" max="1" width="45.33203125" customWidth="1"/>
    <col min="2" max="2" width="10.83203125" style="1"/>
    <col min="3" max="3" width="11.5" style="2" bestFit="1" customWidth="1"/>
    <col min="4" max="4" width="11.5" style="2" customWidth="1"/>
    <col min="6" max="6" width="10.83203125" style="1"/>
    <col min="7" max="7" width="90.6640625" bestFit="1" customWidth="1"/>
    <col min="8" max="8" width="170" bestFit="1" customWidth="1"/>
  </cols>
  <sheetData>
    <row r="1" spans="1:8" s="149" customFormat="1">
      <c r="A1" s="149" t="s">
        <v>145</v>
      </c>
      <c r="B1" s="149" t="s">
        <v>294</v>
      </c>
      <c r="C1" s="150" t="s">
        <v>560</v>
      </c>
      <c r="D1" s="150" t="s">
        <v>605</v>
      </c>
      <c r="E1" s="149" t="s">
        <v>127</v>
      </c>
      <c r="F1" s="149" t="s">
        <v>572</v>
      </c>
      <c r="G1" s="149" t="s">
        <v>141</v>
      </c>
      <c r="H1" s="149" t="s">
        <v>3</v>
      </c>
    </row>
    <row r="2" spans="1:8">
      <c r="A2" t="s">
        <v>559</v>
      </c>
      <c r="B2" s="1">
        <v>2</v>
      </c>
      <c r="C2" s="2">
        <v>8</v>
      </c>
      <c r="E2" s="127" t="s">
        <v>562</v>
      </c>
      <c r="F2" s="1" t="s">
        <v>576</v>
      </c>
      <c r="G2" s="127" t="s">
        <v>561</v>
      </c>
    </row>
    <row r="3" spans="1:8">
      <c r="A3" t="s">
        <v>563</v>
      </c>
      <c r="B3" s="1">
        <v>1</v>
      </c>
      <c r="C3" s="2">
        <v>13.5</v>
      </c>
      <c r="E3" s="127" t="s">
        <v>562</v>
      </c>
      <c r="F3" s="1" t="s">
        <v>576</v>
      </c>
      <c r="G3" s="127" t="s">
        <v>568</v>
      </c>
    </row>
    <row r="4" spans="1:8">
      <c r="A4" t="s">
        <v>564</v>
      </c>
      <c r="B4" s="1">
        <v>1</v>
      </c>
      <c r="C4" s="2">
        <v>1.69</v>
      </c>
      <c r="E4" s="127" t="s">
        <v>562</v>
      </c>
      <c r="F4" s="1" t="s">
        <v>576</v>
      </c>
      <c r="G4" s="127" t="s">
        <v>565</v>
      </c>
      <c r="H4" t="s">
        <v>582</v>
      </c>
    </row>
    <row r="5" spans="1:8">
      <c r="A5" t="s">
        <v>574</v>
      </c>
      <c r="B5" s="1">
        <v>1</v>
      </c>
      <c r="E5" s="127"/>
      <c r="F5" s="1" t="s">
        <v>573</v>
      </c>
      <c r="H5" t="s">
        <v>571</v>
      </c>
    </row>
    <row r="6" spans="1:8">
      <c r="A6" t="s">
        <v>577</v>
      </c>
      <c r="B6" s="1">
        <v>2</v>
      </c>
      <c r="F6" s="1" t="s">
        <v>573</v>
      </c>
      <c r="H6" t="s">
        <v>571</v>
      </c>
    </row>
    <row r="7" spans="1:8">
      <c r="A7" t="s">
        <v>18</v>
      </c>
      <c r="B7" s="1">
        <v>2</v>
      </c>
      <c r="C7" s="2">
        <v>0.12</v>
      </c>
      <c r="E7" s="127" t="s">
        <v>515</v>
      </c>
      <c r="F7" s="1" t="s">
        <v>576</v>
      </c>
      <c r="G7" s="127" t="s">
        <v>598</v>
      </c>
      <c r="H7" t="s">
        <v>596</v>
      </c>
    </row>
    <row r="8" spans="1:8">
      <c r="A8" t="s">
        <v>580</v>
      </c>
      <c r="B8" s="1">
        <v>4</v>
      </c>
      <c r="F8" s="1" t="s">
        <v>573</v>
      </c>
      <c r="H8" t="s">
        <v>571</v>
      </c>
    </row>
    <row r="9" spans="1:8">
      <c r="A9" t="s">
        <v>581</v>
      </c>
      <c r="B9" s="1">
        <v>1</v>
      </c>
      <c r="F9" s="1" t="s">
        <v>573</v>
      </c>
      <c r="H9" t="s">
        <v>571</v>
      </c>
    </row>
    <row r="10" spans="1:8">
      <c r="A10" t="s">
        <v>575</v>
      </c>
      <c r="B10" s="1">
        <v>1</v>
      </c>
      <c r="F10" s="1" t="s">
        <v>573</v>
      </c>
      <c r="H10" t="s">
        <v>571</v>
      </c>
    </row>
    <row r="11" spans="1:8">
      <c r="A11" t="s">
        <v>566</v>
      </c>
      <c r="B11" s="1">
        <v>1</v>
      </c>
      <c r="C11" s="2">
        <v>8</v>
      </c>
      <c r="E11" s="127" t="s">
        <v>562</v>
      </c>
      <c r="F11" s="1" t="s">
        <v>573</v>
      </c>
      <c r="G11" s="127" t="s">
        <v>567</v>
      </c>
      <c r="H11" t="s">
        <v>578</v>
      </c>
    </row>
    <row r="12" spans="1:8">
      <c r="A12" t="s">
        <v>569</v>
      </c>
      <c r="B12" s="1">
        <v>1</v>
      </c>
      <c r="C12" s="2">
        <v>16.68</v>
      </c>
      <c r="E12" t="s">
        <v>510</v>
      </c>
      <c r="F12" s="1" t="s">
        <v>573</v>
      </c>
      <c r="G12" t="s">
        <v>570</v>
      </c>
      <c r="H12" t="s">
        <v>579</v>
      </c>
    </row>
    <row r="16" spans="1:8" ht="19">
      <c r="A16" s="151" t="s">
        <v>583</v>
      </c>
      <c r="B16" s="151"/>
      <c r="C16" s="151"/>
      <c r="D16" s="151"/>
      <c r="E16" s="151"/>
      <c r="F16" s="151"/>
      <c r="G16" s="151"/>
      <c r="H16" s="151"/>
    </row>
    <row r="17" spans="1:8">
      <c r="A17" t="s">
        <v>590</v>
      </c>
      <c r="B17" s="1">
        <v>1</v>
      </c>
      <c r="C17" s="2">
        <v>0.11</v>
      </c>
      <c r="E17" s="127" t="s">
        <v>515</v>
      </c>
      <c r="F17" s="1" t="s">
        <v>576</v>
      </c>
      <c r="G17" s="127" t="s">
        <v>599</v>
      </c>
      <c r="H17" t="s">
        <v>596</v>
      </c>
    </row>
    <row r="18" spans="1:8">
      <c r="A18" t="s">
        <v>591</v>
      </c>
      <c r="B18" s="1">
        <v>1</v>
      </c>
      <c r="D18" s="2">
        <v>9.19</v>
      </c>
      <c r="E18" t="s">
        <v>510</v>
      </c>
      <c r="F18" s="1" t="s">
        <v>576</v>
      </c>
      <c r="G18" s="127" t="s">
        <v>593</v>
      </c>
      <c r="H18" t="s">
        <v>595</v>
      </c>
    </row>
    <row r="19" spans="1:8">
      <c r="A19" t="s">
        <v>592</v>
      </c>
      <c r="B19" s="1">
        <v>3</v>
      </c>
      <c r="D19" s="2">
        <v>6.99</v>
      </c>
      <c r="E19" t="s">
        <v>510</v>
      </c>
      <c r="F19" s="1" t="s">
        <v>576</v>
      </c>
      <c r="G19" s="127" t="s">
        <v>594</v>
      </c>
      <c r="H19" t="s">
        <v>604</v>
      </c>
    </row>
    <row r="20" spans="1:8">
      <c r="A20" t="s">
        <v>15</v>
      </c>
      <c r="B20" s="1">
        <v>2</v>
      </c>
      <c r="C20" s="2">
        <v>0.2</v>
      </c>
      <c r="E20" s="127" t="s">
        <v>515</v>
      </c>
      <c r="F20" s="1" t="s">
        <v>576</v>
      </c>
      <c r="G20" s="127" t="s">
        <v>600</v>
      </c>
      <c r="H20" t="s">
        <v>597</v>
      </c>
    </row>
    <row r="21" spans="1:8">
      <c r="A21" t="s">
        <v>585</v>
      </c>
      <c r="B21" s="1">
        <v>1</v>
      </c>
      <c r="F21" s="1" t="s">
        <v>573</v>
      </c>
      <c r="G21" s="127" t="s">
        <v>588</v>
      </c>
      <c r="H21" t="s">
        <v>586</v>
      </c>
    </row>
    <row r="22" spans="1:8">
      <c r="A22" t="s">
        <v>587</v>
      </c>
      <c r="B22" s="1">
        <v>4</v>
      </c>
      <c r="F22" s="1" t="s">
        <v>573</v>
      </c>
      <c r="G22" s="127" t="s">
        <v>589</v>
      </c>
      <c r="H22" t="s">
        <v>586</v>
      </c>
    </row>
    <row r="23" spans="1:8">
      <c r="A23" t="s">
        <v>584</v>
      </c>
      <c r="B23" s="1">
        <v>2</v>
      </c>
      <c r="F23" s="1" t="s">
        <v>573</v>
      </c>
      <c r="H23" t="s">
        <v>571</v>
      </c>
    </row>
    <row r="27" spans="1:8" ht="19">
      <c r="A27" s="151" t="s">
        <v>601</v>
      </c>
      <c r="B27" s="151"/>
      <c r="C27" s="151"/>
      <c r="D27" s="151"/>
      <c r="E27" s="151"/>
      <c r="F27" s="151"/>
      <c r="G27" s="151"/>
      <c r="H27" s="151"/>
    </row>
    <row r="28" spans="1:8">
      <c r="A28" t="s">
        <v>15</v>
      </c>
      <c r="B28" s="1">
        <v>8</v>
      </c>
      <c r="C28" s="2">
        <v>0.13</v>
      </c>
      <c r="E28" s="127" t="s">
        <v>515</v>
      </c>
      <c r="F28" s="1" t="s">
        <v>576</v>
      </c>
      <c r="G28" s="127" t="s">
        <v>602</v>
      </c>
      <c r="H28" t="s">
        <v>603</v>
      </c>
    </row>
    <row r="47" spans="7:9">
      <c r="G47" s="127" t="s">
        <v>607</v>
      </c>
      <c r="H47">
        <v>8</v>
      </c>
      <c r="I47">
        <v>0.12</v>
      </c>
    </row>
    <row r="48" spans="7:9">
      <c r="G48" s="127" t="s">
        <v>606</v>
      </c>
      <c r="H48">
        <v>8</v>
      </c>
      <c r="I48">
        <v>0.11</v>
      </c>
    </row>
    <row r="49" spans="7:9">
      <c r="G49" s="127" t="s">
        <v>608</v>
      </c>
      <c r="H49">
        <v>12</v>
      </c>
      <c r="I49">
        <v>0.2</v>
      </c>
    </row>
    <row r="50" spans="7:9">
      <c r="G50" s="127" t="s">
        <v>609</v>
      </c>
      <c r="H50">
        <v>8</v>
      </c>
      <c r="I50">
        <v>0.13</v>
      </c>
    </row>
    <row r="55" spans="7:9">
      <c r="G55" s="127" t="s">
        <v>615</v>
      </c>
      <c r="H55">
        <v>1</v>
      </c>
      <c r="I55">
        <v>9.19</v>
      </c>
    </row>
    <row r="56" spans="7:9">
      <c r="G56" s="127" t="s">
        <v>616</v>
      </c>
      <c r="H56">
        <v>1</v>
      </c>
      <c r="I56">
        <v>6.99</v>
      </c>
    </row>
    <row r="61" spans="7:9">
      <c r="G61" s="127" t="s">
        <v>559</v>
      </c>
      <c r="H61">
        <v>2</v>
      </c>
      <c r="I61">
        <v>8</v>
      </c>
    </row>
    <row r="62" spans="7:9">
      <c r="G62" s="127" t="s">
        <v>563</v>
      </c>
      <c r="H62">
        <v>1</v>
      </c>
      <c r="I62">
        <v>13.5</v>
      </c>
    </row>
    <row r="63" spans="7:9">
      <c r="G63" s="127" t="s">
        <v>564</v>
      </c>
      <c r="H63">
        <v>1</v>
      </c>
      <c r="I63">
        <v>1.69</v>
      </c>
    </row>
  </sheetData>
  <mergeCells count="2">
    <mergeCell ref="A16:H16"/>
    <mergeCell ref="A27:H27"/>
  </mergeCells>
  <hyperlinks>
    <hyperlink ref="G2" r:id="rId1" xr:uid="{A5B3B81E-1EAF-A64E-BB83-35DB40F0421F}"/>
    <hyperlink ref="E2" r:id="rId2" xr:uid="{A9256680-FF2C-8349-BBE5-9FF60070669D}"/>
    <hyperlink ref="G4" r:id="rId3" xr:uid="{CEE8A630-888A-3946-986C-6E9BAABDC02A}"/>
    <hyperlink ref="G11" r:id="rId4" xr:uid="{2AF39898-EFD3-AE40-883C-85B61817C647}"/>
    <hyperlink ref="G3" r:id="rId5" xr:uid="{EA38428C-C1E3-E44A-A6FC-ADBF66EDD9FD}"/>
    <hyperlink ref="G21" r:id="rId6" xr:uid="{CDF3E770-90F0-E94E-ADE7-3317FD02E722}"/>
    <hyperlink ref="G22" r:id="rId7" xr:uid="{79F02814-AD2F-CB44-A0FF-195EEA94788F}"/>
    <hyperlink ref="G17" r:id="rId8" xr:uid="{003687BC-0E8A-1845-A15B-B66EF87BF35E}"/>
    <hyperlink ref="G20" r:id="rId9" xr:uid="{71EE595C-F450-D349-9416-9325A8BB00CF}"/>
    <hyperlink ref="G19" r:id="rId10" xr:uid="{4480ECF0-874F-814C-8D11-D1F040EDE88A}"/>
    <hyperlink ref="G18" r:id="rId11" xr:uid="{AC173AAE-3B1E-0245-868C-1ED194345403}"/>
    <hyperlink ref="G7" r:id="rId12" xr:uid="{0D22C71F-373D-3A43-B321-590B5330E756}"/>
    <hyperlink ref="E7" r:id="rId13" xr:uid="{68269D18-4CDD-1E42-8445-CE069E1247D5}"/>
    <hyperlink ref="E17" r:id="rId14" xr:uid="{71715E10-62DC-3442-A2C5-444AA270C9AC}"/>
    <hyperlink ref="E20" r:id="rId15" xr:uid="{3FE5CD10-4373-944A-A9B5-C6847A5869D5}"/>
    <hyperlink ref="G28" r:id="rId16" xr:uid="{76C5089C-6175-4543-9CCB-F228F9F40FE2}"/>
    <hyperlink ref="E28" r:id="rId17" xr:uid="{0F29B77D-26F4-D840-849B-F222E6EAAFFE}"/>
    <hyperlink ref="G47" r:id="rId18" display="M3x12; Class 12.9 alloy steel black oxide finish" xr:uid="{2EE050B3-9635-4B40-A8DE-5F8747F0E20E}"/>
    <hyperlink ref="G49" r:id="rId19" xr:uid="{88D61A49-FF80-494F-B520-7965BB203B1E}"/>
    <hyperlink ref="G48" r:id="rId20" xr:uid="{B03C3C66-88D2-3B42-8F77-1F73A5A85C10}"/>
    <hyperlink ref="G50" r:id="rId21" xr:uid="{8550A124-96AD-0E47-8A5F-DE5D065AA395}"/>
    <hyperlink ref="G55" r:id="rId22" xr:uid="{F7370DFE-75A9-1C40-9B9B-150B3CC4000D}"/>
    <hyperlink ref="G56" r:id="rId23" xr:uid="{64ED4326-A8A3-4448-A46A-78FD6450610D}"/>
    <hyperlink ref="G63" r:id="rId24" xr:uid="{7C25D9E3-38C9-AE4D-8EDF-AF54636C94FE}"/>
    <hyperlink ref="G62" r:id="rId25" xr:uid="{0DBACD69-56C3-9541-BDB5-6E2A4450F3A9}"/>
    <hyperlink ref="G61" r:id="rId26" xr:uid="{8AD4C500-CC91-AF4E-816B-BE85AAD7B8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F1F-2DE7-C74D-8F2A-5150C50F180C}">
  <sheetPr>
    <tabColor rgb="FF00B0F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3" sqref="A23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5" t="s">
        <v>293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34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ref="J5:J24" si="3">B5</f>
        <v>0</v>
      </c>
      <c r="K5" s="64"/>
      <c r="L5" s="64">
        <f t="shared" ref="L5:L24" si="4">J5*K5</f>
        <v>0</v>
      </c>
      <c r="M5" s="64"/>
      <c r="N5" s="64"/>
      <c r="O5" s="64">
        <f t="shared" ref="O5:O24" si="5">L5+M5+N5</f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3"/>
        <v>0</v>
      </c>
      <c r="K6" s="64"/>
      <c r="L6" s="64">
        <f t="shared" si="4"/>
        <v>0</v>
      </c>
      <c r="M6" s="64"/>
      <c r="N6" s="64"/>
      <c r="O6" s="64">
        <f t="shared" si="5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3"/>
        <v>0</v>
      </c>
      <c r="K7" s="64"/>
      <c r="L7" s="64">
        <f t="shared" si="4"/>
        <v>0</v>
      </c>
      <c r="M7" s="64"/>
      <c r="N7" s="64"/>
      <c r="O7" s="64">
        <f t="shared" si="5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3"/>
        <v>0</v>
      </c>
      <c r="K8" s="64"/>
      <c r="L8" s="64">
        <f t="shared" si="4"/>
        <v>0</v>
      </c>
      <c r="M8" s="64"/>
      <c r="N8" s="64"/>
      <c r="O8" s="64">
        <f t="shared" si="5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3"/>
        <v>0</v>
      </c>
      <c r="K9" s="64"/>
      <c r="L9" s="64">
        <f t="shared" si="4"/>
        <v>0</v>
      </c>
      <c r="M9" s="64"/>
      <c r="N9" s="64"/>
      <c r="O9" s="64">
        <f t="shared" si="5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3"/>
        <v>0</v>
      </c>
      <c r="K10" s="64"/>
      <c r="L10" s="64">
        <f t="shared" si="4"/>
        <v>0</v>
      </c>
      <c r="M10" s="64"/>
      <c r="N10" s="64"/>
      <c r="O10" s="64">
        <f t="shared" si="5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3"/>
        <v>0</v>
      </c>
      <c r="K11" s="64"/>
      <c r="L11" s="64">
        <f t="shared" si="4"/>
        <v>0</v>
      </c>
      <c r="M11" s="64"/>
      <c r="N11" s="64"/>
      <c r="O11" s="64">
        <f t="shared" si="5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3"/>
        <v>0</v>
      </c>
      <c r="K12" s="64"/>
      <c r="L12" s="64">
        <f t="shared" si="4"/>
        <v>0</v>
      </c>
      <c r="M12" s="64"/>
      <c r="N12" s="64"/>
      <c r="O12" s="64">
        <f t="shared" si="5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3"/>
        <v>0</v>
      </c>
      <c r="K13" s="64"/>
      <c r="L13" s="64">
        <f t="shared" si="4"/>
        <v>0</v>
      </c>
      <c r="M13" s="64"/>
      <c r="N13" s="64"/>
      <c r="O13" s="64">
        <f t="shared" si="5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3"/>
        <v>0</v>
      </c>
      <c r="K14" s="64"/>
      <c r="L14" s="64">
        <f t="shared" si="4"/>
        <v>0</v>
      </c>
      <c r="M14" s="64"/>
      <c r="N14" s="64"/>
      <c r="O14" s="64">
        <f t="shared" si="5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3"/>
        <v>0</v>
      </c>
      <c r="K15" s="64"/>
      <c r="L15" s="64">
        <f t="shared" si="4"/>
        <v>0</v>
      </c>
      <c r="M15" s="64"/>
      <c r="N15" s="64"/>
      <c r="O15" s="64">
        <f t="shared" si="5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3"/>
        <v>0</v>
      </c>
      <c r="K16" s="64"/>
      <c r="L16" s="64">
        <f t="shared" si="4"/>
        <v>0</v>
      </c>
      <c r="M16" s="64"/>
      <c r="N16" s="64"/>
      <c r="O16" s="64">
        <f t="shared" si="5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3"/>
        <v>0</v>
      </c>
      <c r="K17" s="64"/>
      <c r="L17" s="64">
        <f t="shared" si="4"/>
        <v>0</v>
      </c>
      <c r="M17" s="64"/>
      <c r="N17" s="64"/>
      <c r="O17" s="64">
        <f t="shared" si="5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3"/>
        <v>0</v>
      </c>
      <c r="K18" s="64"/>
      <c r="L18" s="64">
        <f t="shared" si="4"/>
        <v>0</v>
      </c>
      <c r="M18" s="64"/>
      <c r="N18" s="64"/>
      <c r="O18" s="64">
        <f t="shared" si="5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3"/>
        <v>0</v>
      </c>
      <c r="K19" s="64"/>
      <c r="L19" s="64">
        <f t="shared" si="4"/>
        <v>0</v>
      </c>
      <c r="M19" s="64"/>
      <c r="N19" s="64"/>
      <c r="O19" s="64">
        <f t="shared" si="5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3"/>
        <v>0</v>
      </c>
      <c r="K20" s="64"/>
      <c r="L20" s="64">
        <f t="shared" si="4"/>
        <v>0</v>
      </c>
      <c r="M20" s="64"/>
      <c r="N20" s="64"/>
      <c r="O20" s="64">
        <f t="shared" si="5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3"/>
        <v>0</v>
      </c>
      <c r="K21" s="64"/>
      <c r="L21" s="64">
        <f t="shared" si="4"/>
        <v>0</v>
      </c>
      <c r="M21" s="64"/>
      <c r="N21" s="64"/>
      <c r="O21" s="64">
        <f t="shared" si="5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3"/>
        <v>0</v>
      </c>
      <c r="K22" s="64"/>
      <c r="L22" s="64">
        <f t="shared" si="4"/>
        <v>0</v>
      </c>
      <c r="M22" s="64"/>
      <c r="N22" s="64"/>
      <c r="O22" s="64">
        <f t="shared" si="5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3"/>
        <v>0</v>
      </c>
      <c r="K23" s="64"/>
      <c r="L23" s="64">
        <f t="shared" si="4"/>
        <v>0</v>
      </c>
      <c r="M23" s="64"/>
      <c r="N23" s="64"/>
      <c r="O23" s="64">
        <f t="shared" si="5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3"/>
        <v>0</v>
      </c>
      <c r="K24" s="64"/>
      <c r="L24" s="64">
        <f t="shared" si="4"/>
        <v>0</v>
      </c>
      <c r="M24" s="64"/>
      <c r="N24" s="64"/>
      <c r="O24" s="64">
        <f t="shared" si="5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ref="J35:J52" si="6">B35</f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6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6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6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6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6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6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6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6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6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6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6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6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6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6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6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6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6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7">SUM(L3:L52)</f>
        <v>0</v>
      </c>
      <c r="M54" s="76">
        <f t="shared" si="7"/>
        <v>0</v>
      </c>
      <c r="N54" s="76">
        <f t="shared" si="7"/>
        <v>0</v>
      </c>
      <c r="O54" s="76">
        <f t="shared" si="7"/>
        <v>0</v>
      </c>
      <c r="P54" s="76">
        <f t="shared" si="7"/>
        <v>0</v>
      </c>
      <c r="Q54" s="76">
        <f t="shared" si="7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A0DCF8-712A-E54B-A25A-38D17FA5938F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4BF-4AE9-EA4C-907A-90391FCDE61B}">
  <sheetPr>
    <tabColor rgb="FFFF000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5" t="s">
        <v>293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52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si="0"/>
        <v>0</v>
      </c>
      <c r="K5" s="64"/>
      <c r="L5" s="64">
        <f t="shared" si="1"/>
        <v>0</v>
      </c>
      <c r="M5" s="64"/>
      <c r="N5" s="64"/>
      <c r="O5" s="64">
        <f t="shared" si="2"/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0"/>
        <v>0</v>
      </c>
      <c r="K6" s="64"/>
      <c r="L6" s="64">
        <f t="shared" si="1"/>
        <v>0</v>
      </c>
      <c r="M6" s="64"/>
      <c r="N6" s="64"/>
      <c r="O6" s="64">
        <f t="shared" si="2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0"/>
        <v>0</v>
      </c>
      <c r="K7" s="64"/>
      <c r="L7" s="64">
        <f t="shared" si="1"/>
        <v>0</v>
      </c>
      <c r="M7" s="64"/>
      <c r="N7" s="64"/>
      <c r="O7" s="64">
        <f t="shared" si="2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0"/>
        <v>0</v>
      </c>
      <c r="K8" s="64"/>
      <c r="L8" s="64">
        <f t="shared" si="1"/>
        <v>0</v>
      </c>
      <c r="M8" s="64"/>
      <c r="N8" s="64"/>
      <c r="O8" s="64">
        <f t="shared" si="2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0"/>
        <v>0</v>
      </c>
      <c r="K9" s="64"/>
      <c r="L9" s="64">
        <f t="shared" si="1"/>
        <v>0</v>
      </c>
      <c r="M9" s="64"/>
      <c r="N9" s="64"/>
      <c r="O9" s="64">
        <f t="shared" si="2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0"/>
        <v>0</v>
      </c>
      <c r="K10" s="64"/>
      <c r="L10" s="64">
        <f t="shared" si="1"/>
        <v>0</v>
      </c>
      <c r="M10" s="64"/>
      <c r="N10" s="64"/>
      <c r="O10" s="64">
        <f t="shared" si="2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0"/>
        <v>0</v>
      </c>
      <c r="K11" s="64"/>
      <c r="L11" s="64">
        <f t="shared" si="1"/>
        <v>0</v>
      </c>
      <c r="M11" s="64"/>
      <c r="N11" s="64"/>
      <c r="O11" s="64">
        <f t="shared" si="2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0"/>
        <v>0</v>
      </c>
      <c r="K12" s="64"/>
      <c r="L12" s="64">
        <f t="shared" si="1"/>
        <v>0</v>
      </c>
      <c r="M12" s="64"/>
      <c r="N12" s="64"/>
      <c r="O12" s="64">
        <f t="shared" si="2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0"/>
        <v>0</v>
      </c>
      <c r="K13" s="64"/>
      <c r="L13" s="64">
        <f t="shared" si="1"/>
        <v>0</v>
      </c>
      <c r="M13" s="64"/>
      <c r="N13" s="64"/>
      <c r="O13" s="64">
        <f t="shared" si="2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0"/>
        <v>0</v>
      </c>
      <c r="K14" s="64"/>
      <c r="L14" s="64">
        <f t="shared" si="1"/>
        <v>0</v>
      </c>
      <c r="M14" s="64"/>
      <c r="N14" s="64"/>
      <c r="O14" s="64">
        <f t="shared" si="2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0"/>
        <v>0</v>
      </c>
      <c r="K15" s="64"/>
      <c r="L15" s="64">
        <f t="shared" si="1"/>
        <v>0</v>
      </c>
      <c r="M15" s="64"/>
      <c r="N15" s="64"/>
      <c r="O15" s="64">
        <f t="shared" si="2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0"/>
        <v>0</v>
      </c>
      <c r="K16" s="64"/>
      <c r="L16" s="64">
        <f t="shared" si="1"/>
        <v>0</v>
      </c>
      <c r="M16" s="64"/>
      <c r="N16" s="64"/>
      <c r="O16" s="64">
        <f t="shared" si="2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0"/>
        <v>0</v>
      </c>
      <c r="K17" s="64"/>
      <c r="L17" s="64">
        <f t="shared" si="1"/>
        <v>0</v>
      </c>
      <c r="M17" s="64"/>
      <c r="N17" s="64"/>
      <c r="O17" s="64">
        <f t="shared" si="2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0"/>
        <v>0</v>
      </c>
      <c r="K18" s="64"/>
      <c r="L18" s="64">
        <f t="shared" si="1"/>
        <v>0</v>
      </c>
      <c r="M18" s="64"/>
      <c r="N18" s="64"/>
      <c r="O18" s="64">
        <f t="shared" si="2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0"/>
        <v>0</v>
      </c>
      <c r="K19" s="64"/>
      <c r="L19" s="64">
        <f t="shared" si="1"/>
        <v>0</v>
      </c>
      <c r="M19" s="64"/>
      <c r="N19" s="64"/>
      <c r="O19" s="64">
        <f t="shared" si="2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0"/>
        <v>0</v>
      </c>
      <c r="K20" s="64"/>
      <c r="L20" s="64">
        <f t="shared" si="1"/>
        <v>0</v>
      </c>
      <c r="M20" s="64"/>
      <c r="N20" s="64"/>
      <c r="O20" s="64">
        <f t="shared" si="2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0"/>
        <v>0</v>
      </c>
      <c r="K21" s="64"/>
      <c r="L21" s="64">
        <f t="shared" si="1"/>
        <v>0</v>
      </c>
      <c r="M21" s="64"/>
      <c r="N21" s="64"/>
      <c r="O21" s="64">
        <f t="shared" si="2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0"/>
        <v>0</v>
      </c>
      <c r="K22" s="64"/>
      <c r="L22" s="64">
        <f t="shared" si="1"/>
        <v>0</v>
      </c>
      <c r="M22" s="64"/>
      <c r="N22" s="64"/>
      <c r="O22" s="64">
        <f t="shared" si="2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0"/>
        <v>0</v>
      </c>
      <c r="K23" s="64"/>
      <c r="L23" s="64">
        <f t="shared" si="1"/>
        <v>0</v>
      </c>
      <c r="M23" s="64"/>
      <c r="N23" s="64"/>
      <c r="O23" s="64">
        <f t="shared" si="2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0"/>
        <v>0</v>
      </c>
      <c r="K24" s="64"/>
      <c r="L24" s="64">
        <f t="shared" si="1"/>
        <v>0</v>
      </c>
      <c r="M24" s="64"/>
      <c r="N24" s="64"/>
      <c r="O24" s="64">
        <f t="shared" si="2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si="0"/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0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0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0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0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0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0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0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0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0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0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0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0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0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0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0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0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0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3">SUM(L3:L52)</f>
        <v>0</v>
      </c>
      <c r="M54" s="76">
        <f t="shared" si="3"/>
        <v>0</v>
      </c>
      <c r="N54" s="76">
        <f t="shared" si="3"/>
        <v>0</v>
      </c>
      <c r="O54" s="76">
        <f t="shared" si="3"/>
        <v>0</v>
      </c>
      <c r="P54" s="76">
        <f t="shared" si="3"/>
        <v>0</v>
      </c>
      <c r="Q54" s="76">
        <f t="shared" si="3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15C38E-2247-D34F-B26F-8DFCF74EFDAD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0460-BB71-F04C-910C-C6A604FED051}">
  <dimension ref="A1:I32"/>
  <sheetViews>
    <sheetView workbookViewId="0">
      <selection activeCell="B22" sqref="B22"/>
    </sheetView>
  </sheetViews>
  <sheetFormatPr baseColWidth="10" defaultRowHeight="16"/>
  <cols>
    <col min="1" max="1" width="70.83203125" bestFit="1" customWidth="1"/>
    <col min="2" max="2" width="55.33203125" bestFit="1" customWidth="1"/>
    <col min="3" max="3" width="18.5" bestFit="1" customWidth="1"/>
    <col min="4" max="4" width="18.5" customWidth="1"/>
    <col min="5" max="5" width="7.83203125" bestFit="1" customWidth="1"/>
    <col min="6" max="6" width="13.5" bestFit="1" customWidth="1"/>
    <col min="7" max="7" width="16.33203125" bestFit="1" customWidth="1"/>
    <col min="8" max="8" width="17.83203125" bestFit="1" customWidth="1"/>
  </cols>
  <sheetData>
    <row r="1" spans="1:9">
      <c r="A1" t="s">
        <v>0</v>
      </c>
      <c r="B1" t="s">
        <v>502</v>
      </c>
      <c r="C1" t="s">
        <v>165</v>
      </c>
      <c r="D1" t="s">
        <v>2</v>
      </c>
      <c r="E1" t="s">
        <v>503</v>
      </c>
      <c r="F1" t="s">
        <v>504</v>
      </c>
      <c r="G1" t="s">
        <v>505</v>
      </c>
      <c r="H1" t="s">
        <v>506</v>
      </c>
      <c r="I1" t="s">
        <v>3</v>
      </c>
    </row>
    <row r="2" spans="1:9">
      <c r="A2" t="s">
        <v>507</v>
      </c>
      <c r="B2" t="s">
        <v>508</v>
      </c>
      <c r="D2">
        <v>19</v>
      </c>
      <c r="E2" t="s">
        <v>509</v>
      </c>
      <c r="F2" t="s">
        <v>510</v>
      </c>
      <c r="G2" t="s">
        <v>511</v>
      </c>
      <c r="H2" t="s">
        <v>512</v>
      </c>
    </row>
    <row r="3" spans="1:9">
      <c r="A3" t="s">
        <v>507</v>
      </c>
      <c r="B3" t="s">
        <v>540</v>
      </c>
      <c r="D3">
        <v>2</v>
      </c>
      <c r="E3" t="s">
        <v>509</v>
      </c>
    </row>
    <row r="4" spans="1:9">
      <c r="A4" t="s">
        <v>507</v>
      </c>
      <c r="B4" t="s">
        <v>541</v>
      </c>
      <c r="D4">
        <v>4</v>
      </c>
      <c r="E4" s="128" t="s">
        <v>509</v>
      </c>
    </row>
    <row r="5" spans="1:9">
      <c r="A5" t="s">
        <v>507</v>
      </c>
      <c r="B5" t="s">
        <v>22</v>
      </c>
      <c r="C5" t="s">
        <v>513</v>
      </c>
      <c r="D5">
        <v>3</v>
      </c>
      <c r="E5" t="s">
        <v>509</v>
      </c>
    </row>
    <row r="6" spans="1:9">
      <c r="A6" s="127" t="s">
        <v>507</v>
      </c>
      <c r="B6" t="s">
        <v>21</v>
      </c>
      <c r="C6" t="s">
        <v>514</v>
      </c>
      <c r="D6">
        <v>1</v>
      </c>
      <c r="E6" t="s">
        <v>509</v>
      </c>
      <c r="F6" t="s">
        <v>515</v>
      </c>
    </row>
    <row r="7" spans="1:9">
      <c r="A7" s="127" t="s">
        <v>507</v>
      </c>
      <c r="B7" t="s">
        <v>20</v>
      </c>
      <c r="C7" t="s">
        <v>516</v>
      </c>
      <c r="D7">
        <v>2</v>
      </c>
      <c r="E7" t="s">
        <v>509</v>
      </c>
      <c r="F7" t="s">
        <v>515</v>
      </c>
    </row>
    <row r="8" spans="1:9">
      <c r="A8" t="s">
        <v>507</v>
      </c>
      <c r="B8" t="s">
        <v>517</v>
      </c>
      <c r="C8" t="s">
        <v>518</v>
      </c>
      <c r="D8">
        <v>2</v>
      </c>
      <c r="E8" t="s">
        <v>509</v>
      </c>
    </row>
    <row r="9" spans="1:9">
      <c r="A9" s="127" t="s">
        <v>507</v>
      </c>
      <c r="B9" t="s">
        <v>18</v>
      </c>
      <c r="C9" t="s">
        <v>516</v>
      </c>
      <c r="D9">
        <v>2</v>
      </c>
      <c r="E9" t="s">
        <v>509</v>
      </c>
      <c r="F9" t="s">
        <v>515</v>
      </c>
    </row>
    <row r="10" spans="1:9">
      <c r="A10" s="127" t="s">
        <v>507</v>
      </c>
      <c r="B10" t="s">
        <v>17</v>
      </c>
      <c r="C10" t="s">
        <v>516</v>
      </c>
      <c r="D10">
        <v>2</v>
      </c>
      <c r="E10" t="s">
        <v>509</v>
      </c>
      <c r="F10" t="s">
        <v>515</v>
      </c>
    </row>
    <row r="11" spans="1:9">
      <c r="A11" s="127" t="s">
        <v>507</v>
      </c>
      <c r="B11" t="s">
        <v>16</v>
      </c>
      <c r="C11" t="s">
        <v>516</v>
      </c>
      <c r="D11">
        <v>1</v>
      </c>
      <c r="E11" t="s">
        <v>509</v>
      </c>
      <c r="F11" t="s">
        <v>515</v>
      </c>
    </row>
    <row r="12" spans="1:9">
      <c r="A12" s="127" t="s">
        <v>507</v>
      </c>
      <c r="B12" t="s">
        <v>519</v>
      </c>
      <c r="C12" t="s">
        <v>516</v>
      </c>
      <c r="D12">
        <v>6</v>
      </c>
      <c r="E12" t="s">
        <v>509</v>
      </c>
      <c r="F12" t="s">
        <v>515</v>
      </c>
    </row>
    <row r="13" spans="1:9">
      <c r="A13" s="127" t="s">
        <v>507</v>
      </c>
      <c r="B13" t="s">
        <v>15</v>
      </c>
      <c r="C13" t="s">
        <v>516</v>
      </c>
      <c r="D13">
        <v>1</v>
      </c>
      <c r="E13" t="s">
        <v>509</v>
      </c>
      <c r="F13" t="s">
        <v>515</v>
      </c>
    </row>
    <row r="14" spans="1:9">
      <c r="A14" s="127" t="s">
        <v>507</v>
      </c>
      <c r="B14" t="s">
        <v>520</v>
      </c>
      <c r="C14" t="s">
        <v>516</v>
      </c>
      <c r="D14">
        <v>2</v>
      </c>
      <c r="E14" t="s">
        <v>509</v>
      </c>
      <c r="F14" t="s">
        <v>521</v>
      </c>
    </row>
    <row r="15" spans="1:9">
      <c r="A15" t="s">
        <v>507</v>
      </c>
      <c r="B15" t="s">
        <v>522</v>
      </c>
      <c r="C15" t="s">
        <v>523</v>
      </c>
      <c r="D15">
        <v>1</v>
      </c>
      <c r="E15" t="s">
        <v>509</v>
      </c>
    </row>
    <row r="16" spans="1:9">
      <c r="A16" t="s">
        <v>45</v>
      </c>
      <c r="B16" t="s">
        <v>524</v>
      </c>
      <c r="D16">
        <v>1</v>
      </c>
      <c r="E16" t="s">
        <v>509</v>
      </c>
    </row>
    <row r="17" spans="1:6">
      <c r="A17" t="s">
        <v>45</v>
      </c>
      <c r="B17" t="s">
        <v>525</v>
      </c>
      <c r="D17">
        <v>1</v>
      </c>
      <c r="E17" t="s">
        <v>509</v>
      </c>
    </row>
    <row r="18" spans="1:6">
      <c r="A18" t="s">
        <v>45</v>
      </c>
      <c r="B18" t="s">
        <v>526</v>
      </c>
      <c r="D18">
        <v>1</v>
      </c>
      <c r="E18" t="s">
        <v>509</v>
      </c>
    </row>
    <row r="19" spans="1:6">
      <c r="A19" t="s">
        <v>45</v>
      </c>
      <c r="B19" t="s">
        <v>527</v>
      </c>
      <c r="D19">
        <v>3</v>
      </c>
      <c r="E19" t="s">
        <v>509</v>
      </c>
    </row>
    <row r="20" spans="1:6">
      <c r="A20" t="s">
        <v>528</v>
      </c>
      <c r="B20" t="s">
        <v>529</v>
      </c>
      <c r="D20">
        <v>1</v>
      </c>
      <c r="E20" t="s">
        <v>509</v>
      </c>
    </row>
    <row r="21" spans="1:6">
      <c r="A21" t="s">
        <v>528</v>
      </c>
      <c r="B21" t="s">
        <v>530</v>
      </c>
      <c r="D21">
        <v>1</v>
      </c>
      <c r="E21" t="s">
        <v>509</v>
      </c>
    </row>
    <row r="22" spans="1:6">
      <c r="A22" s="127" t="s">
        <v>29</v>
      </c>
      <c r="B22" t="s">
        <v>532</v>
      </c>
      <c r="D22">
        <v>1</v>
      </c>
      <c r="E22" t="s">
        <v>509</v>
      </c>
      <c r="F22" t="s">
        <v>531</v>
      </c>
    </row>
    <row r="23" spans="1:6">
      <c r="A23" t="s">
        <v>91</v>
      </c>
      <c r="B23" t="s">
        <v>108</v>
      </c>
      <c r="D23">
        <v>3</v>
      </c>
      <c r="E23" t="s">
        <v>509</v>
      </c>
    </row>
    <row r="24" spans="1:6">
      <c r="A24" t="s">
        <v>91</v>
      </c>
      <c r="B24" t="s">
        <v>107</v>
      </c>
      <c r="D24">
        <v>3</v>
      </c>
      <c r="E24" t="s">
        <v>509</v>
      </c>
    </row>
    <row r="25" spans="1:6">
      <c r="A25" t="s">
        <v>91</v>
      </c>
      <c r="B25" t="s">
        <v>533</v>
      </c>
      <c r="D25">
        <v>1</v>
      </c>
      <c r="E25" t="s">
        <v>509</v>
      </c>
    </row>
    <row r="26" spans="1:6">
      <c r="A26" t="s">
        <v>91</v>
      </c>
      <c r="B26" t="s">
        <v>98</v>
      </c>
      <c r="D26">
        <v>1</v>
      </c>
      <c r="E26" t="s">
        <v>509</v>
      </c>
    </row>
    <row r="27" spans="1:6">
      <c r="A27" t="s">
        <v>91</v>
      </c>
      <c r="B27" t="s">
        <v>534</v>
      </c>
      <c r="D27">
        <v>1</v>
      </c>
      <c r="E27" t="s">
        <v>509</v>
      </c>
    </row>
    <row r="28" spans="1:6">
      <c r="A28" t="s">
        <v>91</v>
      </c>
      <c r="B28" t="s">
        <v>535</v>
      </c>
      <c r="D28">
        <v>1</v>
      </c>
      <c r="E28" t="s">
        <v>509</v>
      </c>
    </row>
    <row r="29" spans="1:6">
      <c r="A29" t="s">
        <v>536</v>
      </c>
      <c r="B29" t="s">
        <v>18</v>
      </c>
      <c r="D29">
        <v>2</v>
      </c>
      <c r="E29" t="s">
        <v>509</v>
      </c>
    </row>
    <row r="30" spans="1:6">
      <c r="A30" t="s">
        <v>536</v>
      </c>
      <c r="B30" t="s">
        <v>537</v>
      </c>
      <c r="D30">
        <v>2</v>
      </c>
      <c r="E30" t="s">
        <v>509</v>
      </c>
    </row>
    <row r="31" spans="1:6">
      <c r="A31" t="s">
        <v>536</v>
      </c>
      <c r="B31" t="s">
        <v>538</v>
      </c>
      <c r="D31">
        <v>2</v>
      </c>
      <c r="E31" t="s">
        <v>509</v>
      </c>
    </row>
    <row r="32" spans="1:6">
      <c r="A32" t="s">
        <v>536</v>
      </c>
      <c r="B32" t="s">
        <v>539</v>
      </c>
      <c r="D32">
        <v>1</v>
      </c>
      <c r="E32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33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6" t="s">
        <v>288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8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9" t="s">
        <v>208</v>
      </c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1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42" t="s">
        <v>205</v>
      </c>
      <c r="B105" s="143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4"/>
      <c r="B106" s="145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topLeftCell="N1" zoomScale="110" zoomScaleNormal="110" workbookViewId="0">
      <pane ySplit="1" topLeftCell="A2" activePane="bottomLeft" state="frozen"/>
      <selection pane="bottomLeft" activeCell="Q1" sqref="Q1:R12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6" t="s">
        <v>288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8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9" t="s">
        <v>208</v>
      </c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1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42" t="s">
        <v>205</v>
      </c>
      <c r="B105" s="143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4"/>
      <c r="B106" s="145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topLeftCell="A83"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55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14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46" t="s">
        <v>135</v>
      </c>
      <c r="R1" s="147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West3D Voron 2.4 BOM</vt:lpstr>
      <vt:lpstr>Voron Stealthburner BOM</vt:lpstr>
      <vt:lpstr>Voron Stealthburner orig BOM</vt:lpstr>
      <vt:lpstr>Voron Stealthburner srcng guide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  <vt:lpstr>Nevermore V5 Duo BOM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2022-12-27T20:27:10Z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