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8A0FBAE9-24A6-CE44-830F-B6FCAA28012E}" xr6:coauthVersionLast="47" xr6:coauthVersionMax="47" xr10:uidLastSave="{00000000-0000-0000-0000-000000000000}"/>
  <bookViews>
    <workbookView xWindow="780" yWindow="500" windowWidth="50420" windowHeight="28300" xr2:uid="{00000000-000D-0000-FFFF-FFFF00000000}"/>
  </bookViews>
  <sheets>
    <sheet name="West3D Voron 2.4 BOM" sheetId="6" r:id="rId1"/>
    <sheet name="Voron2.4 350mm OUR BOM" sheetId="7" r:id="rId2"/>
    <sheet name="Voron2.4 350mm (orig - redo)" sheetId="4" r:id="rId3"/>
    <sheet name="Voron2.4 350 Checklist" sheetId="5" r:id="rId4"/>
    <sheet name="voron2.4_350mm_bom" sheetId="1" r:id="rId5"/>
    <sheet name="Multi_build_BOM" sheetId="2" r:id="rId6"/>
    <sheet name="Frame Parts - Raw" sheetId="3" r:id="rId7"/>
  </sheets>
  <definedNames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4" i="6" l="1"/>
  <c r="R100" i="6"/>
  <c r="M72" i="6"/>
  <c r="M73" i="6"/>
  <c r="M76" i="6"/>
  <c r="H76" i="6"/>
  <c r="H75" i="6"/>
  <c r="H74" i="6"/>
  <c r="H73" i="6"/>
  <c r="H72" i="6"/>
  <c r="H71" i="6"/>
  <c r="J81" i="6"/>
  <c r="L81" i="6" s="1"/>
  <c r="O81" i="6" s="1"/>
  <c r="J80" i="6"/>
  <c r="L80" i="6" s="1"/>
  <c r="O80" i="6" s="1"/>
  <c r="J79" i="6"/>
  <c r="L79" i="6" s="1"/>
  <c r="O79" i="6" s="1"/>
  <c r="J78" i="6"/>
  <c r="L78" i="6" s="1"/>
  <c r="O78" i="6" s="1"/>
  <c r="J77" i="6"/>
  <c r="L77" i="6" s="1"/>
  <c r="O77" i="6" s="1"/>
  <c r="J76" i="6"/>
  <c r="L76" i="6" s="1"/>
  <c r="J75" i="6"/>
  <c r="L75" i="6" s="1"/>
  <c r="J74" i="6"/>
  <c r="L74" i="6" s="1"/>
  <c r="J73" i="6"/>
  <c r="L73" i="6" s="1"/>
  <c r="J72" i="6"/>
  <c r="L72" i="6" s="1"/>
  <c r="J71" i="6"/>
  <c r="L71" i="6" s="1"/>
  <c r="H61" i="6"/>
  <c r="H70" i="6"/>
  <c r="J86" i="6"/>
  <c r="L86" i="6" s="1"/>
  <c r="O86" i="6" s="1"/>
  <c r="J85" i="6"/>
  <c r="L85" i="6" s="1"/>
  <c r="O85" i="6" s="1"/>
  <c r="J84" i="6"/>
  <c r="L84" i="6" s="1"/>
  <c r="O84" i="6" s="1"/>
  <c r="J83" i="6"/>
  <c r="L83" i="6" s="1"/>
  <c r="O83" i="6" s="1"/>
  <c r="J82" i="6"/>
  <c r="L82" i="6" s="1"/>
  <c r="O82" i="6" s="1"/>
  <c r="J70" i="6"/>
  <c r="L70" i="6" s="1"/>
  <c r="O70" i="6" s="1"/>
  <c r="P70" i="6" s="1"/>
  <c r="Q70" i="6" s="1"/>
  <c r="H69" i="6"/>
  <c r="H68" i="6"/>
  <c r="J89" i="6"/>
  <c r="L89" i="6" s="1"/>
  <c r="O89" i="6" s="1"/>
  <c r="J88" i="6"/>
  <c r="L88" i="6" s="1"/>
  <c r="O88" i="6" s="1"/>
  <c r="J87" i="6"/>
  <c r="L87" i="6" s="1"/>
  <c r="O87" i="6" s="1"/>
  <c r="J69" i="6"/>
  <c r="L69" i="6" s="1"/>
  <c r="O69" i="6" s="1"/>
  <c r="P69" i="6" s="1"/>
  <c r="Q69" i="6" s="1"/>
  <c r="J68" i="6"/>
  <c r="L68" i="6" s="1"/>
  <c r="O68" i="6" s="1"/>
  <c r="P68" i="6" s="1"/>
  <c r="Q67" i="6"/>
  <c r="H9" i="6"/>
  <c r="H5" i="6"/>
  <c r="H39" i="6"/>
  <c r="Q30" i="6"/>
  <c r="H29" i="6"/>
  <c r="H67" i="6"/>
  <c r="H66" i="6"/>
  <c r="Q26" i="6"/>
  <c r="P65" i="6"/>
  <c r="J66" i="6"/>
  <c r="L66" i="6" s="1"/>
  <c r="O66" i="6" s="1"/>
  <c r="J67" i="6"/>
  <c r="L67" i="6" s="1"/>
  <c r="O67" i="6" s="1"/>
  <c r="P67" i="6" s="1"/>
  <c r="J90" i="6"/>
  <c r="L90" i="6" s="1"/>
  <c r="O90" i="6" s="1"/>
  <c r="J91" i="6"/>
  <c r="L91" i="6" s="1"/>
  <c r="O91" i="6" s="1"/>
  <c r="J92" i="6"/>
  <c r="L92" i="6" s="1"/>
  <c r="O92" i="6" s="1"/>
  <c r="J62" i="6"/>
  <c r="L62" i="6" s="1"/>
  <c r="O62" i="6" s="1"/>
  <c r="J63" i="6"/>
  <c r="L63" i="6" s="1"/>
  <c r="O63" i="6" s="1"/>
  <c r="J64" i="6"/>
  <c r="L64" i="6" s="1"/>
  <c r="O64" i="6" s="1"/>
  <c r="P64" i="6" s="1"/>
  <c r="J65" i="6"/>
  <c r="L65" i="6" s="1"/>
  <c r="O65" i="6" s="1"/>
  <c r="H65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J61" i="6"/>
  <c r="L61" i="6" s="1"/>
  <c r="O61" i="6" s="1"/>
  <c r="P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J57" i="6"/>
  <c r="L57" i="6" s="1"/>
  <c r="O57" i="6" s="1"/>
  <c r="H58" i="6"/>
  <c r="H57" i="6"/>
  <c r="H55" i="6"/>
  <c r="H54" i="6"/>
  <c r="H53" i="6"/>
  <c r="H52" i="6"/>
  <c r="H51" i="6"/>
  <c r="H49" i="6"/>
  <c r="H48" i="6"/>
  <c r="H47" i="6"/>
  <c r="H50" i="6"/>
  <c r="H44" i="6"/>
  <c r="H43" i="6"/>
  <c r="H40" i="6"/>
  <c r="H41" i="6"/>
  <c r="H42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J53" i="6"/>
  <c r="L53" i="6" s="1"/>
  <c r="O53" i="6" s="1"/>
  <c r="J54" i="6"/>
  <c r="L54" i="6" s="1"/>
  <c r="O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J11" i="6"/>
  <c r="L11" i="6" s="1"/>
  <c r="O11" i="6" s="1"/>
  <c r="J12" i="6"/>
  <c r="L12" i="6" s="1"/>
  <c r="O12" i="6" s="1"/>
  <c r="J13" i="6"/>
  <c r="L13" i="6" s="1"/>
  <c r="O13" i="6" s="1"/>
  <c r="J14" i="6"/>
  <c r="L14" i="6" s="1"/>
  <c r="O14" i="6" s="1"/>
  <c r="P14" i="6" s="1"/>
  <c r="J15" i="6"/>
  <c r="L15" i="6" s="1"/>
  <c r="O15" i="6" s="1"/>
  <c r="J16" i="6"/>
  <c r="L16" i="6" s="1"/>
  <c r="O16" i="6" s="1"/>
  <c r="J17" i="6"/>
  <c r="L17" i="6" s="1"/>
  <c r="O17" i="6" s="1"/>
  <c r="J18" i="6"/>
  <c r="L18" i="6" s="1"/>
  <c r="O18" i="6" s="1"/>
  <c r="J19" i="6"/>
  <c r="L19" i="6" s="1"/>
  <c r="O19" i="6" s="1"/>
  <c r="J20" i="6"/>
  <c r="L20" i="6" s="1"/>
  <c r="O20" i="6" s="1"/>
  <c r="J21" i="6"/>
  <c r="L21" i="6" s="1"/>
  <c r="O21" i="6" s="1"/>
  <c r="J22" i="6"/>
  <c r="L22" i="6" s="1"/>
  <c r="O22" i="6" s="1"/>
  <c r="J23" i="6"/>
  <c r="L23" i="6" s="1"/>
  <c r="O23" i="6" s="1"/>
  <c r="L24" i="6"/>
  <c r="O24" i="6" s="1"/>
  <c r="J28" i="6"/>
  <c r="L28" i="6" s="1"/>
  <c r="O28" i="6" s="1"/>
  <c r="J29" i="6"/>
  <c r="L29" i="6" s="1"/>
  <c r="O29" i="6" s="1"/>
  <c r="Q29" i="6" s="1"/>
  <c r="J31" i="6"/>
  <c r="L31" i="6" s="1"/>
  <c r="O31" i="6" s="1"/>
  <c r="P31" i="6" s="1"/>
  <c r="J32" i="6"/>
  <c r="L32" i="6" s="1"/>
  <c r="O32" i="6" s="1"/>
  <c r="J33" i="6"/>
  <c r="L33" i="6" s="1"/>
  <c r="O33" i="6" s="1"/>
  <c r="J34" i="6"/>
  <c r="L34" i="6" s="1"/>
  <c r="O34" i="6" s="1"/>
  <c r="J35" i="6"/>
  <c r="L35" i="6" s="1"/>
  <c r="O35" i="6" s="1"/>
  <c r="J36" i="6"/>
  <c r="L36" i="6" s="1"/>
  <c r="O36" i="6" s="1"/>
  <c r="J37" i="6"/>
  <c r="L37" i="6" s="1"/>
  <c r="O37" i="6" s="1"/>
  <c r="J38" i="6"/>
  <c r="L38" i="6" s="1"/>
  <c r="O38" i="6" s="1"/>
  <c r="J39" i="6"/>
  <c r="L39" i="6" s="1"/>
  <c r="O39" i="6" s="1"/>
  <c r="P39" i="6" s="1"/>
  <c r="J40" i="6"/>
  <c r="L40" i="6" s="1"/>
  <c r="O40" i="6" s="1"/>
  <c r="J41" i="6"/>
  <c r="L41" i="6" s="1"/>
  <c r="O41" i="6" s="1"/>
  <c r="P41" i="6" s="1"/>
  <c r="J42" i="6"/>
  <c r="L42" i="6" s="1"/>
  <c r="O42" i="6" s="1"/>
  <c r="J43" i="6"/>
  <c r="L43" i="6" s="1"/>
  <c r="O43" i="6" s="1"/>
  <c r="J44" i="6"/>
  <c r="L44" i="6" s="1"/>
  <c r="O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L94" i="6" l="1"/>
  <c r="O72" i="6"/>
  <c r="P72" i="6" s="1"/>
  <c r="Q72" i="6" s="1"/>
  <c r="O73" i="6"/>
  <c r="P73" i="6" s="1"/>
  <c r="M71" i="6"/>
  <c r="M75" i="6"/>
  <c r="O75" i="6" s="1"/>
  <c r="P75" i="6" s="1"/>
  <c r="Q75" i="6" s="1"/>
  <c r="M74" i="6"/>
  <c r="O74" i="6" s="1"/>
  <c r="P74" i="6" s="1"/>
  <c r="O76" i="6"/>
  <c r="P76" i="6" s="1"/>
  <c r="Q76" i="6" s="1"/>
  <c r="O71" i="6"/>
  <c r="P71" i="6" s="1"/>
  <c r="P27" i="6"/>
  <c r="M6" i="6"/>
  <c r="M94" i="6" s="1"/>
  <c r="M7" i="6"/>
  <c r="O7" i="6" s="1"/>
  <c r="I5" i="4"/>
  <c r="I6" i="4"/>
  <c r="I92" i="4"/>
  <c r="I91" i="4"/>
  <c r="E2" i="2"/>
  <c r="Q94" i="6" l="1"/>
  <c r="R97" i="6"/>
  <c r="O6" i="6"/>
  <c r="P6" i="6" s="1"/>
  <c r="O94" i="6"/>
  <c r="P7" i="6"/>
  <c r="P94" i="6" s="1"/>
  <c r="R96" i="6" s="1"/>
  <c r="R9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<sst xmlns="http://schemas.openxmlformats.org/spreadsheetml/2006/main" count="1729" uniqueCount="502">
  <si>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</si>
  <si>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</si>
  <si>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</si>
  <si>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</si>
  <si>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</si>
  <si>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</si>
  <si>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</si>
  <si>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</si>
  <si>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</si>
  <si>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</si>
  <si>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</si>
  <si>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</si>
  <si>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</si>
  <si>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</si>
  <si>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</si>
  <si>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</si>
  <si>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</si>
  <si>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</si>
  <si>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</si>
  <si>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</si>
  <si>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</si>
  <si>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</si>
  <si>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</si>
  <si>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</si>
  <si>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</si>
  <si>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</si>
  <si>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</si>
  <si>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</si>
  <si>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</si>
  <si>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</si>
  <si>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</si>
  <si>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</si>
  <si>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</si>
  <si>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</si>
  <si>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</si>
  <si>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</si>
  <si>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</si>
  <si>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</si>
  <si>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</si>
  <si>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</si>
  <si>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</si>
  <si>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</si>
  <si>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</si>
  <si>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</si>
  <si>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</si>
  <si>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</si>
  <si>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</si>
  <si>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</si>
  <si>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</si>
  <si>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</si>
  <si>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</si>
  <si>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</si>
  <si>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</si>
  <si>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</si>
  <si>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</si>
  <si>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</si>
  <si>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</si>
  <si>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</si>
  <si>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</si>
  <si>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</si>
  <si>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</si>
  <si>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</si>
  <si>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</si>
  <si>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</si>
  <si>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</si>
  <si>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</si>
  <si>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</si>
  <si>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</si>
  <si>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</si>
  <si>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</si>
  <si>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</si>
  <si>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</si>
  <si>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</si>
  <si>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</si>
  <si>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</si>
  <si>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</si>
  <si>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</si>
  <si>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</si>
  <si>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</si>
  <si>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</si>
  <si>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</si>
  <si>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</si>
  <si>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</si>
  <si>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</si>
  <si>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</si>
  <si>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</si>
  <si>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</si>
  <si>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</si>
  <si>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</si>
  <si>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</si>
  <si>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</si>
  <si>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</si>
  <si>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</si>
  <si>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</si>
  <si>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</si>
  <si>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</si>
  <si>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</si>
  <si>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</si>
  <si>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</si>
  <si>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</si>
  <si>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</si>
  <si>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</si>
  <si>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</si>
  <si>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</si>
  <si>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</si>
  <si>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</si>
  <si>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</si>
  <si>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</si>
  <si>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</si>
  <si>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</si>
  <si>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</si>
  <si>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</si>
  <si>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</si>
  <si>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</si>
  <si>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</si>
  <si>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</si>
  <si>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</si>
  <si>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</si>
  <si>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</si>
  <si>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</si>
  <si>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</si>
  <si>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</si>
  <si>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</si>
  <si>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</si>
  <si>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</si>
  <si>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</si>
  <si>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</si>
  <si>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</si>
  <si>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</si>
  <si>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</si>
  <si>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</si>
  <si>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</si>
  <si>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</si>
  <si>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</si>
  <si>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</si>
  <si>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</si>
  <si>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</si>
  <si>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</si>
  <si>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</si>
  <si>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</si>
  <si>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</si>
  <si>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</si>
  <si>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</si>
  <si>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</si>
  <si>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</si>
  <si>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</si>
  <si>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</si>
  <si>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</si>
  <si>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</si>
  <si>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</si>
  <si>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</si>
  <si>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</si>
  <si>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</si>
  <si>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</si>
  <si>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</si>
  <si>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</si>
  <si>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</si>
  <si>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</si>
  <si>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</si>
  <si>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</si>
  <si>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</si>
  <si>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</si>
  <si>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</si>
  <si>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</si>
  <si>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</si>
  <si>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</si>
  <si>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</si>
  <si>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</si>
  <si>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</si>
  <si>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</si>
  <si>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</si>
  <si>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</si>
  <si>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</si>
  <si>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</si>
  <si>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</si>
  <si>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</si>
  <si>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</si>
  <si>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</si>
  <si>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</si>
  <si>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</si>
  <si>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</si>
  <si>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</si>
  <si>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</si>
  <si>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</si>
  <si>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</si>
  <si>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</si>
  <si>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</si>
  <si>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</si>
  <si>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</si>
  <si>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</si>
  <si>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</si>
  <si>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</si>
  <si>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</si>
  <si>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</si>
  <si>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</si>
  <si>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</si>
  <si>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</si>
  <si>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</si>
  <si>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</si>
  <si>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</si>
  <si>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</si>
  <si>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</si>
  <si>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</si>
  <si>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</si>
  <si>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</si>
  <si>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</si>
  <si>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</si>
  <si>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</si>
  <si>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</si>
  <si>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</si>
  <si>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</si>
  <si>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</si>
  <si>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</si>
  <si>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</si>
  <si>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</si>
  <si>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</si>
  <si>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</si>
  <si>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</si>
  <si>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</si>
  <si>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</si>
  <si>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</si>
  <si>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</si>
  <si>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</si>
  <si>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</si>
  <si>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</si>
  <si>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</si>
  <si>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</si>
  <si>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</si>
  <si>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</si>
  <si>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</si>
  <si>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</si>
  <si>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</si>
  <si>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</si>
  <si>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</si>
  <si>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</si>
  <si>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</si>
  <si>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</si>
  <si>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</si>
  <si>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</si>
  <si>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</si>
  <si>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</si>
  <si>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</si>
  <si>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</si>
  <si>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</si>
  <si>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</si>
  <si>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</si>
  <si>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</si>
  <si>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</si>
  <si>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</si>
  <si>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</si>
  <si>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</si>
  <si>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</si>
  <si>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</si>
  <si>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</si>
  <si>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</si>
  <si>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</si>
  <si>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</si>
  <si>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</si>
  <si>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</si>
  <si>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</si>
  <si>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</si>
  <si>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</si>
  <si>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</si>
  <si>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</si>
  <si>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</si>
  <si>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</si>
  <si>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</si>
  <si>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</si>
  <si>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</si>
  <si>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</si>
  <si>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</si>
  <si>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</si>
  <si>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</si>
  <si>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</si>
  <si>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</si>
  <si>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</si>
  <si>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</si>
  <si>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</si>
  <si>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</si>
  <si>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</si>
  <si>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</si>
  <si>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</si>
  <si>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</si>
  <si>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</si>
  <si>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</si>
  <si>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</si>
  <si>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</si>
  <si>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</si>
  <si>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</si>
  <si>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</si>
  <si>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</si>
  <si>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</si>
  <si>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</si>
  <si>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</si>
  <si>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</si>
  <si>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</si>
  <si>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</si>
  <si>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</si>
  <si>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</si>
  <si>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</si>
  <si>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</si>
  <si>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</si>
  <si>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</si>
  <si>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</si>
  <si>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</si>
  <si>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</si>
  <si>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</si>
  <si>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</si>
  <si>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</si>
  <si>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</si>
  <si>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</si>
  <si>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</si>
  <si>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</si>
  <si>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</si>
  <si>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</si>
  <si>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</si>
  <si>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</si>
  <si>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</si>
  <si>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</si>
  <si>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</si>
  <si>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</si>
  <si>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</si>
  <si>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</si>
  <si>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</si>
  <si>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</si>
  <si>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</si>
  <si>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</si>
  <si>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</si>
  <si>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</si>
  <si>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</si>
  <si>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</si>
  <si>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</si>
  <si>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</si>
  <si>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</si>
  <si>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</si>
  <si>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</si>
  <si>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</si>
  <si>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</si>
  <si>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</si>
  <si>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</si>
  <si>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</si>
  <si>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</si>
  <si>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</si>
  <si>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</si>
  <si>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</si>
  <si>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</si>
  <si>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</si>
  <si>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</si>
  <si>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</si>
  <si>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</si>
  <si>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</si>
  <si>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</si>
  <si>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</si>
  <si>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</si>
  <si>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</si>
  <si>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</si>
  <si>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</si>
  <si>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</si>
  <si>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</si>
  <si>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</si>
  <si>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</si>
  <si>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</si>
  <si>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</si>
  <si>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</si>
  <si>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</si>
  <si>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</si>
  <si>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</si>
  <si>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</si>
  <si>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</si>
  <si>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</si>
  <si>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</si>
  <si>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</si>
  <si>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</si>
  <si>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</si>
  <si>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</si>
  <si>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</si>
  <si>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</si>
  <si>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</si>
  <si>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</si>
  <si>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</si>
  <si>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</si>
  <si>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</si>
  <si>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</si>
  <si>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</si>
  <si>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</si>
  <si>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</si>
  <si>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</si>
  <si>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</si>
  <si>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</si>
  <si>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</si>
  <si>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</si>
  <si>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</si>
  <si>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</si>
  <si>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</si>
  <si>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Only black avail. from West3D. Wait for clear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</si>
  <si>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</si>
  <si>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</si>
  <si>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</si>
  <si>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</si>
  <si>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</si>
  <si>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350mm clear is $48.99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</si>
  <si>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</si>
  <si>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</si>
  <si>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</si>
  <si>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</si>
  <si>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</si>
  <si>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</si>
  <si>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350mm square  heating pad is $79.99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</si>
  <si>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</si>
  <si>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</si>
  <si>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</si>
  <si>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</si>
  <si>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</si>
  <si>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</si>
  <si>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</si>
  <si>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</si>
  <si>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</si>
  <si>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</si>
  <si>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</si>
  <si>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</si>
  <si>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</si>
  <si>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</si>
  <si>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</si>
  <si>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</si>
  <si>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</si>
  <si>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</si>
  <si>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</si>
  <si>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</si>
  <si>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</si>
  <si>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</si>
  <si>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</si>
  <si>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</si>
  <si>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</si>
  <si>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</si>
  <si>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</si>
  <si>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</si>
  <si>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</si>
  <si>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</si>
  <si>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</si>
  <si>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</si>
  <si>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</si>
  <si>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</si>
  <si>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</si>
  <si>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</si>
  <si>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</si>
  <si>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</si>
  <si>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</si>
  <si>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</si>
  <si>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</si>
  <si>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</si>
  <si>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</si>
  <si>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</si>
  <si>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</si>
  <si>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</si>
  <si>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</si>
  <si>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</si>
  <si>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</si>
  <si>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</si>
  <si>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</si>
  <si>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</si>
  <si>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</si>
  <si>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</si>
  <si>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</si>
  <si>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</si>
  <si>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</si>
  <si>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</si>
  <si>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Accidentally bought the Z PCB. I originally planned on buying the Omron Mouse Button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</si>
  <si>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</si>
  <si>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</si>
  <si>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</si>
  <si>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</si>
  <si>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TWW-KF-VORON-6
Direct from TWW account</t>
  </si>
  <si>
    <t>TWW-KF-VORON-6</t>
  </si>
  <si>
    <t>Mandala Roseworks The "Gripper" E3DV6 Wrench</t>
  </si>
  <si>
    <t>Layerneer Bed Weld - Original 3D printing adhesive</t>
  </si>
  <si>
    <t>Purchased from Amazon</t>
  </si>
  <si>
    <t>Tool. Not just for Voron though.
Purchase through Mandala Roseworks - Shop store</t>
  </si>
  <si>
    <t>TWW-KF-VORON-7
Direct from TWW account</t>
  </si>
  <si>
    <t>TWW-KF-VORON-8
Direct from TWW account</t>
  </si>
  <si>
    <t>Voron Tap - rail w/ optotap v2 (5-24v) and HW kit; from DFH</t>
  </si>
  <si>
    <t>Not required but highly recommended
Shipping is split between orders.
Purchased from Mandala Roseworks - Shop store</t>
  </si>
  <si>
    <t>Nightlight on a stick - LED Strip; from DFH</t>
  </si>
  <si>
    <t>Disco stick on black PCB - LED Strip; from DFH</t>
  </si>
  <si>
    <t>Daylight on a stick on black PCB; from DFH</t>
  </si>
  <si>
    <t>OV5640 Camera Module; from DFH</t>
  </si>
  <si>
    <t>Seeeduino XIAO; from DFH</t>
  </si>
  <si>
    <t>Optional add-on
Purchased from DFH - Shop store</t>
  </si>
  <si>
    <t>TWW-KF-VORON-9
Direct from TWW account</t>
  </si>
  <si>
    <t>TWW-KF-VORON-9</t>
  </si>
  <si>
    <t>Bought for other projects
Purchased from DFH - Shop store</t>
  </si>
  <si>
    <t>Not all for Voron. LED controller and other projects
Purchased from DFH - Shop store</t>
  </si>
  <si>
    <t>TWW-KF-VORON-2
Pay Apple CC from TWW account</t>
  </si>
  <si>
    <t>Shipping is split between items. 
Purchased from DFH - Shop store</t>
  </si>
  <si>
    <t>Shipping is split between items.
Purchased from Mandala Roseworks - Shop store</t>
  </si>
  <si>
    <t>Voron Txn 7 (TWW-KF-VORON-7)
TWW Kids fund (proj. voron): $35.27 on 12/05/2022
total shipping: $6.27</t>
  </si>
  <si>
    <t>Voron Txn 6 (TWW-KF-VORON-6) 
TWW Kids fund (proj. voron): $131.12 on 12/05/2022
total shipping: $8.12</t>
  </si>
  <si>
    <t>Voron Txn 1 (TWW-KF-VORON-1)
TWW Kids fund (proj. voron): $71.98 on 10/07/2022
Voron Txn 5 (TWW-KF-VORON-5)
TWW Kids fund (proj. voron): $136.98 on 12/02/2022</t>
  </si>
  <si>
    <t>Voron Txn 8 (TWW-KF-VORON-8)
TWW Kids fund (proj. voron): $22.95 on 12/05/2022</t>
  </si>
  <si>
    <t>Voron Txn 9 (TWW-KF-VORON-9)
TWW Kids fund (proj. voron): $182.63 on 12/08/2022
total shipping: $20.18; total discount: $18.05</t>
  </si>
  <si>
    <t>Voron Txn 2 (TWW-KF-VORON-2)
TWW Kids fund (proj. voron): $146.82 on 10/24/2022
total shipping: $41.82</t>
  </si>
  <si>
    <t>Voron Txn 4 (TWW-KF-VORON-4)
TWW Kids fund (proj. voron): $543.42 on 12/02/2022</t>
  </si>
  <si>
    <t>Voron Txn 3 (TWW-KF-VORON-3)
TWW Kids fund (proj. voron): $530.90 on 11/11/2022
total shipping: $10.00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</si>
</sst>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9" fillId="0" borderId="23" xfId="0" applyFont="1" applyBorder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right" vertical="center" wrapText="1"/>
    </xf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st3d.com/products/voron-2-4-motor-kit-by-omc-steppersonline?_pos=1&amp;_sid=dd1f4dbfe&amp;_ss=r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102" Type="http://schemas.openxmlformats.org/officeDocument/2006/relationships/hyperlink" Target="https://dfh.fm/products/daylight-on-a-stick-by-bartlammers?variant=43155177308382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www.amazon.com/Printer-Adhesive-Layerneer-Original-Filament/dp/B079984GV5/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59" Type="http://schemas.openxmlformats.org/officeDocument/2006/relationships/hyperlink" Target="https://west3d.com/products/voron-2-4-motor-kit-by-ldo-motors" TargetMode="External"/><Relationship Id="rId67" Type="http://schemas.openxmlformats.org/officeDocument/2006/relationships/hyperlink" Target="https://west3d.com/products/bowden-coupler-for-4mm-od-ptfe-tube" TargetMode="External"/><Relationship Id="rId103" Type="http://schemas.openxmlformats.org/officeDocument/2006/relationships/vmlDrawing" Target="../drawings/vmlDrawing1.vm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62" Type="http://schemas.openxmlformats.org/officeDocument/2006/relationships/hyperlink" Target="https://west3d.com/products/btt-pi4b-adapter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mandalaroseworks.com/products/matched-height-kinematic-kit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49" Type="http://schemas.openxmlformats.org/officeDocument/2006/relationships/hyperlink" Target="https://west3d.com/products/voron-2-4-acrylic-panels?variant=41213966287016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94" Type="http://schemas.openxmlformats.org/officeDocument/2006/relationships/hyperlink" Target="https://mandalaroseworks.com/products/the-gripper-e3dv6-wrench" TargetMode="External"/><Relationship Id="rId99" Type="http://schemas.openxmlformats.org/officeDocument/2006/relationships/hyperlink" Target="https://dfh.fm/products/disco-stick?variant=43340754976990" TargetMode="External"/><Relationship Id="rId101" Type="http://schemas.openxmlformats.org/officeDocument/2006/relationships/hyperlink" Target="https://dfh.fm/products/seeeduino-xiao'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hyperlink" Target="https://dfh.fm/products/voron-tap?variant=43703614341342" TargetMode="External"/><Relationship Id="rId104" Type="http://schemas.openxmlformats.org/officeDocument/2006/relationships/comments" Target="../comments1.xm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100" Type="http://schemas.openxmlformats.org/officeDocument/2006/relationships/hyperlink" Target="https://dfh.fm/products/ov5640-camera-module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hyperlink" Target="https://dfh.fm/products/nightlight-on-a-stick-by-bartlammers" TargetMode="External"/><Relationship Id="rId3" Type="http://schemas.openxmlformats.org/officeDocument/2006/relationships/hyperlink" Target="https://west3d.com/products/west3d-stainless-steel-fastener-kit-for-voron-2-4-bdf?variant=4109134561296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2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2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3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3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11"/>
  <sheetViews>
    <sheetView tabSelected="1" zoomScale="110" zoomScaleNormal="110" workbookViewId="0">
      <pane xSplit="7" ySplit="2" topLeftCell="M57" activePane="bottomRight" state="frozen"/>
      <selection pane="topRight" activeCell="H1" sqref="H1"/>
      <selection pane="bottomLeft" activeCell="A3" sqref="A3"/>
      <selection pane="bottomRight" activeCell="E85" sqref="E85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5" customWidth="1"/>
    <col min="31" max="16384" width="10.83203125" style="21"/>
  </cols>
  <sheetData>
    <row r="1" spans="1:30" ht="24" customHeight="1">
      <c r="A1" s="133" t="s">
        <v>293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</row>
    <row r="2" spans="1:30" s="92" customFormat="1" ht="23" customHeight="1" thickBot="1">
      <c r="A2" s="93" t="s">
        <v>1</v>
      </c>
      <c r="B2" s="93" t="s">
        <v>294</v>
      </c>
      <c r="C2" s="93" t="s">
        <v>295</v>
      </c>
      <c r="D2" s="93" t="s">
        <v>377</v>
      </c>
      <c r="E2" s="93" t="s">
        <v>296</v>
      </c>
      <c r="F2" s="93" t="s">
        <v>368</v>
      </c>
      <c r="G2" s="93" t="s">
        <v>369</v>
      </c>
      <c r="H2" s="94" t="s">
        <v>370</v>
      </c>
      <c r="I2" s="95" t="s">
        <v>3</v>
      </c>
      <c r="J2" s="95" t="s">
        <v>375</v>
      </c>
      <c r="K2" s="96" t="s">
        <v>125</v>
      </c>
      <c r="L2" s="96" t="s">
        <v>374</v>
      </c>
      <c r="M2" s="96" t="s">
        <v>143</v>
      </c>
      <c r="N2" s="96" t="s">
        <v>373</v>
      </c>
      <c r="O2" s="96" t="s">
        <v>126</v>
      </c>
      <c r="P2" s="96" t="s">
        <v>139</v>
      </c>
      <c r="Q2" s="95" t="s">
        <v>445</v>
      </c>
      <c r="R2" s="95" t="s">
        <v>391</v>
      </c>
      <c r="S2" s="97" t="s">
        <v>276</v>
      </c>
      <c r="T2" s="98" t="s">
        <v>277</v>
      </c>
    </row>
    <row r="3" spans="1:30" ht="32" thickTop="1" thickBot="1">
      <c r="A3" s="58" t="s">
        <v>297</v>
      </c>
      <c r="B3" s="67">
        <v>0</v>
      </c>
      <c r="C3" s="67" t="s">
        <v>298</v>
      </c>
      <c r="D3" s="67"/>
      <c r="E3" s="61" t="s">
        <v>297</v>
      </c>
      <c r="F3" s="58"/>
      <c r="G3" s="58"/>
      <c r="H3" s="80" t="s">
        <v>371</v>
      </c>
      <c r="I3" s="76" t="s">
        <v>437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6"/>
      <c r="R3" s="63" t="s">
        <v>443</v>
      </c>
      <c r="S3" s="99"/>
      <c r="T3" s="100"/>
      <c r="AD3" s="84" t="s">
        <v>434</v>
      </c>
    </row>
    <row r="4" spans="1:30" ht="45">
      <c r="A4" s="103" t="s">
        <v>299</v>
      </c>
      <c r="B4" s="104">
        <v>1</v>
      </c>
      <c r="C4" s="104" t="s">
        <v>298</v>
      </c>
      <c r="D4" s="104"/>
      <c r="E4" s="103" t="s">
        <v>300</v>
      </c>
      <c r="F4" s="105" t="s">
        <v>301</v>
      </c>
      <c r="G4" s="105"/>
      <c r="H4" s="106" t="str">
        <f>E4</f>
        <v>West3D BDF Stainless Steel Fasteners - Stainless Steel Hammer Head Upgrade</v>
      </c>
      <c r="I4" s="107"/>
      <c r="J4" s="108">
        <f>B4</f>
        <v>1</v>
      </c>
      <c r="K4" s="109">
        <v>84.99</v>
      </c>
      <c r="L4" s="109">
        <f t="shared" ref="L4:L47" si="0">J4*K4</f>
        <v>84.99</v>
      </c>
      <c r="M4" s="109">
        <v>0</v>
      </c>
      <c r="N4" s="109">
        <v>0</v>
      </c>
      <c r="O4" s="109">
        <f t="shared" ref="O4:O47" si="1">L4+M4+N4</f>
        <v>84.99</v>
      </c>
      <c r="P4" s="109">
        <f t="shared" ref="P4:P10" si="2">O4</f>
        <v>84.99</v>
      </c>
      <c r="Q4" s="107"/>
      <c r="R4" s="108" t="s">
        <v>392</v>
      </c>
      <c r="S4" s="110" t="s">
        <v>501</v>
      </c>
      <c r="T4" s="111" t="s">
        <v>453</v>
      </c>
      <c r="AD4" s="87" t="s">
        <v>280</v>
      </c>
    </row>
    <row r="5" spans="1:30" ht="30">
      <c r="A5" s="118" t="s">
        <v>302</v>
      </c>
      <c r="B5" s="127">
        <v>1</v>
      </c>
      <c r="C5" s="127" t="s">
        <v>298</v>
      </c>
      <c r="D5" s="127"/>
      <c r="E5" s="118" t="s">
        <v>303</v>
      </c>
      <c r="F5" s="118" t="s">
        <v>304</v>
      </c>
      <c r="G5" s="118" t="s">
        <v>305</v>
      </c>
      <c r="H5" s="129" t="str">
        <f>G5</f>
        <v>POWGE Motion Black</v>
      </c>
      <c r="I5" s="122" t="s">
        <v>463</v>
      </c>
      <c r="J5" s="119">
        <f>B5</f>
        <v>1</v>
      </c>
      <c r="K5" s="123">
        <v>144.99</v>
      </c>
      <c r="L5" s="123">
        <f t="shared" si="0"/>
        <v>144.99</v>
      </c>
      <c r="M5" s="123">
        <v>0</v>
      </c>
      <c r="N5" s="123">
        <v>0</v>
      </c>
      <c r="O5" s="123">
        <f t="shared" si="1"/>
        <v>144.99</v>
      </c>
      <c r="P5" s="123">
        <f t="shared" si="2"/>
        <v>144.99</v>
      </c>
      <c r="Q5" s="124"/>
      <c r="R5" s="119" t="s">
        <v>280</v>
      </c>
      <c r="S5" s="125" t="s">
        <v>500</v>
      </c>
      <c r="T5" s="126" t="s">
        <v>465</v>
      </c>
      <c r="AD5" s="87" t="s">
        <v>435</v>
      </c>
    </row>
    <row r="6" spans="1:30" ht="45">
      <c r="A6" s="103" t="s">
        <v>306</v>
      </c>
      <c r="B6" s="104">
        <v>6</v>
      </c>
      <c r="C6" s="104" t="s">
        <v>298</v>
      </c>
      <c r="D6" s="104"/>
      <c r="E6" s="103" t="s">
        <v>307</v>
      </c>
      <c r="F6" s="103" t="s">
        <v>308</v>
      </c>
      <c r="G6" s="103" t="s">
        <v>427</v>
      </c>
      <c r="H6" s="112" t="str">
        <f>G6</f>
        <v>RobotDigg GS_MGN9-1H-B400 (black anodized)</v>
      </c>
      <c r="I6" s="107" t="s">
        <v>429</v>
      </c>
      <c r="J6" s="108">
        <f>B6</f>
        <v>6</v>
      </c>
      <c r="K6" s="109">
        <v>15</v>
      </c>
      <c r="L6" s="109">
        <f t="shared" si="0"/>
        <v>90</v>
      </c>
      <c r="M6" s="109">
        <f>(41.82/($J$6+$J$7))*J6</f>
        <v>35.845714285714287</v>
      </c>
      <c r="N6" s="109">
        <v>0</v>
      </c>
      <c r="O6" s="109">
        <f t="shared" si="1"/>
        <v>125.84571428571428</v>
      </c>
      <c r="P6" s="109">
        <f t="shared" si="2"/>
        <v>125.84571428571428</v>
      </c>
      <c r="Q6" s="107"/>
      <c r="R6" s="108" t="s">
        <v>392</v>
      </c>
      <c r="S6" s="110" t="s">
        <v>499</v>
      </c>
      <c r="T6" s="111" t="s">
        <v>491</v>
      </c>
      <c r="AD6" s="87" t="s">
        <v>392</v>
      </c>
    </row>
    <row r="7" spans="1:30" ht="30">
      <c r="A7" s="103" t="s">
        <v>309</v>
      </c>
      <c r="B7" s="104">
        <v>1</v>
      </c>
      <c r="C7" s="104" t="s">
        <v>298</v>
      </c>
      <c r="D7" s="104"/>
      <c r="E7" s="103" t="s">
        <v>310</v>
      </c>
      <c r="F7" s="103" t="s">
        <v>311</v>
      </c>
      <c r="G7" s="103" t="s">
        <v>428</v>
      </c>
      <c r="H7" s="112" t="str">
        <f>G7</f>
        <v>RobotDigg GS_MGN12-1H-B400 (black anodized)</v>
      </c>
      <c r="I7" s="107" t="s">
        <v>429</v>
      </c>
      <c r="J7" s="108">
        <f>B7</f>
        <v>1</v>
      </c>
      <c r="K7" s="109">
        <v>15</v>
      </c>
      <c r="L7" s="109">
        <f t="shared" si="0"/>
        <v>15</v>
      </c>
      <c r="M7" s="109">
        <f>(41.82/($J$6+$J$7))*J7</f>
        <v>5.9742857142857142</v>
      </c>
      <c r="N7" s="109">
        <v>0</v>
      </c>
      <c r="O7" s="109">
        <f t="shared" si="1"/>
        <v>20.974285714285713</v>
      </c>
      <c r="P7" s="109">
        <f t="shared" si="2"/>
        <v>20.974285714285713</v>
      </c>
      <c r="Q7" s="107"/>
      <c r="R7" s="108" t="s">
        <v>392</v>
      </c>
      <c r="S7" s="110" t="s">
        <v>284</v>
      </c>
      <c r="T7" s="111" t="s">
        <v>491</v>
      </c>
      <c r="AD7" s="87" t="s">
        <v>436</v>
      </c>
    </row>
    <row r="8" spans="1:30">
      <c r="A8" s="118" t="s">
        <v>312</v>
      </c>
      <c r="B8" s="127">
        <v>4</v>
      </c>
      <c r="C8" s="127" t="s">
        <v>313</v>
      </c>
      <c r="D8" s="127"/>
      <c r="E8" s="128"/>
      <c r="F8" s="128"/>
      <c r="G8" s="128"/>
      <c r="H8" s="129" t="str">
        <f>A8</f>
        <v>Updated Rubber Feet for V2.4</v>
      </c>
      <c r="I8" s="122" t="s">
        <v>454</v>
      </c>
      <c r="J8" s="119">
        <v>1</v>
      </c>
      <c r="K8" s="123">
        <v>8.99</v>
      </c>
      <c r="L8" s="123">
        <f t="shared" si="0"/>
        <v>8.99</v>
      </c>
      <c r="M8" s="123">
        <v>0</v>
      </c>
      <c r="N8" s="123">
        <v>0</v>
      </c>
      <c r="O8" s="123">
        <f t="shared" si="1"/>
        <v>8.99</v>
      </c>
      <c r="P8" s="123">
        <f t="shared" si="2"/>
        <v>8.99</v>
      </c>
      <c r="Q8" s="124"/>
      <c r="R8" s="119" t="s">
        <v>280</v>
      </c>
      <c r="S8" s="125" t="s">
        <v>464</v>
      </c>
      <c r="T8" s="126" t="s">
        <v>464</v>
      </c>
      <c r="AD8" s="87" t="s">
        <v>443</v>
      </c>
    </row>
    <row r="9" spans="1:30" ht="30">
      <c r="A9" s="118" t="s">
        <v>314</v>
      </c>
      <c r="B9" s="127">
        <v>1</v>
      </c>
      <c r="C9" s="127" t="s">
        <v>298</v>
      </c>
      <c r="D9" s="127"/>
      <c r="E9" s="118" t="s">
        <v>315</v>
      </c>
      <c r="F9" s="118" t="s">
        <v>372</v>
      </c>
      <c r="G9" s="128"/>
      <c r="H9" s="129" t="str">
        <f>A9</f>
        <v>Z PCB</v>
      </c>
      <c r="I9" s="122" t="s">
        <v>466</v>
      </c>
      <c r="J9" s="119">
        <f t="shared" ref="J9:J23" si="3">B9</f>
        <v>1</v>
      </c>
      <c r="K9" s="123">
        <v>4</v>
      </c>
      <c r="L9" s="123">
        <f t="shared" si="0"/>
        <v>4</v>
      </c>
      <c r="M9" s="123">
        <v>0</v>
      </c>
      <c r="N9" s="123">
        <v>0</v>
      </c>
      <c r="O9" s="123">
        <f t="shared" si="1"/>
        <v>4</v>
      </c>
      <c r="P9" s="123">
        <f t="shared" si="2"/>
        <v>4</v>
      </c>
      <c r="Q9" s="124"/>
      <c r="R9" s="119" t="s">
        <v>280</v>
      </c>
      <c r="S9" s="125" t="s">
        <v>464</v>
      </c>
      <c r="T9" s="126" t="s">
        <v>464</v>
      </c>
      <c r="AD9" s="87" t="s">
        <v>444</v>
      </c>
    </row>
    <row r="10" spans="1:30" ht="17" thickBot="1">
      <c r="A10" s="118" t="s">
        <v>316</v>
      </c>
      <c r="B10" s="127">
        <v>1</v>
      </c>
      <c r="C10" s="127" t="s">
        <v>298</v>
      </c>
      <c r="D10" s="127"/>
      <c r="E10" s="118" t="s">
        <v>317</v>
      </c>
      <c r="F10" s="118" t="s">
        <v>318</v>
      </c>
      <c r="G10" s="128"/>
      <c r="H10" s="129" t="str">
        <f>A10</f>
        <v>XY Microswitch PCB</v>
      </c>
      <c r="I10" s="122"/>
      <c r="J10" s="119">
        <f t="shared" si="3"/>
        <v>1</v>
      </c>
      <c r="K10" s="123">
        <v>6.49</v>
      </c>
      <c r="L10" s="123">
        <f t="shared" si="0"/>
        <v>6.49</v>
      </c>
      <c r="M10" s="123">
        <v>0</v>
      </c>
      <c r="N10" s="123">
        <v>0</v>
      </c>
      <c r="O10" s="123">
        <f t="shared" si="1"/>
        <v>6.49</v>
      </c>
      <c r="P10" s="123">
        <f t="shared" si="2"/>
        <v>6.49</v>
      </c>
      <c r="Q10" s="124"/>
      <c r="R10" s="119" t="s">
        <v>280</v>
      </c>
      <c r="S10" s="125" t="s">
        <v>464</v>
      </c>
      <c r="T10" s="126" t="s">
        <v>464</v>
      </c>
      <c r="AD10" s="88"/>
    </row>
    <row r="11" spans="1:30" ht="17" thickTop="1">
      <c r="A11" s="61" t="s">
        <v>319</v>
      </c>
      <c r="B11" s="67">
        <v>1</v>
      </c>
      <c r="C11" s="67" t="s">
        <v>313</v>
      </c>
      <c r="D11" s="67"/>
      <c r="E11" s="61" t="s">
        <v>320</v>
      </c>
      <c r="F11" s="58"/>
      <c r="G11" s="58"/>
      <c r="H11" s="81" t="str">
        <f>E11</f>
        <v>Klicky Probe (Complete)</v>
      </c>
      <c r="I11" s="76"/>
      <c r="J11" s="63">
        <f t="shared" si="3"/>
        <v>1</v>
      </c>
      <c r="K11" s="64">
        <v>27.99</v>
      </c>
      <c r="L11" s="64">
        <f t="shared" si="0"/>
        <v>27.99</v>
      </c>
      <c r="M11" s="64"/>
      <c r="N11" s="64"/>
      <c r="O11" s="64">
        <f t="shared" si="1"/>
        <v>27.99</v>
      </c>
      <c r="P11" s="64"/>
      <c r="Q11" s="76"/>
      <c r="R11" s="63"/>
      <c r="S11" s="99"/>
      <c r="T11" s="100"/>
    </row>
    <row r="12" spans="1:30">
      <c r="A12" s="61" t="s">
        <v>321</v>
      </c>
      <c r="B12" s="67">
        <v>1</v>
      </c>
      <c r="C12" s="67" t="s">
        <v>313</v>
      </c>
      <c r="D12" s="67"/>
      <c r="E12" s="58"/>
      <c r="F12" s="58"/>
      <c r="G12" s="58"/>
      <c r="H12" s="81" t="str">
        <f>A12</f>
        <v>Bat85 Diode</v>
      </c>
      <c r="I12" s="76"/>
      <c r="J12" s="63">
        <f t="shared" si="3"/>
        <v>1</v>
      </c>
      <c r="K12" s="64">
        <v>0.99</v>
      </c>
      <c r="L12" s="64">
        <f t="shared" si="0"/>
        <v>0.99</v>
      </c>
      <c r="M12" s="64"/>
      <c r="N12" s="64"/>
      <c r="O12" s="64">
        <f t="shared" si="1"/>
        <v>0.99</v>
      </c>
      <c r="P12" s="64"/>
      <c r="Q12" s="76"/>
      <c r="R12" s="63"/>
      <c r="S12" s="99"/>
      <c r="T12" s="100"/>
    </row>
    <row r="13" spans="1:30">
      <c r="A13" s="61" t="s">
        <v>322</v>
      </c>
      <c r="B13" s="67">
        <v>1</v>
      </c>
      <c r="C13" s="67" t="s">
        <v>298</v>
      </c>
      <c r="D13" s="67"/>
      <c r="E13" s="61" t="s">
        <v>323</v>
      </c>
      <c r="F13" s="58"/>
      <c r="G13" s="58"/>
      <c r="H13" s="81" t="str">
        <f>E13</f>
        <v>Omron G3NA-210B-DC5 10A SSR</v>
      </c>
      <c r="I13" s="77"/>
      <c r="J13" s="63">
        <f t="shared" si="3"/>
        <v>1</v>
      </c>
      <c r="K13" s="64">
        <v>28.99</v>
      </c>
      <c r="L13" s="64">
        <f t="shared" si="0"/>
        <v>28.99</v>
      </c>
      <c r="M13" s="64"/>
      <c r="N13" s="64"/>
      <c r="O13" s="64">
        <f t="shared" si="1"/>
        <v>28.99</v>
      </c>
      <c r="P13" s="64"/>
      <c r="Q13" s="76"/>
      <c r="R13" s="63"/>
      <c r="S13" s="99"/>
      <c r="T13" s="100"/>
    </row>
    <row r="14" spans="1:30">
      <c r="A14" s="103" t="s">
        <v>324</v>
      </c>
      <c r="B14" s="104">
        <v>1</v>
      </c>
      <c r="C14" s="104" t="s">
        <v>298</v>
      </c>
      <c r="D14" s="104"/>
      <c r="E14" s="103" t="s">
        <v>325</v>
      </c>
      <c r="F14" s="105"/>
      <c r="G14" s="105"/>
      <c r="H14" s="106" t="str">
        <f>E14</f>
        <v>LDO V 2.4 Motor Kit</v>
      </c>
      <c r="I14" s="107"/>
      <c r="J14" s="108">
        <f t="shared" si="3"/>
        <v>1</v>
      </c>
      <c r="K14" s="109">
        <v>109.99</v>
      </c>
      <c r="L14" s="109">
        <f t="shared" si="0"/>
        <v>109.99</v>
      </c>
      <c r="M14" s="109">
        <v>0</v>
      </c>
      <c r="N14" s="109">
        <v>0</v>
      </c>
      <c r="O14" s="109">
        <f t="shared" si="1"/>
        <v>109.99</v>
      </c>
      <c r="P14" s="109">
        <f>O14</f>
        <v>109.99</v>
      </c>
      <c r="Q14" s="107"/>
      <c r="R14" s="108" t="s">
        <v>392</v>
      </c>
      <c r="S14" s="110" t="s">
        <v>455</v>
      </c>
      <c r="T14" s="111" t="s">
        <v>455</v>
      </c>
    </row>
    <row r="15" spans="1:30" ht="30">
      <c r="A15" s="61" t="s">
        <v>326</v>
      </c>
      <c r="B15" s="67">
        <v>1</v>
      </c>
      <c r="C15" s="67" t="s">
        <v>313</v>
      </c>
      <c r="D15" s="67"/>
      <c r="E15" s="61" t="s">
        <v>327</v>
      </c>
      <c r="F15" s="61" t="s">
        <v>328</v>
      </c>
      <c r="G15" s="61" t="s">
        <v>329</v>
      </c>
      <c r="H15" s="81" t="str">
        <f>A15</f>
        <v>Mean Well LRS-200-24 200W 24V 8.8A Power Supply (PSU)</v>
      </c>
      <c r="I15" s="76"/>
      <c r="J15" s="63">
        <f t="shared" si="3"/>
        <v>1</v>
      </c>
      <c r="K15" s="64">
        <v>30.99</v>
      </c>
      <c r="L15" s="64">
        <f t="shared" si="0"/>
        <v>30.99</v>
      </c>
      <c r="M15" s="64"/>
      <c r="N15" s="64"/>
      <c r="O15" s="64">
        <f t="shared" si="1"/>
        <v>30.99</v>
      </c>
      <c r="P15" s="64"/>
      <c r="Q15" s="76"/>
      <c r="R15" s="63"/>
      <c r="S15" s="99"/>
      <c r="T15" s="100"/>
    </row>
    <row r="16" spans="1:30">
      <c r="A16" s="61" t="s">
        <v>330</v>
      </c>
      <c r="B16" s="67">
        <v>1</v>
      </c>
      <c r="C16" s="67" t="s">
        <v>313</v>
      </c>
      <c r="D16" s="67"/>
      <c r="E16" s="58"/>
      <c r="F16" s="58"/>
      <c r="G16" s="58"/>
      <c r="H16" s="81" t="str">
        <f t="shared" ref="H16:H23" si="4">A16</f>
        <v>Mean Well RS-25-5 25W Power Supply (PSU)</v>
      </c>
      <c r="I16" s="76"/>
      <c r="J16" s="63">
        <f t="shared" si="3"/>
        <v>1</v>
      </c>
      <c r="K16" s="64">
        <v>18.989999999999998</v>
      </c>
      <c r="L16" s="64">
        <f t="shared" si="0"/>
        <v>18.989999999999998</v>
      </c>
      <c r="M16" s="64"/>
      <c r="N16" s="64"/>
      <c r="O16" s="64">
        <f t="shared" si="1"/>
        <v>18.989999999999998</v>
      </c>
      <c r="P16" s="64"/>
      <c r="Q16" s="76"/>
      <c r="R16" s="63"/>
      <c r="S16" s="99"/>
      <c r="T16" s="100"/>
    </row>
    <row r="17" spans="1:30" ht="45">
      <c r="A17" s="61" t="s">
        <v>331</v>
      </c>
      <c r="B17" s="67">
        <v>1</v>
      </c>
      <c r="C17" s="67" t="s">
        <v>298</v>
      </c>
      <c r="D17" s="67"/>
      <c r="E17" s="61" t="s">
        <v>332</v>
      </c>
      <c r="F17" s="58"/>
      <c r="G17" s="58"/>
      <c r="H17" s="81" t="str">
        <f t="shared" si="4"/>
        <v>ZF - Rocker Switch DPST 16A On-Off - WRG32F2BBRLN</v>
      </c>
      <c r="I17" s="76"/>
      <c r="J17" s="63">
        <f t="shared" si="3"/>
        <v>1</v>
      </c>
      <c r="K17" s="64">
        <v>2.99</v>
      </c>
      <c r="L17" s="64">
        <f t="shared" si="0"/>
        <v>2.99</v>
      </c>
      <c r="M17" s="64"/>
      <c r="N17" s="64"/>
      <c r="O17" s="64">
        <f t="shared" si="1"/>
        <v>2.99</v>
      </c>
      <c r="P17" s="64"/>
      <c r="Q17" s="76"/>
      <c r="R17" s="63"/>
      <c r="S17" s="99"/>
      <c r="T17" s="100"/>
    </row>
    <row r="18" spans="1:30">
      <c r="A18" s="61" t="s">
        <v>333</v>
      </c>
      <c r="B18" s="67">
        <v>1</v>
      </c>
      <c r="C18" s="67"/>
      <c r="D18" s="67"/>
      <c r="E18" s="58"/>
      <c r="F18" s="58"/>
      <c r="G18" s="58"/>
      <c r="H18" s="81" t="str">
        <f t="shared" si="4"/>
        <v>TycoElectronics - 10EHG1-2 Filtered Power Inlet</v>
      </c>
      <c r="I18" s="76"/>
      <c r="J18" s="63">
        <f t="shared" si="3"/>
        <v>1</v>
      </c>
      <c r="K18" s="64">
        <v>20.99</v>
      </c>
      <c r="L18" s="64">
        <f t="shared" si="0"/>
        <v>20.99</v>
      </c>
      <c r="M18" s="64"/>
      <c r="N18" s="64"/>
      <c r="O18" s="64">
        <f t="shared" si="1"/>
        <v>20.99</v>
      </c>
      <c r="P18" s="64"/>
      <c r="Q18" s="76"/>
      <c r="R18" s="63"/>
      <c r="S18" s="99"/>
      <c r="T18" s="100"/>
    </row>
    <row r="19" spans="1:30">
      <c r="A19" s="61" t="s">
        <v>292</v>
      </c>
      <c r="B19" s="67">
        <v>3</v>
      </c>
      <c r="C19" s="67" t="s">
        <v>313</v>
      </c>
      <c r="D19" s="67"/>
      <c r="E19" s="58"/>
      <c r="F19" s="58"/>
      <c r="G19" s="58"/>
      <c r="H19" s="81" t="str">
        <f t="shared" si="4"/>
        <v>Fuse 8A 250V Holder Cartridge 5 X 20mm Glass</v>
      </c>
      <c r="I19" s="76"/>
      <c r="J19" s="63">
        <f t="shared" si="3"/>
        <v>3</v>
      </c>
      <c r="K19" s="64">
        <v>0.99</v>
      </c>
      <c r="L19" s="64">
        <f t="shared" si="0"/>
        <v>2.9699999999999998</v>
      </c>
      <c r="M19" s="64"/>
      <c r="N19" s="64"/>
      <c r="O19" s="64">
        <f t="shared" si="1"/>
        <v>2.9699999999999998</v>
      </c>
      <c r="P19" s="64"/>
      <c r="Q19" s="76"/>
      <c r="R19" s="63"/>
      <c r="S19" s="99"/>
      <c r="T19" s="100"/>
    </row>
    <row r="20" spans="1:30">
      <c r="A20" s="61" t="s">
        <v>334</v>
      </c>
      <c r="B20" s="67">
        <v>1</v>
      </c>
      <c r="C20" s="67" t="s">
        <v>298</v>
      </c>
      <c r="D20" s="67"/>
      <c r="E20" s="61" t="s">
        <v>335</v>
      </c>
      <c r="F20" s="58"/>
      <c r="G20" s="58"/>
      <c r="H20" s="81" t="str">
        <f t="shared" si="4"/>
        <v>GDSTIME DC 24V 40x40x10 Axial Fan GDA4010</v>
      </c>
      <c r="I20" s="76"/>
      <c r="J20" s="63">
        <f t="shared" si="3"/>
        <v>1</v>
      </c>
      <c r="K20" s="64">
        <v>6.99</v>
      </c>
      <c r="L20" s="64">
        <f t="shared" si="0"/>
        <v>6.99</v>
      </c>
      <c r="M20" s="64"/>
      <c r="N20" s="64"/>
      <c r="O20" s="64">
        <f t="shared" si="1"/>
        <v>6.99</v>
      </c>
      <c r="P20" s="64"/>
      <c r="Q20" s="76"/>
      <c r="R20" s="63"/>
      <c r="S20" s="99"/>
      <c r="T20" s="100"/>
    </row>
    <row r="21" spans="1:30" ht="30">
      <c r="A21" s="61" t="s">
        <v>336</v>
      </c>
      <c r="B21" s="67">
        <v>1</v>
      </c>
      <c r="C21" s="67" t="s">
        <v>313</v>
      </c>
      <c r="D21" s="67"/>
      <c r="E21" s="58"/>
      <c r="F21" s="58"/>
      <c r="G21" s="58"/>
      <c r="H21" s="81" t="str">
        <f t="shared" si="4"/>
        <v>GDSTIME DC 24V 40x40x20 Centrifugal Blower Fan GDB4020</v>
      </c>
      <c r="I21" s="76"/>
      <c r="J21" s="63">
        <f t="shared" si="3"/>
        <v>1</v>
      </c>
      <c r="K21" s="64">
        <v>6.99</v>
      </c>
      <c r="L21" s="64">
        <f t="shared" si="0"/>
        <v>6.99</v>
      </c>
      <c r="M21" s="64"/>
      <c r="N21" s="64"/>
      <c r="O21" s="64">
        <f t="shared" si="1"/>
        <v>6.99</v>
      </c>
      <c r="P21" s="64"/>
      <c r="Q21" s="76"/>
      <c r="R21" s="63"/>
      <c r="S21" s="99"/>
      <c r="T21" s="100"/>
    </row>
    <row r="22" spans="1:30" ht="30">
      <c r="A22" s="61" t="s">
        <v>337</v>
      </c>
      <c r="B22" s="67">
        <v>3</v>
      </c>
      <c r="C22" s="67" t="s">
        <v>313</v>
      </c>
      <c r="D22" s="67"/>
      <c r="E22" s="58"/>
      <c r="F22" s="58"/>
      <c r="G22" s="58"/>
      <c r="H22" s="81" t="str">
        <f t="shared" si="4"/>
        <v>GDSTIME DC 24V 60x60x20 Axial Fan GDA6020 Dual Ball Bearing 5000RPM 1.7W 0.1A XH2.54</v>
      </c>
      <c r="I22" s="76"/>
      <c r="J22" s="63">
        <f t="shared" si="3"/>
        <v>3</v>
      </c>
      <c r="K22" s="64">
        <v>6.99</v>
      </c>
      <c r="L22" s="64">
        <f t="shared" si="0"/>
        <v>20.97</v>
      </c>
      <c r="M22" s="64"/>
      <c r="N22" s="64"/>
      <c r="O22" s="64">
        <f t="shared" si="1"/>
        <v>20.97</v>
      </c>
      <c r="P22" s="64"/>
      <c r="Q22" s="76"/>
      <c r="R22" s="63"/>
      <c r="S22" s="99"/>
      <c r="T22" s="100"/>
    </row>
    <row r="23" spans="1:30">
      <c r="A23" s="61" t="s">
        <v>338</v>
      </c>
      <c r="B23" s="67">
        <v>1</v>
      </c>
      <c r="C23" s="67" t="s">
        <v>313</v>
      </c>
      <c r="D23" s="67"/>
      <c r="E23" s="58"/>
      <c r="F23" s="58"/>
      <c r="G23" s="58"/>
      <c r="H23" s="81" t="str">
        <f t="shared" si="4"/>
        <v>125C Cutoff 15A Thermal Fuse</v>
      </c>
      <c r="I23" s="76"/>
      <c r="J23" s="63">
        <f t="shared" si="3"/>
        <v>1</v>
      </c>
      <c r="K23" s="64">
        <v>1.29</v>
      </c>
      <c r="L23" s="64">
        <f t="shared" si="0"/>
        <v>1.29</v>
      </c>
      <c r="M23" s="64"/>
      <c r="N23" s="64"/>
      <c r="O23" s="64">
        <f t="shared" si="1"/>
        <v>1.29</v>
      </c>
      <c r="P23" s="64"/>
      <c r="Q23" s="76"/>
      <c r="R23" s="63"/>
      <c r="S23" s="99"/>
      <c r="T23" s="100"/>
    </row>
    <row r="24" spans="1:30" s="74" customFormat="1" ht="45">
      <c r="A24" s="69" t="s">
        <v>339</v>
      </c>
      <c r="B24" s="70">
        <v>1</v>
      </c>
      <c r="C24" s="70" t="s">
        <v>298</v>
      </c>
      <c r="D24" s="70"/>
      <c r="E24" s="71" t="s">
        <v>340</v>
      </c>
      <c r="F24" s="71" t="s">
        <v>341</v>
      </c>
      <c r="G24" s="71" t="s">
        <v>342</v>
      </c>
      <c r="H24" s="72" t="str">
        <f>F24</f>
        <v>Octopus PRO 429</v>
      </c>
      <c r="I24" s="75" t="s">
        <v>378</v>
      </c>
      <c r="J24" s="70">
        <v>0</v>
      </c>
      <c r="K24" s="73">
        <v>74.989999999999995</v>
      </c>
      <c r="L24" s="73">
        <f t="shared" si="0"/>
        <v>0</v>
      </c>
      <c r="M24" s="73"/>
      <c r="N24" s="73"/>
      <c r="O24" s="73">
        <f t="shared" si="1"/>
        <v>0</v>
      </c>
      <c r="P24" s="73"/>
      <c r="Q24" s="115"/>
      <c r="R24" s="63"/>
      <c r="S24" s="101"/>
      <c r="T24" s="102"/>
      <c r="AD24" s="86"/>
    </row>
    <row r="25" spans="1:30" ht="30">
      <c r="A25" s="103" t="s">
        <v>379</v>
      </c>
      <c r="B25" s="104">
        <v>1</v>
      </c>
      <c r="C25" s="104" t="s">
        <v>298</v>
      </c>
      <c r="D25" s="104" t="s">
        <v>298</v>
      </c>
      <c r="E25" s="103"/>
      <c r="F25" s="103"/>
      <c r="G25" s="103"/>
      <c r="H25" s="106" t="str">
        <f>A25</f>
        <v xml:space="preserve">BTT Manta M8P Klipper Controller Board / 3D Printer Control System using CB1/CM4 </v>
      </c>
      <c r="I25" s="113" t="s">
        <v>384</v>
      </c>
      <c r="J25" s="108">
        <f t="shared" ref="J25:J56" si="5">B25</f>
        <v>1</v>
      </c>
      <c r="K25" s="109">
        <v>54.99</v>
      </c>
      <c r="L25" s="109">
        <f t="shared" si="0"/>
        <v>54.99</v>
      </c>
      <c r="M25" s="109">
        <v>0</v>
      </c>
      <c r="N25" s="109">
        <v>0</v>
      </c>
      <c r="O25" s="109">
        <f t="shared" si="1"/>
        <v>54.99</v>
      </c>
      <c r="P25" s="109">
        <f>O25</f>
        <v>54.99</v>
      </c>
      <c r="Q25" s="107"/>
      <c r="R25" s="108" t="s">
        <v>392</v>
      </c>
      <c r="S25" s="110" t="s">
        <v>455</v>
      </c>
      <c r="T25" s="111" t="s">
        <v>455</v>
      </c>
    </row>
    <row r="26" spans="1:30" ht="30">
      <c r="A26" s="103" t="s">
        <v>380</v>
      </c>
      <c r="B26" s="104">
        <v>2</v>
      </c>
      <c r="C26" s="104" t="s">
        <v>313</v>
      </c>
      <c r="D26" s="104" t="s">
        <v>382</v>
      </c>
      <c r="E26" s="103"/>
      <c r="F26" s="103"/>
      <c r="G26" s="103"/>
      <c r="H26" s="106" t="str">
        <f t="shared" ref="H26:H27" si="6">A26</f>
        <v>BTT CB1 Computing Core Board Adapter for Manta CBs</v>
      </c>
      <c r="I26" s="113" t="s">
        <v>388</v>
      </c>
      <c r="J26" s="108">
        <f t="shared" si="5"/>
        <v>2</v>
      </c>
      <c r="K26" s="109">
        <v>29.99</v>
      </c>
      <c r="L26" s="109">
        <f t="shared" si="0"/>
        <v>59.98</v>
      </c>
      <c r="M26" s="109">
        <v>0</v>
      </c>
      <c r="N26" s="109">
        <v>0</v>
      </c>
      <c r="O26" s="109">
        <f t="shared" si="1"/>
        <v>59.98</v>
      </c>
      <c r="P26" s="109">
        <f t="shared" ref="P26:P27" si="7">O26</f>
        <v>59.98</v>
      </c>
      <c r="Q26" s="116">
        <f>K26*1*-1</f>
        <v>-29.99</v>
      </c>
      <c r="R26" s="108" t="s">
        <v>392</v>
      </c>
      <c r="S26" s="110" t="s">
        <v>455</v>
      </c>
      <c r="T26" s="111" t="s">
        <v>455</v>
      </c>
    </row>
    <row r="27" spans="1:30" ht="30">
      <c r="A27" s="103" t="s">
        <v>381</v>
      </c>
      <c r="B27" s="104">
        <v>1</v>
      </c>
      <c r="C27" s="104" t="s">
        <v>389</v>
      </c>
      <c r="D27" s="104" t="s">
        <v>383</v>
      </c>
      <c r="E27" s="103"/>
      <c r="F27" s="103"/>
      <c r="G27" s="103"/>
      <c r="H27" s="106" t="str">
        <f t="shared" si="6"/>
        <v xml:space="preserve">BTT Pi4B Adapter for CM4 or CB1 </v>
      </c>
      <c r="I27" s="113" t="s">
        <v>387</v>
      </c>
      <c r="J27" s="108">
        <f t="shared" si="5"/>
        <v>1</v>
      </c>
      <c r="K27" s="109">
        <v>22.99</v>
      </c>
      <c r="L27" s="109">
        <f t="shared" si="0"/>
        <v>22.99</v>
      </c>
      <c r="M27" s="109">
        <v>0</v>
      </c>
      <c r="N27" s="109">
        <v>0</v>
      </c>
      <c r="O27" s="109">
        <f t="shared" si="1"/>
        <v>22.99</v>
      </c>
      <c r="P27" s="109">
        <f t="shared" si="7"/>
        <v>22.99</v>
      </c>
      <c r="Q27" s="116">
        <f>O27 * -1</f>
        <v>-22.99</v>
      </c>
      <c r="R27" s="108" t="s">
        <v>392</v>
      </c>
      <c r="S27" s="110" t="s">
        <v>455</v>
      </c>
      <c r="T27" s="111" t="s">
        <v>455</v>
      </c>
    </row>
    <row r="28" spans="1:30">
      <c r="A28" s="59" t="s">
        <v>385</v>
      </c>
      <c r="B28" s="67">
        <v>7</v>
      </c>
      <c r="C28" s="67" t="s">
        <v>298</v>
      </c>
      <c r="D28" s="67"/>
      <c r="E28" s="61" t="s">
        <v>386</v>
      </c>
      <c r="F28" s="58" t="s">
        <v>343</v>
      </c>
      <c r="G28" s="58"/>
      <c r="H28" s="81" t="str">
        <f>E28</f>
        <v>TMC2226</v>
      </c>
      <c r="I28" s="76"/>
      <c r="J28" s="63">
        <f t="shared" si="5"/>
        <v>7</v>
      </c>
      <c r="K28" s="64">
        <v>6.49</v>
      </c>
      <c r="L28" s="64">
        <f t="shared" si="0"/>
        <v>45.43</v>
      </c>
      <c r="M28" s="64"/>
      <c r="N28" s="64"/>
      <c r="O28" s="64">
        <f t="shared" si="1"/>
        <v>45.43</v>
      </c>
      <c r="P28" s="64"/>
      <c r="Q28" s="117"/>
      <c r="R28" s="63"/>
      <c r="S28" s="99"/>
      <c r="T28" s="100"/>
    </row>
    <row r="29" spans="1:30" ht="30">
      <c r="A29" s="61" t="s">
        <v>456</v>
      </c>
      <c r="B29" s="67">
        <v>0</v>
      </c>
      <c r="C29" s="67" t="s">
        <v>298</v>
      </c>
      <c r="D29" s="67"/>
      <c r="E29" s="61" t="s">
        <v>457</v>
      </c>
      <c r="F29" s="61" t="s">
        <v>458</v>
      </c>
      <c r="G29" s="58"/>
      <c r="H29" s="81" t="str">
        <f>F29</f>
        <v>Touch Screen 7" PiTFT70 (extra)</v>
      </c>
      <c r="I29" s="76" t="s">
        <v>459</v>
      </c>
      <c r="J29" s="63">
        <f t="shared" si="5"/>
        <v>0</v>
      </c>
      <c r="K29" s="64">
        <v>69.989999999999995</v>
      </c>
      <c r="L29" s="64">
        <f t="shared" si="0"/>
        <v>0</v>
      </c>
      <c r="M29" s="64"/>
      <c r="N29" s="64"/>
      <c r="O29" s="64">
        <f t="shared" si="1"/>
        <v>0</v>
      </c>
      <c r="P29" s="64"/>
      <c r="Q29" s="117">
        <f>O29*-1</f>
        <v>0</v>
      </c>
      <c r="R29" s="63"/>
      <c r="S29" s="99"/>
      <c r="T29" s="100"/>
    </row>
    <row r="30" spans="1:30">
      <c r="A30" s="103" t="s">
        <v>344</v>
      </c>
      <c r="B30" s="104">
        <v>2</v>
      </c>
      <c r="C30" s="104" t="s">
        <v>389</v>
      </c>
      <c r="D30" s="104" t="s">
        <v>313</v>
      </c>
      <c r="E30" s="103"/>
      <c r="F30" s="105"/>
      <c r="G30" s="105"/>
      <c r="H30" s="106" t="str">
        <f>A30</f>
        <v>Mini 12864 Display Type B RGB - Choose your color</v>
      </c>
      <c r="I30" s="107" t="s">
        <v>460</v>
      </c>
      <c r="J30" s="108">
        <f t="shared" si="5"/>
        <v>2</v>
      </c>
      <c r="K30" s="109">
        <v>12.99</v>
      </c>
      <c r="L30" s="109">
        <f t="shared" ref="L30" si="8">J30*K30</f>
        <v>25.98</v>
      </c>
      <c r="M30" s="109">
        <v>0</v>
      </c>
      <c r="N30" s="109">
        <v>0</v>
      </c>
      <c r="O30" s="109">
        <f t="shared" ref="O30" si="9">L30+M30+N30</f>
        <v>25.98</v>
      </c>
      <c r="P30" s="109">
        <f>O30</f>
        <v>25.98</v>
      </c>
      <c r="Q30" s="116">
        <f>(K30*1)*-1</f>
        <v>-12.99</v>
      </c>
      <c r="R30" s="108" t="s">
        <v>392</v>
      </c>
      <c r="S30" s="110" t="s">
        <v>455</v>
      </c>
      <c r="T30" s="111" t="s">
        <v>455</v>
      </c>
    </row>
    <row r="31" spans="1:30">
      <c r="A31" s="103" t="s">
        <v>390</v>
      </c>
      <c r="B31" s="104">
        <v>1</v>
      </c>
      <c r="C31" s="104" t="s">
        <v>313</v>
      </c>
      <c r="D31" s="104"/>
      <c r="E31" s="105"/>
      <c r="F31" s="105"/>
      <c r="G31" s="105"/>
      <c r="H31" s="106" t="str">
        <f>A31</f>
        <v>Voron v2.4 USA Frame Kit (black); 350mm</v>
      </c>
      <c r="I31" s="107"/>
      <c r="J31" s="108">
        <f t="shared" si="5"/>
        <v>1</v>
      </c>
      <c r="K31" s="109">
        <v>150</v>
      </c>
      <c r="L31" s="109">
        <f t="shared" si="0"/>
        <v>150</v>
      </c>
      <c r="M31" s="109">
        <v>10</v>
      </c>
      <c r="N31" s="109">
        <v>0</v>
      </c>
      <c r="O31" s="109">
        <f t="shared" si="1"/>
        <v>160</v>
      </c>
      <c r="P31" s="109">
        <f>O31</f>
        <v>160</v>
      </c>
      <c r="Q31" s="116"/>
      <c r="R31" s="108" t="s">
        <v>392</v>
      </c>
      <c r="S31" s="110" t="s">
        <v>455</v>
      </c>
      <c r="T31" s="111" t="s">
        <v>455</v>
      </c>
    </row>
    <row r="32" spans="1:30">
      <c r="A32" s="61" t="s">
        <v>345</v>
      </c>
      <c r="B32" s="67">
        <v>3</v>
      </c>
      <c r="C32" s="67" t="s">
        <v>313</v>
      </c>
      <c r="D32" s="67"/>
      <c r="E32" s="58"/>
      <c r="F32" s="58"/>
      <c r="G32" s="58"/>
      <c r="H32" s="80" t="str">
        <f>A32</f>
        <v>Bowden / PTFE Tube 4mm OD 3mm ID</v>
      </c>
      <c r="I32" s="76" t="s">
        <v>394</v>
      </c>
      <c r="J32" s="63">
        <f t="shared" si="5"/>
        <v>3</v>
      </c>
      <c r="K32" s="64">
        <v>3.5</v>
      </c>
      <c r="L32" s="64">
        <f t="shared" si="0"/>
        <v>10.5</v>
      </c>
      <c r="M32" s="64"/>
      <c r="N32" s="64"/>
      <c r="O32" s="64">
        <f t="shared" si="1"/>
        <v>10.5</v>
      </c>
      <c r="P32" s="64"/>
      <c r="Q32" s="117"/>
      <c r="R32" s="63"/>
      <c r="S32" s="99"/>
      <c r="T32" s="100"/>
    </row>
    <row r="33" spans="1:20">
      <c r="A33" s="61" t="s">
        <v>346</v>
      </c>
      <c r="B33" s="67">
        <v>8</v>
      </c>
      <c r="C33" s="67" t="s">
        <v>313</v>
      </c>
      <c r="D33" s="67"/>
      <c r="E33" s="58"/>
      <c r="F33" s="58"/>
      <c r="G33" s="58"/>
      <c r="H33" s="80" t="str">
        <f>A33</f>
        <v>6mm x 3mm Round Neomydium Magnets</v>
      </c>
      <c r="I33" s="76"/>
      <c r="J33" s="63">
        <f t="shared" si="5"/>
        <v>8</v>
      </c>
      <c r="K33" s="64">
        <v>0.49</v>
      </c>
      <c r="L33" s="64">
        <f t="shared" si="0"/>
        <v>3.92</v>
      </c>
      <c r="M33" s="64"/>
      <c r="N33" s="64"/>
      <c r="O33" s="64">
        <f t="shared" si="1"/>
        <v>3.92</v>
      </c>
      <c r="P33" s="64"/>
      <c r="Q33" s="117"/>
      <c r="R33" s="63"/>
      <c r="S33" s="99"/>
      <c r="T33" s="100"/>
    </row>
    <row r="34" spans="1:20">
      <c r="A34" s="61" t="s">
        <v>347</v>
      </c>
      <c r="B34" s="67">
        <v>1</v>
      </c>
      <c r="C34" s="67" t="s">
        <v>313</v>
      </c>
      <c r="D34" s="67"/>
      <c r="E34" s="58"/>
      <c r="F34" s="58"/>
      <c r="G34" s="58"/>
      <c r="H34" s="80" t="str">
        <f t="shared" ref="H34" si="10">A34</f>
        <v>Bowden Coupler for 4mm OD PTFE Tube</v>
      </c>
      <c r="I34" s="76"/>
      <c r="J34" s="63">
        <f t="shared" si="5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7"/>
      <c r="R34" s="63"/>
      <c r="S34" s="99"/>
      <c r="T34" s="100"/>
    </row>
    <row r="35" spans="1:20">
      <c r="A35" s="61" t="s">
        <v>348</v>
      </c>
      <c r="B35" s="67">
        <v>1</v>
      </c>
      <c r="C35" s="67" t="s">
        <v>313</v>
      </c>
      <c r="D35" s="67"/>
      <c r="E35" s="58"/>
      <c r="F35" s="58"/>
      <c r="G35" s="58"/>
      <c r="H35" s="80" t="str">
        <f>A35</f>
        <v>5mm x 10m Single Sided Self Adhesive Tape / 1mm thick</v>
      </c>
      <c r="I35" s="76"/>
      <c r="J35" s="63">
        <f t="shared" si="5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7"/>
      <c r="R35" s="63"/>
      <c r="S35" s="99"/>
      <c r="T35" s="100"/>
    </row>
    <row r="36" spans="1:20" ht="30">
      <c r="A36" s="59" t="s">
        <v>349</v>
      </c>
      <c r="B36" s="67">
        <v>1</v>
      </c>
      <c r="C36" s="67" t="s">
        <v>298</v>
      </c>
      <c r="D36" s="67"/>
      <c r="E36" s="61" t="s">
        <v>350</v>
      </c>
      <c r="F36" s="58"/>
      <c r="G36" s="58"/>
      <c r="H36" s="80" t="str">
        <f>E36</f>
        <v>BMG Components Kit Nano Coated RNC</v>
      </c>
      <c r="I36" s="76"/>
      <c r="J36" s="63">
        <f t="shared" si="5"/>
        <v>1</v>
      </c>
      <c r="K36" s="64">
        <v>32.99</v>
      </c>
      <c r="L36" s="64">
        <f t="shared" si="0"/>
        <v>32.99</v>
      </c>
      <c r="M36" s="64"/>
      <c r="N36" s="64"/>
      <c r="O36" s="64">
        <f t="shared" si="1"/>
        <v>32.99</v>
      </c>
      <c r="P36" s="64"/>
      <c r="Q36" s="117"/>
      <c r="R36" s="63"/>
      <c r="S36" s="99"/>
      <c r="T36" s="100"/>
    </row>
    <row r="37" spans="1:20" ht="30">
      <c r="A37" s="61" t="s">
        <v>351</v>
      </c>
      <c r="B37" s="67">
        <v>1</v>
      </c>
      <c r="C37" s="67" t="s">
        <v>298</v>
      </c>
      <c r="D37" s="67"/>
      <c r="E37" s="61" t="s">
        <v>352</v>
      </c>
      <c r="F37" s="58" t="s">
        <v>353</v>
      </c>
      <c r="G37" s="58"/>
      <c r="H37" s="80" t="str">
        <f>A37</f>
        <v>Wiring Harness for Voron 2.4 / Trident</v>
      </c>
      <c r="I37" s="76" t="s">
        <v>397</v>
      </c>
      <c r="J37" s="63">
        <f t="shared" si="5"/>
        <v>1</v>
      </c>
      <c r="K37" s="64">
        <v>79.989999999999995</v>
      </c>
      <c r="L37" s="64">
        <f t="shared" si="0"/>
        <v>79.989999999999995</v>
      </c>
      <c r="M37" s="64"/>
      <c r="N37" s="64"/>
      <c r="O37" s="64">
        <f t="shared" si="1"/>
        <v>79.989999999999995</v>
      </c>
      <c r="P37" s="64"/>
      <c r="Q37" s="117"/>
      <c r="R37" s="63"/>
      <c r="S37" s="99"/>
      <c r="T37" s="100"/>
    </row>
    <row r="38" spans="1:20" ht="30">
      <c r="A38" s="61" t="s">
        <v>395</v>
      </c>
      <c r="B38" s="67">
        <v>1</v>
      </c>
      <c r="C38" s="67" t="s">
        <v>298</v>
      </c>
      <c r="D38" s="67"/>
      <c r="E38" s="61" t="s">
        <v>393</v>
      </c>
      <c r="F38" s="58"/>
      <c r="G38" s="58"/>
      <c r="H38" s="80" t="str">
        <f>E38</f>
        <v>IGUS Cable Chain Set (350mm)</v>
      </c>
      <c r="I38" s="76" t="s">
        <v>396</v>
      </c>
      <c r="J38" s="63">
        <f t="shared" si="5"/>
        <v>1</v>
      </c>
      <c r="K38" s="64">
        <v>79.989999999999995</v>
      </c>
      <c r="L38" s="64">
        <f t="shared" si="0"/>
        <v>79.989999999999995</v>
      </c>
      <c r="M38" s="64"/>
      <c r="N38" s="64"/>
      <c r="O38" s="64">
        <f t="shared" si="1"/>
        <v>79.989999999999995</v>
      </c>
      <c r="P38" s="64"/>
      <c r="Q38" s="76"/>
      <c r="R38" s="63"/>
      <c r="S38" s="99"/>
      <c r="T38" s="100"/>
    </row>
    <row r="39" spans="1:20" ht="30">
      <c r="A39" s="118" t="s">
        <v>402</v>
      </c>
      <c r="B39" s="127">
        <v>1</v>
      </c>
      <c r="C39" s="127" t="s">
        <v>298</v>
      </c>
      <c r="D39" s="127"/>
      <c r="E39" s="130" t="s">
        <v>401</v>
      </c>
      <c r="F39" s="118" t="s">
        <v>461</v>
      </c>
      <c r="G39" s="128"/>
      <c r="H39" s="131" t="str">
        <f>F39</f>
        <v>Printed Solide - Aluminum Composite backing Panels</v>
      </c>
      <c r="I39" s="122" t="s">
        <v>462</v>
      </c>
      <c r="J39" s="119">
        <f t="shared" si="5"/>
        <v>1</v>
      </c>
      <c r="K39" s="123">
        <v>65</v>
      </c>
      <c r="L39" s="123">
        <f t="shared" si="0"/>
        <v>65</v>
      </c>
      <c r="M39" s="123">
        <v>0</v>
      </c>
      <c r="N39" s="123">
        <v>0</v>
      </c>
      <c r="O39" s="123">
        <f t="shared" si="1"/>
        <v>65</v>
      </c>
      <c r="P39" s="123">
        <f>O39</f>
        <v>65</v>
      </c>
      <c r="Q39" s="124"/>
      <c r="R39" s="119" t="s">
        <v>280</v>
      </c>
      <c r="S39" s="125" t="s">
        <v>468</v>
      </c>
      <c r="T39" s="126" t="s">
        <v>468</v>
      </c>
    </row>
    <row r="40" spans="1:20" ht="30">
      <c r="A40" s="61" t="s">
        <v>398</v>
      </c>
      <c r="B40" s="67">
        <v>1</v>
      </c>
      <c r="C40" s="67" t="s">
        <v>298</v>
      </c>
      <c r="D40" s="67"/>
      <c r="E40" s="59" t="s">
        <v>399</v>
      </c>
      <c r="F40" s="58"/>
      <c r="G40" s="58"/>
      <c r="H40" s="80" t="str">
        <f>A40</f>
        <v>Mandala Roseworks Acrylic Panels Smoked (350mm)</v>
      </c>
      <c r="I40" s="76" t="s">
        <v>400</v>
      </c>
      <c r="J40" s="63">
        <f t="shared" si="5"/>
        <v>1</v>
      </c>
      <c r="K40" s="64">
        <v>61.99</v>
      </c>
      <c r="L40" s="64">
        <f t="shared" si="0"/>
        <v>61.99</v>
      </c>
      <c r="M40" s="64"/>
      <c r="N40" s="64"/>
      <c r="O40" s="64">
        <f t="shared" si="1"/>
        <v>61.99</v>
      </c>
      <c r="P40" s="64"/>
      <c r="Q40" s="76"/>
      <c r="R40" s="63"/>
      <c r="S40" s="99"/>
      <c r="T40" s="100"/>
    </row>
    <row r="41" spans="1:20" ht="30">
      <c r="A41" s="118" t="s">
        <v>404</v>
      </c>
      <c r="B41" s="127">
        <v>1</v>
      </c>
      <c r="C41" s="127" t="s">
        <v>298</v>
      </c>
      <c r="D41" s="127"/>
      <c r="E41" s="118" t="s">
        <v>403</v>
      </c>
      <c r="F41" s="128"/>
      <c r="G41" s="128"/>
      <c r="H41" s="121" t="str">
        <f>E41</f>
        <v>Mandala Roseworks Ultraflat Magbed (350mm)</v>
      </c>
      <c r="I41" s="122" t="s">
        <v>405</v>
      </c>
      <c r="J41" s="119">
        <f t="shared" si="5"/>
        <v>1</v>
      </c>
      <c r="K41" s="123">
        <v>253.99</v>
      </c>
      <c r="L41" s="123">
        <f t="shared" si="0"/>
        <v>253.99</v>
      </c>
      <c r="M41" s="123">
        <v>25</v>
      </c>
      <c r="N41" s="123">
        <v>0</v>
      </c>
      <c r="O41" s="123">
        <f t="shared" si="1"/>
        <v>278.99</v>
      </c>
      <c r="P41" s="123">
        <f>O41</f>
        <v>278.99</v>
      </c>
      <c r="Q41" s="124"/>
      <c r="R41" s="119" t="s">
        <v>280</v>
      </c>
      <c r="S41" s="125" t="s">
        <v>464</v>
      </c>
      <c r="T41" s="126" t="s">
        <v>464</v>
      </c>
    </row>
    <row r="42" spans="1:20">
      <c r="A42" s="59" t="s">
        <v>354</v>
      </c>
      <c r="B42" s="67">
        <v>1</v>
      </c>
      <c r="C42" s="67" t="s">
        <v>298</v>
      </c>
      <c r="D42" s="67"/>
      <c r="E42" s="61" t="s">
        <v>406</v>
      </c>
      <c r="F42" s="58"/>
      <c r="G42" s="58"/>
      <c r="H42" s="68" t="str">
        <f>E42</f>
        <v>Fermio Style (350mm)</v>
      </c>
      <c r="I42" s="76" t="s">
        <v>407</v>
      </c>
      <c r="J42" s="63">
        <f t="shared" si="5"/>
        <v>1</v>
      </c>
      <c r="K42" s="64">
        <v>102.99</v>
      </c>
      <c r="L42" s="64">
        <f t="shared" si="0"/>
        <v>102.99</v>
      </c>
      <c r="M42" s="64"/>
      <c r="N42" s="64"/>
      <c r="O42" s="64">
        <f t="shared" si="1"/>
        <v>102.99</v>
      </c>
      <c r="P42" s="64"/>
      <c r="Q42" s="76"/>
      <c r="R42" s="63"/>
      <c r="S42" s="99"/>
      <c r="T42" s="100"/>
    </row>
    <row r="43" spans="1:20" ht="30">
      <c r="A43" s="61" t="s">
        <v>355</v>
      </c>
      <c r="B43" s="67">
        <v>1</v>
      </c>
      <c r="C43" s="67" t="s">
        <v>298</v>
      </c>
      <c r="D43" s="67"/>
      <c r="E43" s="59"/>
      <c r="F43" s="59"/>
      <c r="G43" s="58"/>
      <c r="H43" s="68" t="str">
        <f>A43</f>
        <v>Magnetic Flex Plate Double-Sided (Texture - Smooth) with 3M Magnetic Backing (Energetic &amp; West3D Collab)</v>
      </c>
      <c r="I43" s="76" t="s">
        <v>408</v>
      </c>
      <c r="J43" s="63">
        <f t="shared" si="5"/>
        <v>1</v>
      </c>
      <c r="K43" s="64">
        <v>59.99</v>
      </c>
      <c r="L43" s="64">
        <f t="shared" si="0"/>
        <v>59.99</v>
      </c>
      <c r="M43" s="64"/>
      <c r="N43" s="64"/>
      <c r="O43" s="64">
        <f t="shared" si="1"/>
        <v>59.99</v>
      </c>
      <c r="P43" s="64"/>
      <c r="Q43" s="76"/>
      <c r="R43" s="63"/>
      <c r="S43" s="99"/>
      <c r="T43" s="100"/>
    </row>
    <row r="44" spans="1:20" ht="30">
      <c r="A44" s="59" t="s">
        <v>356</v>
      </c>
      <c r="B44" s="67">
        <v>1</v>
      </c>
      <c r="C44" s="67" t="s">
        <v>298</v>
      </c>
      <c r="D44" s="67"/>
      <c r="E44" s="59" t="s">
        <v>357</v>
      </c>
      <c r="F44" s="59" t="s">
        <v>358</v>
      </c>
      <c r="G44" s="61" t="s">
        <v>409</v>
      </c>
      <c r="H44" s="68" t="str">
        <f>G44</f>
        <v>Phaetus Rapido UHF /TL PT1000 (black)</v>
      </c>
      <c r="I44" s="76"/>
      <c r="J44" s="63">
        <f t="shared" si="5"/>
        <v>1</v>
      </c>
      <c r="K44" s="64">
        <v>119.99</v>
      </c>
      <c r="L44" s="64">
        <f t="shared" si="0"/>
        <v>119.99</v>
      </c>
      <c r="M44" s="64"/>
      <c r="N44" s="64"/>
      <c r="O44" s="64">
        <f t="shared" si="1"/>
        <v>119.99</v>
      </c>
      <c r="P44" s="64"/>
      <c r="Q44" s="76"/>
      <c r="R44" s="63"/>
      <c r="S44" s="99"/>
      <c r="T44" s="100"/>
    </row>
    <row r="45" spans="1:20" ht="30">
      <c r="A45" s="59" t="s">
        <v>359</v>
      </c>
      <c r="B45" s="67">
        <v>1</v>
      </c>
      <c r="C45" s="67" t="s">
        <v>298</v>
      </c>
      <c r="D45" s="67"/>
      <c r="E45" s="59" t="s">
        <v>360</v>
      </c>
      <c r="F45" s="58"/>
      <c r="G45" s="58"/>
      <c r="H45" s="68" t="s">
        <v>389</v>
      </c>
      <c r="I45" s="76" t="s">
        <v>410</v>
      </c>
      <c r="J45" s="63">
        <f t="shared" si="5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6"/>
      <c r="R45" s="63"/>
      <c r="S45" s="99"/>
      <c r="T45" s="100"/>
    </row>
    <row r="46" spans="1:20" ht="30">
      <c r="A46" s="59" t="s">
        <v>361</v>
      </c>
      <c r="B46" s="67">
        <v>1</v>
      </c>
      <c r="C46" s="67" t="s">
        <v>298</v>
      </c>
      <c r="D46" s="67"/>
      <c r="E46" s="59" t="s">
        <v>362</v>
      </c>
      <c r="F46" s="59" t="s">
        <v>363</v>
      </c>
      <c r="G46" s="58"/>
      <c r="H46" s="68" t="s">
        <v>389</v>
      </c>
      <c r="I46" s="76" t="s">
        <v>411</v>
      </c>
      <c r="J46" s="63">
        <f t="shared" si="5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6"/>
      <c r="R46" s="63"/>
      <c r="S46" s="99"/>
      <c r="T46" s="100"/>
    </row>
    <row r="47" spans="1:20">
      <c r="A47" s="118" t="s">
        <v>364</v>
      </c>
      <c r="B47" s="127">
        <v>1</v>
      </c>
      <c r="C47" s="127" t="s">
        <v>313</v>
      </c>
      <c r="D47" s="127"/>
      <c r="E47" s="128"/>
      <c r="F47" s="128"/>
      <c r="G47" s="128"/>
      <c r="H47" s="121" t="str">
        <f t="shared" ref="H47:H53" si="11">A47</f>
        <v>Mobil Mobilux EP2 10ml filled syringe with blunt tips</v>
      </c>
      <c r="I47" s="122"/>
      <c r="J47" s="119">
        <f t="shared" si="5"/>
        <v>1</v>
      </c>
      <c r="K47" s="123">
        <v>8.99</v>
      </c>
      <c r="L47" s="123">
        <f t="shared" si="0"/>
        <v>8.99</v>
      </c>
      <c r="M47" s="123">
        <v>0</v>
      </c>
      <c r="N47" s="123">
        <v>0</v>
      </c>
      <c r="O47" s="123">
        <f t="shared" si="1"/>
        <v>8.99</v>
      </c>
      <c r="P47" s="123">
        <f>O47</f>
        <v>8.99</v>
      </c>
      <c r="Q47" s="124"/>
      <c r="R47" s="119" t="s">
        <v>280</v>
      </c>
      <c r="S47" s="125" t="s">
        <v>464</v>
      </c>
      <c r="T47" s="126" t="s">
        <v>464</v>
      </c>
    </row>
    <row r="48" spans="1:20">
      <c r="A48" s="61" t="s">
        <v>365</v>
      </c>
      <c r="B48" s="67">
        <v>1</v>
      </c>
      <c r="C48" s="67" t="s">
        <v>313</v>
      </c>
      <c r="D48" s="67"/>
      <c r="E48" s="58"/>
      <c r="F48" s="58"/>
      <c r="G48" s="58"/>
      <c r="H48" s="68" t="str">
        <f t="shared" si="11"/>
        <v>Large Printed Parts Decal</v>
      </c>
      <c r="I48" s="76" t="s">
        <v>412</v>
      </c>
      <c r="J48" s="63">
        <f t="shared" si="5"/>
        <v>1</v>
      </c>
      <c r="K48" s="64">
        <v>15.99</v>
      </c>
      <c r="L48" s="64">
        <f t="shared" ref="L48:L56" si="12">J48*K48</f>
        <v>15.99</v>
      </c>
      <c r="M48" s="64"/>
      <c r="N48" s="64"/>
      <c r="O48" s="64">
        <f t="shared" ref="O48:O56" si="13">L48+M48+N48</f>
        <v>15.99</v>
      </c>
      <c r="P48" s="64"/>
      <c r="Q48" s="76"/>
      <c r="R48" s="63"/>
      <c r="S48" s="99"/>
      <c r="T48" s="100"/>
    </row>
    <row r="49" spans="1:20">
      <c r="A49" s="61" t="s">
        <v>366</v>
      </c>
      <c r="B49" s="67">
        <v>1</v>
      </c>
      <c r="C49" s="67" t="s">
        <v>313</v>
      </c>
      <c r="D49" s="67"/>
      <c r="E49" s="58"/>
      <c r="F49" s="58"/>
      <c r="G49" s="58"/>
      <c r="H49" s="68" t="str">
        <f t="shared" si="11"/>
        <v>Voron Design Decal</v>
      </c>
      <c r="I49" s="76" t="s">
        <v>412</v>
      </c>
      <c r="J49" s="63">
        <f t="shared" si="5"/>
        <v>1</v>
      </c>
      <c r="K49" s="64">
        <v>5.99</v>
      </c>
      <c r="L49" s="64">
        <f t="shared" si="12"/>
        <v>5.99</v>
      </c>
      <c r="M49" s="64"/>
      <c r="N49" s="64"/>
      <c r="O49" s="64">
        <f t="shared" si="13"/>
        <v>5.99</v>
      </c>
      <c r="P49" s="64"/>
      <c r="Q49" s="76"/>
      <c r="R49" s="63"/>
      <c r="S49" s="99"/>
      <c r="T49" s="100"/>
    </row>
    <row r="50" spans="1:20">
      <c r="A50" s="118" t="s">
        <v>376</v>
      </c>
      <c r="B50" s="127">
        <v>1</v>
      </c>
      <c r="C50" s="127" t="s">
        <v>313</v>
      </c>
      <c r="D50" s="127"/>
      <c r="E50" s="128"/>
      <c r="F50" s="128"/>
      <c r="G50" s="128"/>
      <c r="H50" s="121" t="str">
        <f t="shared" si="11"/>
        <v>Din Rails (Pair); 470mm (350 builds; Model 2.4</v>
      </c>
      <c r="I50" s="122"/>
      <c r="J50" s="119">
        <f t="shared" si="5"/>
        <v>1</v>
      </c>
      <c r="K50" s="123">
        <v>11.99</v>
      </c>
      <c r="L50" s="123">
        <f t="shared" si="12"/>
        <v>11.99</v>
      </c>
      <c r="M50" s="123">
        <v>0</v>
      </c>
      <c r="N50" s="123">
        <v>0</v>
      </c>
      <c r="O50" s="123">
        <f t="shared" si="13"/>
        <v>11.99</v>
      </c>
      <c r="P50" s="123">
        <f>O50</f>
        <v>11.99</v>
      </c>
      <c r="Q50" s="124"/>
      <c r="R50" s="119" t="s">
        <v>280</v>
      </c>
      <c r="S50" s="125" t="s">
        <v>464</v>
      </c>
      <c r="T50" s="126" t="s">
        <v>464</v>
      </c>
    </row>
    <row r="51" spans="1:20">
      <c r="A51" s="118" t="s">
        <v>414</v>
      </c>
      <c r="B51" s="127">
        <v>1</v>
      </c>
      <c r="C51" s="127" t="s">
        <v>313</v>
      </c>
      <c r="D51" s="127"/>
      <c r="E51" s="128"/>
      <c r="F51" s="128"/>
      <c r="G51" s="128"/>
      <c r="H51" s="121" t="str">
        <f t="shared" si="11"/>
        <v xml:space="preserve">Din Rail Clamp / Bracket for Solid State Relay (SSR) </v>
      </c>
      <c r="I51" s="122"/>
      <c r="J51" s="119">
        <f t="shared" si="5"/>
        <v>1</v>
      </c>
      <c r="K51" s="123">
        <v>3.99</v>
      </c>
      <c r="L51" s="123">
        <f t="shared" si="12"/>
        <v>3.99</v>
      </c>
      <c r="M51" s="123">
        <v>0</v>
      </c>
      <c r="N51" s="123">
        <v>0</v>
      </c>
      <c r="O51" s="123">
        <f t="shared" si="13"/>
        <v>3.99</v>
      </c>
      <c r="P51" s="123">
        <f>O51</f>
        <v>3.99</v>
      </c>
      <c r="Q51" s="124"/>
      <c r="R51" s="119" t="s">
        <v>280</v>
      </c>
      <c r="S51" s="125" t="s">
        <v>464</v>
      </c>
      <c r="T51" s="126" t="s">
        <v>464</v>
      </c>
    </row>
    <row r="52" spans="1:20">
      <c r="A52" s="61" t="s">
        <v>413</v>
      </c>
      <c r="B52" s="67">
        <v>3</v>
      </c>
      <c r="C52" s="67" t="s">
        <v>313</v>
      </c>
      <c r="D52" s="67"/>
      <c r="E52" s="58"/>
      <c r="F52" s="58"/>
      <c r="G52" s="58"/>
      <c r="H52" s="68" t="str">
        <f t="shared" si="11"/>
        <v>Wire Connectors (Wago 221-415)</v>
      </c>
      <c r="I52" s="76"/>
      <c r="J52" s="63">
        <f t="shared" si="5"/>
        <v>3</v>
      </c>
      <c r="K52" s="64">
        <v>2.79</v>
      </c>
      <c r="L52" s="64">
        <f t="shared" si="12"/>
        <v>8.370000000000001</v>
      </c>
      <c r="M52" s="64"/>
      <c r="N52" s="64"/>
      <c r="O52" s="64">
        <f t="shared" si="13"/>
        <v>8.370000000000001</v>
      </c>
      <c r="P52" s="64"/>
      <c r="Q52" s="76"/>
      <c r="R52" s="63"/>
      <c r="S52" s="99"/>
      <c r="T52" s="100"/>
    </row>
    <row r="53" spans="1:20" ht="30">
      <c r="A53" s="61" t="s">
        <v>415</v>
      </c>
      <c r="B53" s="67">
        <v>2</v>
      </c>
      <c r="C53" s="67" t="s">
        <v>313</v>
      </c>
      <c r="D53" s="67"/>
      <c r="E53" s="58"/>
      <c r="F53" s="58"/>
      <c r="G53" s="58"/>
      <c r="H53" s="68" t="str">
        <f t="shared" si="11"/>
        <v xml:space="preserve">3-3 DIN Mounting Fast Wire Cable Connectors / Wago Connector </v>
      </c>
      <c r="I53" s="76"/>
      <c r="J53" s="63">
        <f t="shared" si="5"/>
        <v>2</v>
      </c>
      <c r="K53" s="64">
        <v>3.49</v>
      </c>
      <c r="L53" s="64">
        <f t="shared" si="12"/>
        <v>6.98</v>
      </c>
      <c r="M53" s="64"/>
      <c r="N53" s="64"/>
      <c r="O53" s="64">
        <f t="shared" si="13"/>
        <v>6.98</v>
      </c>
      <c r="P53" s="64"/>
      <c r="Q53" s="76"/>
      <c r="R53" s="63"/>
      <c r="S53" s="99"/>
      <c r="T53" s="100"/>
    </row>
    <row r="54" spans="1:20">
      <c r="A54" s="61" t="s">
        <v>416</v>
      </c>
      <c r="B54" s="67">
        <v>1</v>
      </c>
      <c r="C54" s="67" t="s">
        <v>313</v>
      </c>
      <c r="D54" s="67"/>
      <c r="E54" s="58"/>
      <c r="F54" s="58"/>
      <c r="G54" s="58"/>
      <c r="H54" s="68" t="str">
        <f t="shared" ref="H54:H55" si="14">A54</f>
        <v xml:space="preserve">ADXL345 Accelerometer </v>
      </c>
      <c r="I54" s="76"/>
      <c r="J54" s="63">
        <f t="shared" si="5"/>
        <v>1</v>
      </c>
      <c r="K54" s="64">
        <v>3.49</v>
      </c>
      <c r="L54" s="64">
        <f t="shared" si="12"/>
        <v>3.49</v>
      </c>
      <c r="M54" s="64"/>
      <c r="N54" s="64"/>
      <c r="O54" s="64">
        <f t="shared" si="13"/>
        <v>3.49</v>
      </c>
      <c r="P54" s="64"/>
      <c r="Q54" s="76"/>
      <c r="R54" s="63"/>
      <c r="S54" s="99"/>
      <c r="T54" s="100"/>
    </row>
    <row r="55" spans="1:20">
      <c r="A55" s="61" t="s">
        <v>67</v>
      </c>
      <c r="B55" s="67">
        <v>1</v>
      </c>
      <c r="C55" s="67" t="s">
        <v>313</v>
      </c>
      <c r="D55" s="67"/>
      <c r="E55" s="58"/>
      <c r="F55" s="58"/>
      <c r="G55" s="65"/>
      <c r="H55" s="68" t="str">
        <f t="shared" si="14"/>
        <v>C13 Power Cord</v>
      </c>
      <c r="I55" s="76" t="s">
        <v>417</v>
      </c>
      <c r="J55" s="63">
        <f t="shared" si="5"/>
        <v>1</v>
      </c>
      <c r="K55" s="64"/>
      <c r="L55" s="64">
        <f t="shared" si="12"/>
        <v>0</v>
      </c>
      <c r="M55" s="64"/>
      <c r="N55" s="64"/>
      <c r="O55" s="64">
        <f t="shared" si="13"/>
        <v>0</v>
      </c>
      <c r="P55" s="64"/>
      <c r="Q55" s="76"/>
      <c r="R55" s="63"/>
      <c r="S55" s="99"/>
      <c r="T55" s="100"/>
    </row>
    <row r="56" spans="1:20">
      <c r="A56" s="59" t="s">
        <v>367</v>
      </c>
      <c r="B56" s="67">
        <v>1</v>
      </c>
      <c r="C56" s="67" t="s">
        <v>313</v>
      </c>
      <c r="D56" s="67"/>
      <c r="E56" s="58"/>
      <c r="F56" s="65"/>
      <c r="G56" s="58"/>
      <c r="H56" s="68"/>
      <c r="I56" s="76" t="s">
        <v>421</v>
      </c>
      <c r="J56" s="63">
        <f t="shared" si="5"/>
        <v>1</v>
      </c>
      <c r="K56" s="64"/>
      <c r="L56" s="64">
        <f t="shared" si="12"/>
        <v>0</v>
      </c>
      <c r="M56" s="64"/>
      <c r="N56" s="64"/>
      <c r="O56" s="64">
        <f t="shared" si="13"/>
        <v>0</v>
      </c>
      <c r="P56" s="64"/>
      <c r="Q56" s="76"/>
      <c r="R56" s="63"/>
      <c r="S56" s="99"/>
      <c r="T56" s="100"/>
    </row>
    <row r="57" spans="1:20">
      <c r="A57" s="61" t="s">
        <v>418</v>
      </c>
      <c r="B57" s="63">
        <v>1</v>
      </c>
      <c r="C57" s="63"/>
      <c r="D57" s="63" t="s">
        <v>298</v>
      </c>
      <c r="E57" s="65"/>
      <c r="F57" s="65"/>
      <c r="G57" s="58"/>
      <c r="H57" s="66" t="str">
        <f>A57</f>
        <v>3M VHB Tape 5952 5mm width</v>
      </c>
      <c r="I57" s="76" t="s">
        <v>420</v>
      </c>
      <c r="J57" s="63">
        <f t="shared" ref="J57:J59" si="15">B57</f>
        <v>1</v>
      </c>
      <c r="K57" s="64">
        <v>5.99</v>
      </c>
      <c r="L57" s="64">
        <f t="shared" ref="L57:L92" si="16">J57*K57</f>
        <v>5.99</v>
      </c>
      <c r="M57" s="64"/>
      <c r="N57" s="64"/>
      <c r="O57" s="64">
        <f t="shared" ref="O57:O63" si="17">L57+M57+N57</f>
        <v>5.99</v>
      </c>
      <c r="P57" s="64"/>
      <c r="Q57" s="76"/>
      <c r="R57" s="63"/>
      <c r="S57" s="99"/>
      <c r="T57" s="100"/>
    </row>
    <row r="58" spans="1:20">
      <c r="A58" s="61" t="s">
        <v>419</v>
      </c>
      <c r="B58" s="63">
        <v>1</v>
      </c>
      <c r="C58" s="63"/>
      <c r="D58" s="63" t="s">
        <v>298</v>
      </c>
      <c r="E58" s="65"/>
      <c r="F58" s="65"/>
      <c r="G58" s="58"/>
      <c r="H58" s="66" t="str">
        <f>A58</f>
        <v>3M VHB Tape 5952 6.35mm width</v>
      </c>
      <c r="I58" s="76" t="s">
        <v>420</v>
      </c>
      <c r="J58" s="63">
        <f t="shared" si="15"/>
        <v>1</v>
      </c>
      <c r="K58" s="64">
        <v>6.99</v>
      </c>
      <c r="L58" s="64">
        <f t="shared" si="16"/>
        <v>6.99</v>
      </c>
      <c r="M58" s="64"/>
      <c r="N58" s="64"/>
      <c r="O58" s="64">
        <f t="shared" si="17"/>
        <v>6.99</v>
      </c>
      <c r="P58" s="64"/>
      <c r="Q58" s="76"/>
      <c r="R58" s="63"/>
      <c r="S58" s="99"/>
      <c r="T58" s="100"/>
    </row>
    <row r="59" spans="1:20">
      <c r="A59" s="61" t="s">
        <v>422</v>
      </c>
      <c r="B59" s="63">
        <v>1</v>
      </c>
      <c r="C59" s="63"/>
      <c r="D59" s="63" t="s">
        <v>298</v>
      </c>
      <c r="E59" s="65"/>
      <c r="F59" s="65"/>
      <c r="G59" s="58"/>
      <c r="H59" s="68"/>
      <c r="I59" s="76"/>
      <c r="J59" s="63">
        <f t="shared" si="15"/>
        <v>1</v>
      </c>
      <c r="K59" s="64">
        <v>6.5</v>
      </c>
      <c r="L59" s="64">
        <f t="shared" si="16"/>
        <v>6.5</v>
      </c>
      <c r="M59" s="64"/>
      <c r="N59" s="64"/>
      <c r="O59" s="64">
        <f t="shared" si="17"/>
        <v>6.5</v>
      </c>
      <c r="P59" s="64"/>
      <c r="Q59" s="76"/>
      <c r="R59" s="63"/>
      <c r="S59" s="99"/>
      <c r="T59" s="100"/>
    </row>
    <row r="60" spans="1:20" ht="30">
      <c r="A60" s="118" t="s">
        <v>423</v>
      </c>
      <c r="B60" s="119">
        <v>1</v>
      </c>
      <c r="C60" s="119" t="s">
        <v>313</v>
      </c>
      <c r="D60" s="119" t="s">
        <v>298</v>
      </c>
      <c r="E60" s="120"/>
      <c r="F60" s="120"/>
      <c r="G60" s="120"/>
      <c r="H60" s="121" t="str">
        <f>A60</f>
        <v>Titanium Backers for Voron 2.4/Trident with screws 3-Pack (350mm)</v>
      </c>
      <c r="I60" s="122" t="s">
        <v>424</v>
      </c>
      <c r="J60" s="119">
        <f t="shared" ref="J60:J92" si="18">B60</f>
        <v>1</v>
      </c>
      <c r="K60" s="123">
        <v>74.989999999999995</v>
      </c>
      <c r="L60" s="123">
        <f t="shared" si="16"/>
        <v>74.989999999999995</v>
      </c>
      <c r="M60" s="123">
        <v>0</v>
      </c>
      <c r="N60" s="123">
        <v>0</v>
      </c>
      <c r="O60" s="123">
        <f t="shared" si="17"/>
        <v>74.989999999999995</v>
      </c>
      <c r="P60" s="123">
        <f>O60</f>
        <v>74.989999999999995</v>
      </c>
      <c r="Q60" s="124"/>
      <c r="R60" s="119" t="s">
        <v>280</v>
      </c>
      <c r="S60" s="125" t="s">
        <v>464</v>
      </c>
      <c r="T60" s="126" t="s">
        <v>464</v>
      </c>
    </row>
    <row r="61" spans="1:20" ht="45">
      <c r="A61" s="118" t="s">
        <v>425</v>
      </c>
      <c r="B61" s="119">
        <v>1</v>
      </c>
      <c r="C61" s="119" t="s">
        <v>313</v>
      </c>
      <c r="D61" s="119" t="s">
        <v>298</v>
      </c>
      <c r="E61" s="118" t="s">
        <v>470</v>
      </c>
      <c r="F61" s="120"/>
      <c r="G61" s="120"/>
      <c r="H61" s="121" t="str">
        <f>E61</f>
        <v>Mandala Roseworks Matched height kinematic kit</v>
      </c>
      <c r="I61" s="122" t="s">
        <v>480</v>
      </c>
      <c r="J61" s="119">
        <f t="shared" si="18"/>
        <v>1</v>
      </c>
      <c r="K61" s="123">
        <v>88</v>
      </c>
      <c r="L61" s="123">
        <f t="shared" si="16"/>
        <v>88</v>
      </c>
      <c r="M61" s="123">
        <v>4.0599999999999996</v>
      </c>
      <c r="N61" s="123">
        <v>0</v>
      </c>
      <c r="O61" s="123">
        <f t="shared" si="17"/>
        <v>92.06</v>
      </c>
      <c r="P61" s="123">
        <f>O61</f>
        <v>92.06</v>
      </c>
      <c r="Q61" s="122"/>
      <c r="R61" s="119" t="s">
        <v>280</v>
      </c>
      <c r="S61" s="125" t="s">
        <v>472</v>
      </c>
      <c r="T61" s="126" t="s">
        <v>472</v>
      </c>
    </row>
    <row r="62" spans="1:20">
      <c r="A62" s="65" t="s">
        <v>432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8" t="str">
        <f t="shared" ref="H62:H65" si="19">A62</f>
        <v>Kapton Tape</v>
      </c>
      <c r="I62" s="76" t="s">
        <v>438</v>
      </c>
      <c r="J62" s="63">
        <f t="shared" si="18"/>
        <v>1</v>
      </c>
      <c r="K62" s="64">
        <v>0</v>
      </c>
      <c r="L62" s="64">
        <f t="shared" si="16"/>
        <v>0</v>
      </c>
      <c r="M62" s="64"/>
      <c r="N62" s="64"/>
      <c r="O62" s="64">
        <f t="shared" si="17"/>
        <v>0</v>
      </c>
      <c r="P62" s="64"/>
      <c r="Q62" s="76"/>
      <c r="R62" s="63"/>
      <c r="S62" s="99"/>
      <c r="T62" s="100"/>
    </row>
    <row r="63" spans="1:20">
      <c r="A63" s="91" t="s">
        <v>449</v>
      </c>
      <c r="B63" s="63">
        <v>1</v>
      </c>
      <c r="C63" s="63" t="s">
        <v>313</v>
      </c>
      <c r="D63" s="63"/>
      <c r="E63" s="65"/>
      <c r="F63" s="65"/>
      <c r="G63" s="65"/>
      <c r="H63" s="68" t="str">
        <f t="shared" si="19"/>
        <v>Voron Zip Tie Kit</v>
      </c>
      <c r="I63" s="76" t="s">
        <v>439</v>
      </c>
      <c r="J63" s="63">
        <f t="shared" si="18"/>
        <v>1</v>
      </c>
      <c r="K63" s="64">
        <v>4</v>
      </c>
      <c r="L63" s="64">
        <f t="shared" si="16"/>
        <v>4</v>
      </c>
      <c r="M63" s="64"/>
      <c r="N63" s="64"/>
      <c r="O63" s="64">
        <f t="shared" si="17"/>
        <v>4</v>
      </c>
      <c r="P63" s="64"/>
      <c r="Q63" s="76"/>
      <c r="R63" s="63"/>
      <c r="S63" s="99"/>
      <c r="T63" s="100"/>
    </row>
    <row r="64" spans="1:20" ht="75">
      <c r="A64" s="118" t="s">
        <v>440</v>
      </c>
      <c r="B64" s="119">
        <v>3</v>
      </c>
      <c r="C64" s="119" t="s">
        <v>313</v>
      </c>
      <c r="D64" s="119" t="s">
        <v>298</v>
      </c>
      <c r="E64" s="120"/>
      <c r="F64" s="120"/>
      <c r="G64" s="120"/>
      <c r="H64" s="121" t="str">
        <f t="shared" si="19"/>
        <v>Jet Black ASA Prusament (850g) - Primary color</v>
      </c>
      <c r="I64" s="122" t="s">
        <v>442</v>
      </c>
      <c r="J64" s="119">
        <f t="shared" si="18"/>
        <v>3</v>
      </c>
      <c r="K64" s="123">
        <v>35.99</v>
      </c>
      <c r="L64" s="123">
        <f t="shared" si="16"/>
        <v>107.97</v>
      </c>
      <c r="M64" s="124">
        <v>0</v>
      </c>
      <c r="N64" s="123">
        <v>0</v>
      </c>
      <c r="O64" s="123">
        <f t="shared" ref="O64:O92" si="20">L64+M64+N64</f>
        <v>107.97</v>
      </c>
      <c r="P64" s="123">
        <f>O64</f>
        <v>107.97</v>
      </c>
      <c r="Q64" s="124"/>
      <c r="R64" s="119" t="s">
        <v>280</v>
      </c>
      <c r="S64" s="125" t="s">
        <v>496</v>
      </c>
      <c r="T64" s="126" t="s">
        <v>467</v>
      </c>
    </row>
    <row r="65" spans="1:20">
      <c r="A65" s="103" t="s">
        <v>441</v>
      </c>
      <c r="B65" s="108">
        <v>2</v>
      </c>
      <c r="C65" s="108" t="s">
        <v>313</v>
      </c>
      <c r="D65" s="108" t="s">
        <v>298</v>
      </c>
      <c r="E65" s="113"/>
      <c r="F65" s="113"/>
      <c r="G65" s="113"/>
      <c r="H65" s="114" t="str">
        <f t="shared" si="19"/>
        <v>Lipstick Red ASA Prusament (850g) - Secondary color</v>
      </c>
      <c r="I65" s="107" t="s">
        <v>442</v>
      </c>
      <c r="J65" s="108">
        <f t="shared" si="18"/>
        <v>2</v>
      </c>
      <c r="K65" s="109">
        <v>35.99</v>
      </c>
      <c r="L65" s="109">
        <f t="shared" si="16"/>
        <v>71.98</v>
      </c>
      <c r="M65" s="109">
        <v>0</v>
      </c>
      <c r="N65" s="109"/>
      <c r="O65" s="109">
        <f t="shared" si="20"/>
        <v>71.98</v>
      </c>
      <c r="P65" s="109">
        <f>K65 * 1</f>
        <v>35.99</v>
      </c>
      <c r="Q65" s="107"/>
      <c r="R65" s="108" t="s">
        <v>444</v>
      </c>
      <c r="S65" s="110" t="s">
        <v>278</v>
      </c>
      <c r="T65" s="111" t="s">
        <v>278</v>
      </c>
    </row>
    <row r="66" spans="1:20">
      <c r="A66" s="61" t="s">
        <v>450</v>
      </c>
      <c r="B66" s="63">
        <v>1</v>
      </c>
      <c r="C66" s="63" t="s">
        <v>313</v>
      </c>
      <c r="D66" s="63" t="s">
        <v>298</v>
      </c>
      <c r="E66" s="65"/>
      <c r="F66" s="65"/>
      <c r="G66" s="65"/>
      <c r="H66" s="68" t="str">
        <f t="shared" ref="H66:H70" si="21">A66</f>
        <v xml:space="preserve">BTT Smart Filament Runout Sensor (SFS) </v>
      </c>
      <c r="I66" s="76"/>
      <c r="J66" s="63">
        <f t="shared" si="18"/>
        <v>1</v>
      </c>
      <c r="K66" s="64">
        <v>14.99</v>
      </c>
      <c r="L66" s="64">
        <f t="shared" si="16"/>
        <v>14.99</v>
      </c>
      <c r="M66" s="64"/>
      <c r="N66" s="64"/>
      <c r="O66" s="64">
        <f t="shared" si="20"/>
        <v>14.99</v>
      </c>
      <c r="P66" s="64"/>
      <c r="Q66" s="76"/>
      <c r="R66" s="63"/>
      <c r="S66" s="99"/>
      <c r="T66" s="100"/>
    </row>
    <row r="67" spans="1:20">
      <c r="A67" s="103" t="s">
        <v>451</v>
      </c>
      <c r="B67" s="108">
        <v>2</v>
      </c>
      <c r="C67" s="108" t="s">
        <v>313</v>
      </c>
      <c r="D67" s="108" t="s">
        <v>298</v>
      </c>
      <c r="E67" s="113"/>
      <c r="F67" s="113"/>
      <c r="G67" s="113"/>
      <c r="H67" s="114" t="str">
        <f t="shared" si="21"/>
        <v>BTT CB1 Heatsink</v>
      </c>
      <c r="I67" s="107" t="s">
        <v>452</v>
      </c>
      <c r="J67" s="108">
        <f t="shared" si="18"/>
        <v>2</v>
      </c>
      <c r="K67" s="109">
        <v>5.99</v>
      </c>
      <c r="L67" s="109">
        <f t="shared" si="16"/>
        <v>11.98</v>
      </c>
      <c r="M67" s="109">
        <v>0</v>
      </c>
      <c r="N67" s="109">
        <v>0</v>
      </c>
      <c r="O67" s="109">
        <f t="shared" si="20"/>
        <v>11.98</v>
      </c>
      <c r="P67" s="109">
        <f>O67</f>
        <v>11.98</v>
      </c>
      <c r="Q67" s="116">
        <f>(K67*1) * -1</f>
        <v>-5.99</v>
      </c>
      <c r="R67" s="108" t="s">
        <v>392</v>
      </c>
      <c r="S67" s="110" t="s">
        <v>455</v>
      </c>
      <c r="T67" s="111" t="s">
        <v>455</v>
      </c>
    </row>
    <row r="68" spans="1:20" ht="45">
      <c r="A68" s="118" t="s">
        <v>469</v>
      </c>
      <c r="B68" s="119">
        <v>1</v>
      </c>
      <c r="C68" s="119" t="s">
        <v>313</v>
      </c>
      <c r="D68" s="119" t="s">
        <v>298</v>
      </c>
      <c r="E68" s="120"/>
      <c r="F68" s="120"/>
      <c r="G68" s="120"/>
      <c r="H68" s="121" t="str">
        <f t="shared" si="21"/>
        <v>Mandala Roseworks Kinematic center brace for Voron 2.4</v>
      </c>
      <c r="I68" s="122" t="s">
        <v>493</v>
      </c>
      <c r="J68" s="119">
        <f t="shared" ref="J68:J89" si="22">B68</f>
        <v>1</v>
      </c>
      <c r="K68" s="123">
        <v>35</v>
      </c>
      <c r="L68" s="123">
        <f t="shared" ref="L68:L89" si="23">J68*K68</f>
        <v>35</v>
      </c>
      <c r="M68" s="123">
        <v>4.0599999999999996</v>
      </c>
      <c r="N68" s="123">
        <v>0</v>
      </c>
      <c r="O68" s="123">
        <f t="shared" ref="O68:O89" si="24">L68+M68+N68</f>
        <v>39.06</v>
      </c>
      <c r="P68" s="123">
        <f>O68</f>
        <v>39.06</v>
      </c>
      <c r="Q68" s="124"/>
      <c r="R68" s="119" t="s">
        <v>280</v>
      </c>
      <c r="S68" s="125" t="s">
        <v>495</v>
      </c>
      <c r="T68" s="126" t="s">
        <v>471</v>
      </c>
    </row>
    <row r="69" spans="1:20" ht="45">
      <c r="A69" s="118" t="s">
        <v>473</v>
      </c>
      <c r="B69" s="119">
        <v>1</v>
      </c>
      <c r="C69" s="119" t="s">
        <v>313</v>
      </c>
      <c r="D69" s="119" t="s">
        <v>298</v>
      </c>
      <c r="E69" s="120"/>
      <c r="F69" s="120"/>
      <c r="G69" s="120"/>
      <c r="H69" s="121" t="str">
        <f t="shared" si="21"/>
        <v>Mandala Roseworks The "Gripper" E3DV6 Wrench</v>
      </c>
      <c r="I69" s="122" t="s">
        <v>476</v>
      </c>
      <c r="J69" s="119">
        <f t="shared" si="22"/>
        <v>1</v>
      </c>
      <c r="K69" s="123">
        <v>29</v>
      </c>
      <c r="L69" s="123">
        <f t="shared" si="23"/>
        <v>29</v>
      </c>
      <c r="M69" s="123">
        <v>6.27</v>
      </c>
      <c r="N69" s="123">
        <v>0</v>
      </c>
      <c r="O69" s="123">
        <f t="shared" si="24"/>
        <v>35.269999999999996</v>
      </c>
      <c r="P69" s="123">
        <f>O69</f>
        <v>35.269999999999996</v>
      </c>
      <c r="Q69" s="124">
        <f>-1*P69</f>
        <v>-35.269999999999996</v>
      </c>
      <c r="R69" s="119" t="s">
        <v>280</v>
      </c>
      <c r="S69" s="125" t="s">
        <v>494</v>
      </c>
      <c r="T69" s="126" t="s">
        <v>477</v>
      </c>
    </row>
    <row r="70" spans="1:20" ht="30">
      <c r="A70" s="118" t="s">
        <v>474</v>
      </c>
      <c r="B70" s="119">
        <v>1</v>
      </c>
      <c r="C70" s="119" t="s">
        <v>313</v>
      </c>
      <c r="D70" s="119" t="s">
        <v>298</v>
      </c>
      <c r="E70" s="120"/>
      <c r="F70" s="120"/>
      <c r="G70" s="120"/>
      <c r="H70" s="121" t="str">
        <f t="shared" si="21"/>
        <v>Layerneer Bed Weld - Original 3D printing adhesive</v>
      </c>
      <c r="I70" s="122" t="s">
        <v>475</v>
      </c>
      <c r="J70" s="119">
        <f t="shared" ref="J70:J86" si="25">B70</f>
        <v>1</v>
      </c>
      <c r="K70" s="123">
        <v>22.95</v>
      </c>
      <c r="L70" s="123">
        <f t="shared" ref="L70:L86" si="26">J70*K70</f>
        <v>22.95</v>
      </c>
      <c r="M70" s="123">
        <v>0</v>
      </c>
      <c r="N70" s="123">
        <v>0</v>
      </c>
      <c r="O70" s="123">
        <f t="shared" ref="O70:O86" si="27">L70+M70+N70</f>
        <v>22.95</v>
      </c>
      <c r="P70" s="123">
        <f>O70</f>
        <v>22.95</v>
      </c>
      <c r="Q70" s="124">
        <f>-1*P70</f>
        <v>-22.95</v>
      </c>
      <c r="R70" s="119" t="s">
        <v>280</v>
      </c>
      <c r="S70" s="125" t="s">
        <v>497</v>
      </c>
      <c r="T70" s="126" t="s">
        <v>478</v>
      </c>
    </row>
    <row r="71" spans="1:20" ht="45">
      <c r="A71" s="118" t="s">
        <v>479</v>
      </c>
      <c r="B71" s="119">
        <v>1</v>
      </c>
      <c r="C71" s="119" t="s">
        <v>313</v>
      </c>
      <c r="D71" s="119" t="s">
        <v>298</v>
      </c>
      <c r="E71" s="120"/>
      <c r="F71" s="120"/>
      <c r="G71" s="120"/>
      <c r="H71" s="121" t="str">
        <f>A71</f>
        <v>Voron Tap - rail w/ optotap v2 (5-24v) and HW kit; from DFH</v>
      </c>
      <c r="I71" s="122" t="s">
        <v>492</v>
      </c>
      <c r="J71" s="119">
        <f t="shared" ref="J71:J81" si="28">B71</f>
        <v>1</v>
      </c>
      <c r="K71" s="123">
        <v>45</v>
      </c>
      <c r="L71" s="123">
        <f t="shared" ref="L71:L81" si="29">J71*K71</f>
        <v>45</v>
      </c>
      <c r="M71" s="123">
        <f>(20.18/9)*J71</f>
        <v>2.2422222222222223</v>
      </c>
      <c r="N71" s="123">
        <v>0</v>
      </c>
      <c r="O71" s="123">
        <f t="shared" ref="O71:O81" si="30">L71+M71+N71</f>
        <v>47.242222222222225</v>
      </c>
      <c r="P71" s="123">
        <f>O71-((18.05/9)*J71)</f>
        <v>45.236666666666672</v>
      </c>
      <c r="Q71" s="122"/>
      <c r="R71" s="119" t="s">
        <v>280</v>
      </c>
      <c r="S71" s="125" t="s">
        <v>498</v>
      </c>
      <c r="T71" s="126" t="s">
        <v>487</v>
      </c>
    </row>
    <row r="72" spans="1:20" ht="30">
      <c r="A72" s="118" t="s">
        <v>481</v>
      </c>
      <c r="B72" s="119">
        <v>2</v>
      </c>
      <c r="C72" s="119" t="s">
        <v>313</v>
      </c>
      <c r="D72" s="119" t="s">
        <v>298</v>
      </c>
      <c r="E72" s="120"/>
      <c r="F72" s="120"/>
      <c r="G72" s="120"/>
      <c r="H72" s="121" t="str">
        <f>A72</f>
        <v>Nightlight on a stick - LED Strip; from DFH</v>
      </c>
      <c r="I72" s="122" t="s">
        <v>486</v>
      </c>
      <c r="J72" s="119">
        <f t="shared" si="28"/>
        <v>2</v>
      </c>
      <c r="K72" s="123">
        <v>17.5</v>
      </c>
      <c r="L72" s="123">
        <f t="shared" si="29"/>
        <v>35</v>
      </c>
      <c r="M72" s="123">
        <f t="shared" ref="M72:M76" si="31">(20.18/9)*J72</f>
        <v>4.4844444444444447</v>
      </c>
      <c r="N72" s="123">
        <v>0</v>
      </c>
      <c r="O72" s="123">
        <f t="shared" si="30"/>
        <v>39.484444444444442</v>
      </c>
      <c r="P72" s="123">
        <f t="shared" ref="P72:P76" si="32">O72-((18.05/9)*J72)</f>
        <v>35.473333333333329</v>
      </c>
      <c r="Q72" s="124">
        <f>-1*P72</f>
        <v>-35.473333333333329</v>
      </c>
      <c r="R72" s="119" t="s">
        <v>280</v>
      </c>
      <c r="S72" s="125" t="s">
        <v>488</v>
      </c>
      <c r="T72" s="126" t="s">
        <v>488</v>
      </c>
    </row>
    <row r="73" spans="1:20" ht="30">
      <c r="A73" s="118" t="s">
        <v>482</v>
      </c>
      <c r="B73" s="119">
        <v>2</v>
      </c>
      <c r="C73" s="119" t="s">
        <v>313</v>
      </c>
      <c r="D73" s="119" t="s">
        <v>298</v>
      </c>
      <c r="E73" s="120"/>
      <c r="F73" s="120"/>
      <c r="G73" s="120"/>
      <c r="H73" s="121" t="str">
        <f>A73</f>
        <v>Disco stick on black PCB - LED Strip; from DFH</v>
      </c>
      <c r="I73" s="122" t="s">
        <v>486</v>
      </c>
      <c r="J73" s="119">
        <f t="shared" si="28"/>
        <v>2</v>
      </c>
      <c r="K73" s="123">
        <v>16.5</v>
      </c>
      <c r="L73" s="123">
        <f t="shared" si="29"/>
        <v>33</v>
      </c>
      <c r="M73" s="123">
        <f t="shared" si="31"/>
        <v>4.4844444444444447</v>
      </c>
      <c r="N73" s="123">
        <v>0</v>
      </c>
      <c r="O73" s="123">
        <f t="shared" si="30"/>
        <v>37.484444444444442</v>
      </c>
      <c r="P73" s="123">
        <f t="shared" si="32"/>
        <v>33.473333333333329</v>
      </c>
      <c r="Q73" s="122"/>
      <c r="R73" s="119" t="s">
        <v>280</v>
      </c>
      <c r="S73" s="125" t="s">
        <v>488</v>
      </c>
      <c r="T73" s="126" t="s">
        <v>488</v>
      </c>
    </row>
    <row r="74" spans="1:20" ht="30">
      <c r="A74" s="118" t="s">
        <v>484</v>
      </c>
      <c r="B74" s="119">
        <v>1</v>
      </c>
      <c r="C74" s="119" t="s">
        <v>313</v>
      </c>
      <c r="D74" s="119" t="s">
        <v>298</v>
      </c>
      <c r="E74" s="120"/>
      <c r="F74" s="120"/>
      <c r="G74" s="120"/>
      <c r="H74" s="121" t="str">
        <f>A74</f>
        <v>OV5640 Camera Module; from DFH</v>
      </c>
      <c r="I74" s="122" t="s">
        <v>486</v>
      </c>
      <c r="J74" s="119">
        <f t="shared" si="28"/>
        <v>1</v>
      </c>
      <c r="K74" s="123">
        <v>32.5</v>
      </c>
      <c r="L74" s="123">
        <f t="shared" si="29"/>
        <v>32.5</v>
      </c>
      <c r="M74" s="123">
        <f t="shared" si="31"/>
        <v>2.2422222222222223</v>
      </c>
      <c r="N74" s="123">
        <v>0</v>
      </c>
      <c r="O74" s="123">
        <f t="shared" si="30"/>
        <v>34.742222222222225</v>
      </c>
      <c r="P74" s="123">
        <f t="shared" si="32"/>
        <v>32.736666666666672</v>
      </c>
      <c r="Q74" s="122"/>
      <c r="R74" s="119" t="s">
        <v>280</v>
      </c>
      <c r="S74" s="125" t="s">
        <v>488</v>
      </c>
      <c r="T74" s="126" t="s">
        <v>488</v>
      </c>
    </row>
    <row r="75" spans="1:20" ht="30">
      <c r="A75" s="118" t="s">
        <v>485</v>
      </c>
      <c r="B75" s="119">
        <v>2</v>
      </c>
      <c r="C75" s="119" t="s">
        <v>313</v>
      </c>
      <c r="D75" s="119" t="s">
        <v>383</v>
      </c>
      <c r="E75" s="120"/>
      <c r="F75" s="120"/>
      <c r="G75" s="120"/>
      <c r="H75" s="121" t="str">
        <f>A75</f>
        <v>Seeeduino XIAO; from DFH</v>
      </c>
      <c r="I75" s="122" t="s">
        <v>490</v>
      </c>
      <c r="J75" s="119">
        <f t="shared" si="28"/>
        <v>2</v>
      </c>
      <c r="K75" s="123">
        <v>10</v>
      </c>
      <c r="L75" s="123">
        <f t="shared" si="29"/>
        <v>20</v>
      </c>
      <c r="M75" s="123">
        <f t="shared" si="31"/>
        <v>4.4844444444444447</v>
      </c>
      <c r="N75" s="123">
        <v>0</v>
      </c>
      <c r="O75" s="123">
        <f t="shared" si="30"/>
        <v>24.484444444444446</v>
      </c>
      <c r="P75" s="123">
        <f t="shared" si="32"/>
        <v>20.473333333333336</v>
      </c>
      <c r="Q75" s="124">
        <f>-1*(P75/2)</f>
        <v>-10.236666666666668</v>
      </c>
      <c r="R75" s="119" t="s">
        <v>280</v>
      </c>
      <c r="S75" s="125" t="s">
        <v>488</v>
      </c>
      <c r="T75" s="126" t="s">
        <v>488</v>
      </c>
    </row>
    <row r="76" spans="1:20" ht="30">
      <c r="A76" s="118" t="s">
        <v>483</v>
      </c>
      <c r="B76" s="119">
        <v>1</v>
      </c>
      <c r="C76" s="119" t="s">
        <v>313</v>
      </c>
      <c r="D76" s="119" t="s">
        <v>383</v>
      </c>
      <c r="E76" s="120"/>
      <c r="F76" s="120"/>
      <c r="G76" s="120"/>
      <c r="H76" s="121" t="str">
        <f>A76</f>
        <v>Daylight on a stick on black PCB; from DFH</v>
      </c>
      <c r="I76" s="122" t="s">
        <v>489</v>
      </c>
      <c r="J76" s="119">
        <f t="shared" si="28"/>
        <v>1</v>
      </c>
      <c r="K76" s="123">
        <v>15</v>
      </c>
      <c r="L76" s="123">
        <f t="shared" si="29"/>
        <v>15</v>
      </c>
      <c r="M76" s="123">
        <f t="shared" si="31"/>
        <v>2.2422222222222223</v>
      </c>
      <c r="N76" s="123">
        <v>0</v>
      </c>
      <c r="O76" s="123">
        <f t="shared" si="30"/>
        <v>17.242222222222221</v>
      </c>
      <c r="P76" s="123">
        <f t="shared" si="32"/>
        <v>15.236666666666665</v>
      </c>
      <c r="Q76" s="124">
        <f>-1*P76</f>
        <v>-15.236666666666665</v>
      </c>
      <c r="R76" s="119" t="s">
        <v>280</v>
      </c>
      <c r="S76" s="125" t="s">
        <v>488</v>
      </c>
      <c r="T76" s="126" t="s">
        <v>488</v>
      </c>
    </row>
    <row r="77" spans="1:20">
      <c r="A77" s="65"/>
      <c r="B77" s="63"/>
      <c r="C77" s="63"/>
      <c r="D77" s="63"/>
      <c r="E77" s="65"/>
      <c r="F77" s="65"/>
      <c r="G77" s="65"/>
      <c r="H77" s="68"/>
      <c r="I77" s="76"/>
      <c r="J77" s="63">
        <f t="shared" si="28"/>
        <v>0</v>
      </c>
      <c r="K77" s="64"/>
      <c r="L77" s="64">
        <f t="shared" si="29"/>
        <v>0</v>
      </c>
      <c r="M77" s="64"/>
      <c r="N77" s="64"/>
      <c r="O77" s="64">
        <f t="shared" si="30"/>
        <v>0</v>
      </c>
      <c r="P77" s="64"/>
      <c r="Q77" s="76"/>
      <c r="R77" s="63"/>
      <c r="S77" s="99"/>
      <c r="T77" s="100"/>
    </row>
    <row r="78" spans="1:20">
      <c r="A78" s="65"/>
      <c r="B78" s="63"/>
      <c r="C78" s="63"/>
      <c r="D78" s="63"/>
      <c r="E78" s="65"/>
      <c r="F78" s="65"/>
      <c r="G78" s="65"/>
      <c r="H78" s="68"/>
      <c r="I78" s="76"/>
      <c r="J78" s="63">
        <f t="shared" si="28"/>
        <v>0</v>
      </c>
      <c r="K78" s="64"/>
      <c r="L78" s="64">
        <f t="shared" si="29"/>
        <v>0</v>
      </c>
      <c r="M78" s="64"/>
      <c r="N78" s="64"/>
      <c r="O78" s="64">
        <f t="shared" si="30"/>
        <v>0</v>
      </c>
      <c r="P78" s="64"/>
      <c r="Q78" s="76"/>
      <c r="R78" s="63"/>
      <c r="S78" s="99"/>
      <c r="T78" s="100"/>
    </row>
    <row r="79" spans="1:20">
      <c r="A79" s="65"/>
      <c r="B79" s="63"/>
      <c r="C79" s="63"/>
      <c r="D79" s="63"/>
      <c r="E79" s="65"/>
      <c r="F79" s="65"/>
      <c r="G79" s="65"/>
      <c r="H79" s="68"/>
      <c r="I79" s="76"/>
      <c r="J79" s="63">
        <f t="shared" si="28"/>
        <v>0</v>
      </c>
      <c r="K79" s="64"/>
      <c r="L79" s="64">
        <f t="shared" si="29"/>
        <v>0</v>
      </c>
      <c r="M79" s="64"/>
      <c r="N79" s="64"/>
      <c r="O79" s="64">
        <f t="shared" si="30"/>
        <v>0</v>
      </c>
      <c r="P79" s="64"/>
      <c r="Q79" s="76"/>
      <c r="R79" s="63"/>
      <c r="S79" s="99"/>
      <c r="T79" s="100"/>
    </row>
    <row r="80" spans="1:20">
      <c r="A80" s="65"/>
      <c r="B80" s="63"/>
      <c r="C80" s="63"/>
      <c r="D80" s="63"/>
      <c r="E80" s="65"/>
      <c r="F80" s="65"/>
      <c r="G80" s="65"/>
      <c r="H80" s="68"/>
      <c r="I80" s="76"/>
      <c r="J80" s="63">
        <f t="shared" si="28"/>
        <v>0</v>
      </c>
      <c r="K80" s="64"/>
      <c r="L80" s="64">
        <f t="shared" si="29"/>
        <v>0</v>
      </c>
      <c r="M80" s="64"/>
      <c r="N80" s="64"/>
      <c r="O80" s="64">
        <f t="shared" si="30"/>
        <v>0</v>
      </c>
      <c r="P80" s="64"/>
      <c r="Q80" s="76"/>
      <c r="R80" s="63"/>
      <c r="S80" s="99"/>
      <c r="T80" s="100"/>
    </row>
    <row r="81" spans="1:20">
      <c r="A81" s="65"/>
      <c r="B81" s="63"/>
      <c r="C81" s="63"/>
      <c r="D81" s="63"/>
      <c r="E81" s="65"/>
      <c r="F81" s="65"/>
      <c r="G81" s="65"/>
      <c r="H81" s="68"/>
      <c r="I81" s="76"/>
      <c r="J81" s="63">
        <f t="shared" si="28"/>
        <v>0</v>
      </c>
      <c r="K81" s="64"/>
      <c r="L81" s="64">
        <f t="shared" si="29"/>
        <v>0</v>
      </c>
      <c r="M81" s="64"/>
      <c r="N81" s="64"/>
      <c r="O81" s="64">
        <f t="shared" si="30"/>
        <v>0</v>
      </c>
      <c r="P81" s="64"/>
      <c r="Q81" s="76"/>
      <c r="R81" s="63"/>
      <c r="S81" s="99"/>
      <c r="T81" s="100"/>
    </row>
    <row r="82" spans="1:20">
      <c r="A82" s="65"/>
      <c r="B82" s="63"/>
      <c r="C82" s="63"/>
      <c r="D82" s="63"/>
      <c r="E82" s="65"/>
      <c r="F82" s="65"/>
      <c r="G82" s="65"/>
      <c r="H82" s="68"/>
      <c r="I82" s="76"/>
      <c r="J82" s="63">
        <f t="shared" si="25"/>
        <v>0</v>
      </c>
      <c r="K82" s="64"/>
      <c r="L82" s="64">
        <f t="shared" si="26"/>
        <v>0</v>
      </c>
      <c r="M82" s="64"/>
      <c r="N82" s="64"/>
      <c r="O82" s="64">
        <f t="shared" si="27"/>
        <v>0</v>
      </c>
      <c r="P82" s="64"/>
      <c r="Q82" s="76"/>
      <c r="R82" s="63"/>
      <c r="S82" s="99"/>
      <c r="T82" s="100"/>
    </row>
    <row r="83" spans="1:20">
      <c r="A83" s="65"/>
      <c r="B83" s="63"/>
      <c r="C83" s="63"/>
      <c r="D83" s="63"/>
      <c r="E83" s="65"/>
      <c r="F83" s="65"/>
      <c r="G83" s="65"/>
      <c r="H83" s="68"/>
      <c r="I83" s="76"/>
      <c r="J83" s="63">
        <f t="shared" si="25"/>
        <v>0</v>
      </c>
      <c r="K83" s="64"/>
      <c r="L83" s="64">
        <f t="shared" si="26"/>
        <v>0</v>
      </c>
      <c r="M83" s="64"/>
      <c r="N83" s="64"/>
      <c r="O83" s="64">
        <f t="shared" si="27"/>
        <v>0</v>
      </c>
      <c r="P83" s="64"/>
      <c r="Q83" s="76"/>
      <c r="R83" s="63"/>
      <c r="S83" s="99"/>
      <c r="T83" s="100"/>
    </row>
    <row r="84" spans="1:20">
      <c r="A84" s="65"/>
      <c r="B84" s="63"/>
      <c r="C84" s="63"/>
      <c r="D84" s="63"/>
      <c r="E84" s="65"/>
      <c r="F84" s="65"/>
      <c r="G84" s="65"/>
      <c r="H84" s="68"/>
      <c r="I84" s="76"/>
      <c r="J84" s="63">
        <f t="shared" si="25"/>
        <v>0</v>
      </c>
      <c r="K84" s="64"/>
      <c r="L84" s="64">
        <f t="shared" si="26"/>
        <v>0</v>
      </c>
      <c r="M84" s="64"/>
      <c r="N84" s="64"/>
      <c r="O84" s="64">
        <f t="shared" si="27"/>
        <v>0</v>
      </c>
      <c r="P84" s="64"/>
      <c r="Q84" s="76"/>
      <c r="R84" s="63"/>
      <c r="S84" s="99"/>
      <c r="T84" s="100"/>
    </row>
    <row r="85" spans="1:20">
      <c r="A85" s="65"/>
      <c r="B85" s="63"/>
      <c r="C85" s="63"/>
      <c r="D85" s="63"/>
      <c r="E85" s="65"/>
      <c r="F85" s="65"/>
      <c r="G85" s="65"/>
      <c r="H85" s="68"/>
      <c r="I85" s="76"/>
      <c r="J85" s="63">
        <f t="shared" si="25"/>
        <v>0</v>
      </c>
      <c r="K85" s="64"/>
      <c r="L85" s="64">
        <f t="shared" si="26"/>
        <v>0</v>
      </c>
      <c r="M85" s="64"/>
      <c r="N85" s="64"/>
      <c r="O85" s="64">
        <f t="shared" si="27"/>
        <v>0</v>
      </c>
      <c r="P85" s="64"/>
      <c r="Q85" s="76"/>
      <c r="R85" s="63"/>
      <c r="S85" s="99"/>
      <c r="T85" s="100"/>
    </row>
    <row r="86" spans="1:20">
      <c r="A86" s="65"/>
      <c r="B86" s="63"/>
      <c r="C86" s="63"/>
      <c r="D86" s="63"/>
      <c r="E86" s="65"/>
      <c r="F86" s="65"/>
      <c r="G86" s="65"/>
      <c r="H86" s="68"/>
      <c r="I86" s="76"/>
      <c r="J86" s="63">
        <f t="shared" si="25"/>
        <v>0</v>
      </c>
      <c r="K86" s="64"/>
      <c r="L86" s="64">
        <f t="shared" si="26"/>
        <v>0</v>
      </c>
      <c r="M86" s="64"/>
      <c r="N86" s="64"/>
      <c r="O86" s="64">
        <f t="shared" si="27"/>
        <v>0</v>
      </c>
      <c r="P86" s="64"/>
      <c r="Q86" s="76"/>
      <c r="R86" s="63"/>
      <c r="S86" s="99"/>
      <c r="T86" s="100"/>
    </row>
    <row r="87" spans="1:20">
      <c r="A87" s="65"/>
      <c r="B87" s="63"/>
      <c r="C87" s="63"/>
      <c r="D87" s="63"/>
      <c r="E87" s="65"/>
      <c r="F87" s="65"/>
      <c r="G87" s="65"/>
      <c r="H87" s="68"/>
      <c r="I87" s="76"/>
      <c r="J87" s="63">
        <f t="shared" si="22"/>
        <v>0</v>
      </c>
      <c r="K87" s="64"/>
      <c r="L87" s="64">
        <f t="shared" si="23"/>
        <v>0</v>
      </c>
      <c r="M87" s="64"/>
      <c r="N87" s="64"/>
      <c r="O87" s="64">
        <f t="shared" si="24"/>
        <v>0</v>
      </c>
      <c r="P87" s="64"/>
      <c r="Q87" s="76"/>
      <c r="R87" s="63"/>
      <c r="S87" s="99"/>
      <c r="T87" s="100"/>
    </row>
    <row r="88" spans="1:20">
      <c r="A88" s="65"/>
      <c r="B88" s="63"/>
      <c r="C88" s="63"/>
      <c r="D88" s="63"/>
      <c r="E88" s="65"/>
      <c r="F88" s="65"/>
      <c r="G88" s="65"/>
      <c r="H88" s="68"/>
      <c r="I88" s="76"/>
      <c r="J88" s="63">
        <f t="shared" si="22"/>
        <v>0</v>
      </c>
      <c r="K88" s="64"/>
      <c r="L88" s="64">
        <f t="shared" si="23"/>
        <v>0</v>
      </c>
      <c r="M88" s="64"/>
      <c r="N88" s="64"/>
      <c r="O88" s="64">
        <f t="shared" si="24"/>
        <v>0</v>
      </c>
      <c r="P88" s="64"/>
      <c r="Q88" s="76"/>
      <c r="R88" s="63"/>
      <c r="S88" s="99"/>
      <c r="T88" s="100"/>
    </row>
    <row r="89" spans="1:20">
      <c r="A89" s="65"/>
      <c r="B89" s="63"/>
      <c r="C89" s="63"/>
      <c r="D89" s="63"/>
      <c r="E89" s="65"/>
      <c r="F89" s="65"/>
      <c r="G89" s="65"/>
      <c r="H89" s="68"/>
      <c r="I89" s="76"/>
      <c r="J89" s="63">
        <f t="shared" si="22"/>
        <v>0</v>
      </c>
      <c r="K89" s="64"/>
      <c r="L89" s="64">
        <f t="shared" si="23"/>
        <v>0</v>
      </c>
      <c r="M89" s="64"/>
      <c r="N89" s="64"/>
      <c r="O89" s="64">
        <f t="shared" si="24"/>
        <v>0</v>
      </c>
      <c r="P89" s="64"/>
      <c r="Q89" s="76"/>
      <c r="R89" s="63"/>
      <c r="S89" s="99"/>
      <c r="T89" s="100"/>
    </row>
    <row r="90" spans="1:20">
      <c r="A90" s="65"/>
      <c r="B90" s="63"/>
      <c r="C90" s="63"/>
      <c r="D90" s="63"/>
      <c r="E90" s="65"/>
      <c r="F90" s="65"/>
      <c r="G90" s="65"/>
      <c r="H90" s="68"/>
      <c r="I90" s="76"/>
      <c r="J90" s="63">
        <f t="shared" si="18"/>
        <v>0</v>
      </c>
      <c r="K90" s="64"/>
      <c r="L90" s="64">
        <f t="shared" si="16"/>
        <v>0</v>
      </c>
      <c r="M90" s="64"/>
      <c r="N90" s="64"/>
      <c r="O90" s="64">
        <f t="shared" si="20"/>
        <v>0</v>
      </c>
      <c r="P90" s="64"/>
      <c r="Q90" s="76"/>
      <c r="R90" s="63"/>
      <c r="S90" s="99"/>
      <c r="T90" s="100"/>
    </row>
    <row r="91" spans="1:20">
      <c r="A91" s="65"/>
      <c r="B91" s="63"/>
      <c r="C91" s="63"/>
      <c r="D91" s="63"/>
      <c r="E91" s="65"/>
      <c r="F91" s="65"/>
      <c r="G91" s="65"/>
      <c r="H91" s="68"/>
      <c r="I91" s="76"/>
      <c r="J91" s="63">
        <f t="shared" si="18"/>
        <v>0</v>
      </c>
      <c r="K91" s="64"/>
      <c r="L91" s="64">
        <f t="shared" si="16"/>
        <v>0</v>
      </c>
      <c r="M91" s="64"/>
      <c r="N91" s="64"/>
      <c r="O91" s="64">
        <f t="shared" si="20"/>
        <v>0</v>
      </c>
      <c r="P91" s="64"/>
      <c r="Q91" s="76"/>
      <c r="R91" s="63"/>
      <c r="S91" s="99"/>
      <c r="T91" s="100"/>
    </row>
    <row r="92" spans="1:20">
      <c r="A92" s="65"/>
      <c r="B92" s="63"/>
      <c r="C92" s="63"/>
      <c r="D92" s="63"/>
      <c r="E92" s="65"/>
      <c r="F92" s="65"/>
      <c r="G92" s="65"/>
      <c r="H92" s="68"/>
      <c r="I92" s="76"/>
      <c r="J92" s="63">
        <f t="shared" si="18"/>
        <v>0</v>
      </c>
      <c r="K92" s="64"/>
      <c r="L92" s="64">
        <f t="shared" si="16"/>
        <v>0</v>
      </c>
      <c r="M92" s="64"/>
      <c r="N92" s="64"/>
      <c r="O92" s="64">
        <f t="shared" si="20"/>
        <v>0</v>
      </c>
      <c r="P92" s="64"/>
      <c r="Q92" s="76"/>
      <c r="R92" s="63"/>
      <c r="S92" s="99"/>
      <c r="T92" s="100"/>
    </row>
    <row r="93" spans="1:20" ht="17" thickBot="1">
      <c r="A93" s="65"/>
      <c r="B93" s="63"/>
      <c r="C93" s="63"/>
      <c r="D93" s="63"/>
      <c r="E93" s="65"/>
      <c r="F93" s="65"/>
      <c r="G93" s="65"/>
      <c r="H93" s="68"/>
      <c r="I93" s="76"/>
      <c r="J93" s="63"/>
      <c r="K93" s="64"/>
      <c r="L93" s="64"/>
      <c r="M93" s="64"/>
      <c r="N93" s="64"/>
      <c r="O93" s="64"/>
      <c r="P93" s="64"/>
      <c r="Q93" s="62"/>
      <c r="S93" s="65"/>
      <c r="T93" s="65"/>
    </row>
    <row r="94" spans="1:20" ht="18" thickTop="1">
      <c r="A94" s="65"/>
      <c r="B94" s="63"/>
      <c r="C94" s="63"/>
      <c r="D94" s="63"/>
      <c r="E94" s="65"/>
      <c r="F94" s="65"/>
      <c r="G94" s="82"/>
      <c r="H94" s="78"/>
      <c r="I94" s="132" t="s">
        <v>426</v>
      </c>
      <c r="J94" s="79"/>
      <c r="K94" s="78"/>
      <c r="L94" s="78">
        <f t="shared" ref="L94:N94" si="33">SUM(L3:L92)</f>
        <v>2598.9099999999994</v>
      </c>
      <c r="M94" s="78">
        <f t="shared" si="33"/>
        <v>111.39000000000001</v>
      </c>
      <c r="N94" s="78">
        <f t="shared" si="33"/>
        <v>0</v>
      </c>
      <c r="O94" s="78">
        <f>SUM(O3:O92)</f>
        <v>2710.2999999999988</v>
      </c>
      <c r="P94" s="78">
        <f>SUM(P3:P92)</f>
        <v>1802.0700000000002</v>
      </c>
      <c r="Q94" s="78">
        <f>SUM(Q3:Q92)</f>
        <v>-191.12666666666667</v>
      </c>
      <c r="R94" s="83"/>
    </row>
    <row r="95" spans="1:20">
      <c r="A95" s="65"/>
      <c r="B95" s="63"/>
      <c r="C95" s="63"/>
      <c r="D95" s="63"/>
      <c r="E95" s="65"/>
      <c r="F95" s="65"/>
      <c r="G95" s="65"/>
      <c r="H95" s="68"/>
      <c r="I95" s="76"/>
      <c r="J95" s="63"/>
      <c r="K95" s="64"/>
      <c r="L95" s="64"/>
      <c r="M95" s="64"/>
      <c r="N95" s="64"/>
      <c r="O95" s="64"/>
      <c r="P95" s="64"/>
      <c r="Q95" s="65" t="s">
        <v>433</v>
      </c>
      <c r="R95" s="64">
        <f>O94-P94+Q94</f>
        <v>717.10333333333199</v>
      </c>
    </row>
    <row r="96" spans="1:20">
      <c r="A96" s="65"/>
      <c r="B96" s="63"/>
      <c r="C96" s="63"/>
      <c r="D96" s="63"/>
      <c r="E96" s="65"/>
      <c r="F96" s="65"/>
      <c r="G96" s="65"/>
      <c r="H96" s="68"/>
      <c r="I96" s="76"/>
      <c r="J96" s="63"/>
      <c r="K96" s="64"/>
      <c r="L96" s="64"/>
      <c r="M96" s="64"/>
      <c r="N96" s="64"/>
      <c r="O96" s="64"/>
      <c r="P96" s="64"/>
      <c r="Q96" s="65" t="s">
        <v>430</v>
      </c>
      <c r="R96" s="64">
        <f>P94</f>
        <v>1802.0700000000002</v>
      </c>
    </row>
    <row r="97" spans="1:18">
      <c r="A97" s="65"/>
      <c r="B97" s="63"/>
      <c r="C97" s="63"/>
      <c r="D97" s="63"/>
      <c r="E97" s="65"/>
      <c r="F97" s="65"/>
      <c r="G97" s="65"/>
      <c r="H97" s="68"/>
      <c r="I97" s="76"/>
      <c r="J97" s="63"/>
      <c r="K97" s="64"/>
      <c r="L97" s="64"/>
      <c r="M97" s="64"/>
      <c r="N97" s="64"/>
      <c r="O97" s="64"/>
      <c r="P97" s="64"/>
      <c r="Q97" s="65" t="s">
        <v>431</v>
      </c>
      <c r="R97" s="64">
        <f>SUM(Q3:Q92)*-1</f>
        <v>191.12666666666667</v>
      </c>
    </row>
    <row r="98" spans="1:18">
      <c r="A98" s="65"/>
      <c r="B98" s="63"/>
      <c r="C98" s="63"/>
      <c r="D98" s="63"/>
      <c r="E98" s="65"/>
      <c r="F98" s="65"/>
      <c r="G98" s="65"/>
      <c r="H98" s="68"/>
      <c r="I98" s="62"/>
      <c r="J98" s="63"/>
      <c r="K98" s="64"/>
      <c r="L98" s="64"/>
      <c r="M98" s="64"/>
      <c r="N98" s="64"/>
      <c r="O98" s="64"/>
      <c r="P98" s="64"/>
      <c r="Q98" s="89" t="s">
        <v>446</v>
      </c>
      <c r="R98" s="90">
        <v>146.82</v>
      </c>
    </row>
    <row r="99" spans="1:18">
      <c r="A99" s="65"/>
      <c r="B99" s="63"/>
      <c r="C99" s="63"/>
      <c r="D99" s="63"/>
      <c r="E99" s="65"/>
      <c r="F99" s="65"/>
      <c r="G99" s="65"/>
      <c r="H99" s="68"/>
      <c r="I99" s="62"/>
      <c r="J99" s="63"/>
      <c r="K99" s="64"/>
      <c r="L99" s="64"/>
      <c r="M99" s="64"/>
      <c r="N99" s="64"/>
      <c r="O99" s="64"/>
      <c r="P99" s="64"/>
      <c r="Q99" s="89" t="s">
        <v>447</v>
      </c>
      <c r="R99" s="90">
        <v>71.98</v>
      </c>
    </row>
    <row r="100" spans="1:18">
      <c r="A100" s="65"/>
      <c r="B100" s="63"/>
      <c r="C100" s="63"/>
      <c r="D100" s="63"/>
      <c r="E100" s="65"/>
      <c r="F100" s="65"/>
      <c r="G100" s="65"/>
      <c r="H100" s="68"/>
      <c r="I100" s="62"/>
      <c r="J100" s="63"/>
      <c r="K100" s="64"/>
      <c r="L100" s="64"/>
      <c r="M100" s="64"/>
      <c r="N100" s="64"/>
      <c r="O100" s="64"/>
      <c r="P100" s="64"/>
      <c r="Q100" s="65" t="s">
        <v>448</v>
      </c>
      <c r="R100" s="64">
        <f>530.9+136.98+543.42+131.12+35.27+22.95+182.63</f>
        <v>1583.27</v>
      </c>
    </row>
    <row r="101" spans="1:18">
      <c r="A101" s="65"/>
      <c r="B101" s="63"/>
      <c r="C101" s="63"/>
      <c r="D101" s="63"/>
      <c r="E101" s="65"/>
      <c r="F101" s="65"/>
      <c r="G101" s="65"/>
      <c r="H101" s="68"/>
      <c r="I101" s="62"/>
      <c r="J101" s="63"/>
      <c r="K101" s="64"/>
      <c r="L101" s="64"/>
      <c r="M101" s="64"/>
      <c r="N101" s="64"/>
      <c r="O101" s="64"/>
      <c r="P101" s="64"/>
      <c r="Q101" s="65"/>
      <c r="R101" s="64"/>
    </row>
    <row r="102" spans="1:18">
      <c r="H102" s="68"/>
      <c r="Q102" s="57"/>
      <c r="R102" s="64"/>
    </row>
    <row r="103" spans="1:18">
      <c r="H103" s="68"/>
      <c r="Q103" s="57"/>
      <c r="R103" s="64"/>
    </row>
    <row r="104" spans="1:18">
      <c r="H104" s="68"/>
      <c r="Q104" s="57"/>
      <c r="R104" s="64"/>
    </row>
    <row r="105" spans="1:18">
      <c r="Q105" s="57"/>
      <c r="R105" s="64"/>
    </row>
    <row r="106" spans="1:18">
      <c r="Q106" s="57"/>
      <c r="R106" s="64"/>
    </row>
    <row r="107" spans="1:18">
      <c r="Q107" s="57"/>
      <c r="R107" s="64"/>
    </row>
    <row r="108" spans="1:18">
      <c r="Q108" s="57"/>
      <c r="R108" s="64"/>
    </row>
    <row r="109" spans="1:18">
      <c r="Q109" s="57"/>
      <c r="R109" s="64"/>
    </row>
    <row r="110" spans="1:18">
      <c r="Q110" s="57"/>
      <c r="R110" s="64"/>
    </row>
    <row r="111" spans="1:18">
      <c r="R111" s="64"/>
    </row>
  </sheetData>
  <mergeCells count="1">
    <mergeCell ref="A1:T1"/>
  </mergeCells>
  <dataValidations count="1">
    <dataValidation type="list" allowBlank="1" showInputMessage="1" showErrorMessage="1" sqref="R3:R92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5" r:id="rId84" xr:uid="{894BE992-E4D0-744B-AC7C-5D0BFB533815}"/>
    <hyperlink ref="A64" r:id="rId85" xr:uid="{B121025F-B9D8-6541-8E45-BFBF6B9EBFE7}"/>
    <hyperlink ref="A63" r:id="rId86" xr:uid="{81390D92-870E-C84A-8855-EC0AFE3EF261}"/>
    <hyperlink ref="A66" r:id="rId87" xr:uid="{5DB840B2-46B9-BA48-A980-11B64496C83D}"/>
    <hyperlink ref="A67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68" r:id="rId93" xr:uid="{85B2FF62-2608-CB48-BB1D-A10E8DC456BE}"/>
    <hyperlink ref="A69" r:id="rId94" xr:uid="{74A5D6C7-F7CE-964A-91E1-00B79BAFEB5B}"/>
    <hyperlink ref="A70" r:id="rId95" xr:uid="{D4E64753-7DF1-BC46-9783-EE4EA90305B4}"/>
    <hyperlink ref="E61" r:id="rId96" xr:uid="{A782B948-F32A-DF45-85B9-9862EE145443}"/>
    <hyperlink ref="A71" r:id="rId97" xr:uid="{E39F14A3-4AE1-FE41-AADE-2275E109D5E7}"/>
    <hyperlink ref="A72" r:id="rId98" xr:uid="{B31ACB39-14B2-F342-BF62-356704801E5C}"/>
    <hyperlink ref="A73" r:id="rId99" xr:uid="{E0DFEB3E-1B65-104C-895C-63E7833C538C}"/>
    <hyperlink ref="A74" r:id="rId100" xr:uid="{D4CC3802-04BE-B14C-8DCE-3AB15733D983}"/>
    <hyperlink ref="A75" r:id="rId101" xr:uid="{86DAA688-EE23-6A4A-A517-12DB5FD32832}"/>
    <hyperlink ref="A76" r:id="rId102" xr:uid="{A6FC9FB5-F7AB-7E42-9201-841F5EB0F339}"/>
  </hyperlinks>
  <pageMargins left="0.7" right="0.7" top="0.75" bottom="0.75" header="0.3" footer="0.3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33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4" t="s">
        <v>288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6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7" t="s">
        <v>208</v>
      </c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9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40" t="s">
        <v>205</v>
      </c>
      <c r="B105" s="141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2"/>
      <c r="B106" s="143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topLeftCell="N1" zoomScale="110" zoomScaleNormal="110" workbookViewId="0">
      <pane ySplit="1" topLeftCell="A2" activePane="bottomLeft" state="frozen"/>
      <selection pane="bottomLeft" activeCell="Q1" sqref="Q1:R12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34" t="s">
        <v>288</v>
      </c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6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37" t="s">
        <v>208</v>
      </c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9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40" t="s">
        <v>205</v>
      </c>
      <c r="B105" s="141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2"/>
      <c r="B106" s="143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topLeftCell="A83"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55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14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44" t="s">
        <v>135</v>
      </c>
      <c r="R1" s="145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46" t="s">
        <v>147</v>
      </c>
      <c r="B1" s="146"/>
      <c r="C1" s="146"/>
      <c r="D1" s="146"/>
      <c r="E1" s="146"/>
      <c r="F1" s="146"/>
      <c r="G1" s="146"/>
      <c r="H1" s="146"/>
      <c r="I1" s="146"/>
      <c r="J1" s="146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West3D Voron 2.4 BOM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2022-12-08T16:41:54Z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