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9040" windowHeight="15840" activeTab="8"/>
  </bookViews>
  <sheets>
    <sheet name="TV" sheetId="1" r:id="rId1"/>
    <sheet name="Amazon" sheetId="2" r:id="rId2"/>
    <sheet name="Volte" sheetId="3" r:id="rId3"/>
    <sheet name="OUT" sheetId="4" r:id="rId4"/>
    <sheet name="Horas TV" sheetId="5" r:id="rId5"/>
    <sheet name="Horas Amazon" sheetId="7" r:id="rId6"/>
    <sheet name="Horas Volte" sheetId="6" r:id="rId7"/>
    <sheet name="Horas Ordenadas" sheetId="8" r:id="rId8"/>
    <sheet name="OUT ALFABETICO" sheetId="9" r:id="rId9"/>
    <sheet name="TV ALFABETICO" sheetId="10" r:id="rId10"/>
    <sheet name="AMAZON ORDENADO" sheetId="11" r:id="rId11"/>
    <sheet name="VOLTE ORDENADO" sheetId="12" r:id="rId12"/>
  </sheets>
  <externalReferences>
    <externalReference r:id="rId13"/>
  </externalReferences>
  <definedNames>
    <definedName name="A">OUT!$C:$C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2" l="1"/>
  <c r="F27" i="12"/>
  <c r="H27" i="12" s="1"/>
  <c r="E27" i="12"/>
  <c r="G27" i="12" s="1"/>
  <c r="I26" i="12"/>
  <c r="F26" i="12"/>
  <c r="E26" i="12"/>
  <c r="D26" i="12"/>
  <c r="H26" i="12" s="1"/>
  <c r="C26" i="12"/>
  <c r="I25" i="12"/>
  <c r="F25" i="12"/>
  <c r="E25" i="12"/>
  <c r="D25" i="12"/>
  <c r="C25" i="12"/>
  <c r="I24" i="12"/>
  <c r="F24" i="12"/>
  <c r="E24" i="12"/>
  <c r="D24" i="12"/>
  <c r="C24" i="12"/>
  <c r="I23" i="12"/>
  <c r="F23" i="12"/>
  <c r="H23" i="12" s="1"/>
  <c r="E23" i="12"/>
  <c r="G23" i="12" s="1"/>
  <c r="I22" i="12"/>
  <c r="F22" i="12"/>
  <c r="E22" i="12"/>
  <c r="D22" i="12"/>
  <c r="C22" i="12"/>
  <c r="I21" i="12"/>
  <c r="F21" i="12"/>
  <c r="E21" i="12"/>
  <c r="D21" i="12"/>
  <c r="C21" i="12"/>
  <c r="I20" i="12"/>
  <c r="F20" i="12"/>
  <c r="E20" i="12"/>
  <c r="D20" i="12"/>
  <c r="C20" i="12"/>
  <c r="I19" i="12"/>
  <c r="F19" i="12"/>
  <c r="E19" i="12"/>
  <c r="D19" i="12"/>
  <c r="C19" i="12"/>
  <c r="I18" i="12"/>
  <c r="J18" i="12" s="1"/>
  <c r="F18" i="12"/>
  <c r="E18" i="12"/>
  <c r="D18" i="12"/>
  <c r="C18" i="12"/>
  <c r="I17" i="12"/>
  <c r="J17" i="12" s="1"/>
  <c r="F17" i="12"/>
  <c r="E17" i="12"/>
  <c r="D17" i="12"/>
  <c r="C17" i="12"/>
  <c r="I16" i="12"/>
  <c r="F16" i="12"/>
  <c r="E16" i="12"/>
  <c r="D16" i="12"/>
  <c r="C16" i="12"/>
  <c r="I15" i="12"/>
  <c r="F15" i="12"/>
  <c r="E15" i="12"/>
  <c r="D15" i="12"/>
  <c r="C15" i="12"/>
  <c r="I14" i="12"/>
  <c r="F14" i="12"/>
  <c r="E14" i="12"/>
  <c r="D14" i="12"/>
  <c r="C14" i="12"/>
  <c r="I13" i="12"/>
  <c r="F13" i="12"/>
  <c r="E13" i="12"/>
  <c r="D13" i="12"/>
  <c r="C13" i="12"/>
  <c r="I12" i="12"/>
  <c r="J12" i="12" s="1"/>
  <c r="F12" i="12"/>
  <c r="H12" i="12" s="1"/>
  <c r="E12" i="12"/>
  <c r="G12" i="12" s="1"/>
  <c r="I11" i="12"/>
  <c r="F11" i="12"/>
  <c r="E11" i="12"/>
  <c r="D11" i="12"/>
  <c r="C11" i="12"/>
  <c r="I10" i="12"/>
  <c r="F10" i="12"/>
  <c r="E10" i="12"/>
  <c r="D10" i="12"/>
  <c r="C10" i="12"/>
  <c r="I9" i="12"/>
  <c r="F9" i="12"/>
  <c r="E9" i="12"/>
  <c r="D9" i="12"/>
  <c r="C9" i="12"/>
  <c r="I8" i="12"/>
  <c r="F8" i="12"/>
  <c r="E8" i="12"/>
  <c r="D8" i="12"/>
  <c r="C8" i="12"/>
  <c r="I7" i="12"/>
  <c r="J7" i="12" s="1"/>
  <c r="F7" i="12"/>
  <c r="E7" i="12"/>
  <c r="D7" i="12"/>
  <c r="C7" i="12"/>
  <c r="I6" i="12"/>
  <c r="F6" i="12"/>
  <c r="E6" i="12"/>
  <c r="D6" i="12"/>
  <c r="C6" i="12"/>
  <c r="I5" i="12"/>
  <c r="J5" i="12" s="1"/>
  <c r="F5" i="12"/>
  <c r="H5" i="12" s="1"/>
  <c r="E5" i="12"/>
  <c r="G5" i="12" s="1"/>
  <c r="I4" i="12"/>
  <c r="J4" i="12" s="1"/>
  <c r="F4" i="12"/>
  <c r="H4" i="12" s="1"/>
  <c r="E4" i="12"/>
  <c r="G4" i="12" s="1"/>
  <c r="I3" i="12"/>
  <c r="F3" i="12"/>
  <c r="E3" i="12"/>
  <c r="D3" i="12"/>
  <c r="C3" i="12"/>
  <c r="L9" i="11"/>
  <c r="H9" i="11"/>
  <c r="G9" i="11"/>
  <c r="F9" i="11"/>
  <c r="E9" i="11"/>
  <c r="D9" i="11"/>
  <c r="C9" i="11"/>
  <c r="L8" i="11"/>
  <c r="M8" i="11" s="1"/>
  <c r="H8" i="11"/>
  <c r="K8" i="11" s="1"/>
  <c r="G8" i="11"/>
  <c r="J8" i="11" s="1"/>
  <c r="F8" i="11"/>
  <c r="I8" i="11" s="1"/>
  <c r="L7" i="11"/>
  <c r="M7" i="11" s="1"/>
  <c r="H7" i="11"/>
  <c r="K7" i="11" s="1"/>
  <c r="G7" i="11"/>
  <c r="J7" i="11" s="1"/>
  <c r="F7" i="11"/>
  <c r="I7" i="11" s="1"/>
  <c r="L6" i="11"/>
  <c r="H6" i="11"/>
  <c r="G6" i="11"/>
  <c r="F6" i="11"/>
  <c r="E6" i="11"/>
  <c r="D6" i="11"/>
  <c r="C6" i="11"/>
  <c r="L5" i="11"/>
  <c r="M5" i="11" s="1"/>
  <c r="H5" i="11"/>
  <c r="K5" i="11" s="1"/>
  <c r="G5" i="11"/>
  <c r="J5" i="11" s="1"/>
  <c r="F5" i="11"/>
  <c r="I5" i="11" s="1"/>
  <c r="L4" i="11"/>
  <c r="H4" i="11"/>
  <c r="G4" i="11"/>
  <c r="F4" i="11"/>
  <c r="E4" i="11"/>
  <c r="D4" i="11"/>
  <c r="C4" i="11"/>
  <c r="L3" i="11"/>
  <c r="M3" i="11" s="1"/>
  <c r="H3" i="11"/>
  <c r="G3" i="11"/>
  <c r="F3" i="11"/>
  <c r="E3" i="11"/>
  <c r="D3" i="11"/>
  <c r="C3" i="11"/>
  <c r="C3" i="10"/>
  <c r="C4" i="10"/>
  <c r="C7" i="10"/>
  <c r="C8" i="10"/>
  <c r="C17" i="10"/>
  <c r="C18" i="10"/>
  <c r="C21" i="10"/>
  <c r="D26" i="10"/>
  <c r="E21" i="10"/>
  <c r="D21" i="10"/>
  <c r="D19" i="10"/>
  <c r="E18" i="10"/>
  <c r="D18" i="10"/>
  <c r="E17" i="10"/>
  <c r="D17" i="10"/>
  <c r="E13" i="10"/>
  <c r="D13" i="10"/>
  <c r="E9" i="10"/>
  <c r="D9" i="10"/>
  <c r="E8" i="10"/>
  <c r="D8" i="10"/>
  <c r="E7" i="10"/>
  <c r="D7" i="10"/>
  <c r="E4" i="10"/>
  <c r="D4" i="10"/>
  <c r="E3" i="10"/>
  <c r="D3" i="10"/>
  <c r="F15" i="9"/>
  <c r="E15" i="9"/>
  <c r="H5" i="9"/>
  <c r="G5" i="9"/>
  <c r="E9" i="9"/>
  <c r="H12" i="9"/>
  <c r="G12" i="9"/>
  <c r="H10" i="9"/>
  <c r="G10" i="9"/>
  <c r="H7" i="9"/>
  <c r="G7" i="9"/>
  <c r="H13" i="9"/>
  <c r="G13" i="9"/>
  <c r="H6" i="9"/>
  <c r="G6" i="9"/>
  <c r="H14" i="9"/>
  <c r="G14" i="9"/>
  <c r="H11" i="9"/>
  <c r="G11" i="9"/>
  <c r="H8" i="9"/>
  <c r="G8" i="9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1" i="3"/>
  <c r="D10" i="3"/>
  <c r="D9" i="3"/>
  <c r="D8" i="3"/>
  <c r="D6" i="3"/>
  <c r="D5" i="3"/>
  <c r="D4" i="3"/>
  <c r="D3" i="3"/>
  <c r="D8" i="2"/>
  <c r="D9" i="2"/>
  <c r="D7" i="2"/>
  <c r="D6" i="2"/>
  <c r="D5" i="2"/>
  <c r="D4" i="2"/>
  <c r="D3" i="2"/>
  <c r="I3" i="2" s="1"/>
  <c r="G3" i="2" s="1"/>
  <c r="D4" i="8"/>
  <c r="D5" i="8"/>
  <c r="D6" i="8"/>
  <c r="D7" i="8"/>
  <c r="D8" i="8"/>
  <c r="D9" i="8"/>
  <c r="D27" i="1" s="1"/>
  <c r="D10" i="8"/>
  <c r="D11" i="1" s="1"/>
  <c r="D11" i="8"/>
  <c r="D14" i="1" s="1"/>
  <c r="D12" i="8"/>
  <c r="D15" i="1" s="1"/>
  <c r="D13" i="8"/>
  <c r="D13" i="1" s="1"/>
  <c r="D14" i="8"/>
  <c r="D9" i="1" s="1"/>
  <c r="D15" i="8"/>
  <c r="D10" i="1" s="1"/>
  <c r="D16" i="8"/>
  <c r="D3" i="8"/>
  <c r="D25" i="1" s="1"/>
  <c r="D24" i="1"/>
  <c r="D23" i="1"/>
  <c r="D22" i="1"/>
  <c r="D21" i="1"/>
  <c r="D19" i="1"/>
  <c r="D18" i="1"/>
  <c r="D17" i="1"/>
  <c r="D16" i="1"/>
  <c r="D12" i="1"/>
  <c r="D8" i="1"/>
  <c r="D7" i="1"/>
  <c r="D6" i="1"/>
  <c r="D5" i="1"/>
  <c r="D4" i="1"/>
  <c r="D3" i="1"/>
  <c r="N20" i="8"/>
  <c r="N21" i="8"/>
  <c r="N22" i="8"/>
  <c r="N23" i="8"/>
  <c r="N24" i="8"/>
  <c r="N25" i="8"/>
  <c r="N26" i="8"/>
  <c r="N27" i="8"/>
  <c r="N28" i="8"/>
  <c r="N29" i="8"/>
  <c r="N30" i="8"/>
  <c r="N19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3" i="8"/>
  <c r="J9" i="8"/>
  <c r="J10" i="8"/>
  <c r="J11" i="8"/>
  <c r="J12" i="8"/>
  <c r="J13" i="8"/>
  <c r="J14" i="8"/>
  <c r="J15" i="8"/>
  <c r="J16" i="8"/>
  <c r="J17" i="8"/>
  <c r="J18" i="8"/>
  <c r="J19" i="8"/>
  <c r="J8" i="8"/>
  <c r="J4" i="8"/>
  <c r="J5" i="8"/>
  <c r="J6" i="8"/>
  <c r="J3" i="8"/>
  <c r="D19" i="8"/>
  <c r="D20" i="8"/>
  <c r="D21" i="8"/>
  <c r="D22" i="8"/>
  <c r="D23" i="8"/>
  <c r="D24" i="8"/>
  <c r="D25" i="8"/>
  <c r="D26" i="8"/>
  <c r="D27" i="8"/>
  <c r="D28" i="8"/>
  <c r="D29" i="8"/>
  <c r="D18" i="8"/>
  <c r="J3" i="2"/>
  <c r="K3" i="2"/>
  <c r="L3" i="2"/>
  <c r="M3" i="2"/>
  <c r="N3" i="2"/>
  <c r="O3" i="2"/>
  <c r="P3" i="2"/>
  <c r="S3" i="2" s="1"/>
  <c r="T3" i="2"/>
  <c r="U3" i="2" s="1"/>
  <c r="I4" i="2"/>
  <c r="G4" i="2" s="1"/>
  <c r="K4" i="2"/>
  <c r="J4" i="2" s="1"/>
  <c r="L4" i="2"/>
  <c r="M4" i="2"/>
  <c r="N4" i="2"/>
  <c r="O4" i="2"/>
  <c r="R4" i="2" s="1"/>
  <c r="P4" i="2"/>
  <c r="S4" i="2" s="1"/>
  <c r="Q4" i="2"/>
  <c r="T4" i="2"/>
  <c r="U4" i="2" s="1"/>
  <c r="I5" i="2"/>
  <c r="G5" i="2" s="1"/>
  <c r="J5" i="2"/>
  <c r="N5" i="2"/>
  <c r="Q5" i="2" s="1"/>
  <c r="O5" i="2"/>
  <c r="P5" i="2"/>
  <c r="R5" i="2"/>
  <c r="S5" i="2"/>
  <c r="T5" i="2"/>
  <c r="U5" i="2" s="1"/>
  <c r="I6" i="2"/>
  <c r="G6" i="2" s="1"/>
  <c r="K6" i="2"/>
  <c r="Q6" i="2" s="1"/>
  <c r="L6" i="2"/>
  <c r="R6" i="2" s="1"/>
  <c r="M6" i="2"/>
  <c r="S6" i="2" s="1"/>
  <c r="N6" i="2"/>
  <c r="O6" i="2"/>
  <c r="P6" i="2"/>
  <c r="T6" i="2"/>
  <c r="U6" i="2" s="1"/>
  <c r="I7" i="2"/>
  <c r="G7" i="2" s="1"/>
  <c r="J7" i="2"/>
  <c r="N7" i="2"/>
  <c r="Q7" i="2" s="1"/>
  <c r="O7" i="2"/>
  <c r="P7" i="2"/>
  <c r="R7" i="2"/>
  <c r="S7" i="2"/>
  <c r="T7" i="2"/>
  <c r="U7" i="2" s="1"/>
  <c r="I8" i="2"/>
  <c r="G8" i="2" s="1"/>
  <c r="J8" i="2"/>
  <c r="N8" i="2"/>
  <c r="O8" i="2"/>
  <c r="P8" i="2"/>
  <c r="S8" i="2" s="1"/>
  <c r="Q8" i="2"/>
  <c r="R8" i="2"/>
  <c r="T8" i="2"/>
  <c r="U8" i="2" s="1"/>
  <c r="K9" i="2"/>
  <c r="I9" i="2" s="1"/>
  <c r="G9" i="2" s="1"/>
  <c r="L9" i="2"/>
  <c r="M9" i="2"/>
  <c r="S9" i="2" s="1"/>
  <c r="N9" i="2"/>
  <c r="O9" i="2"/>
  <c r="P9" i="2"/>
  <c r="Q9" i="2"/>
  <c r="R9" i="2"/>
  <c r="T9" i="2"/>
  <c r="U9" i="2" s="1"/>
  <c r="AH20" i="7"/>
  <c r="AH19" i="7"/>
  <c r="AH18" i="7"/>
  <c r="AH17" i="7"/>
  <c r="AH16" i="7"/>
  <c r="AH15" i="7"/>
  <c r="AH14" i="7"/>
  <c r="AH13" i="7"/>
  <c r="AH12" i="7"/>
  <c r="AH11" i="7"/>
  <c r="AH10" i="7"/>
  <c r="AH9" i="7"/>
  <c r="AH21" i="7" s="1"/>
  <c r="AH22" i="7" s="1"/>
  <c r="AH6" i="7"/>
  <c r="AH5" i="7"/>
  <c r="AH4" i="7"/>
  <c r="AH3" i="7"/>
  <c r="AH7" i="7" s="1"/>
  <c r="AH31" i="6"/>
  <c r="AH30" i="6"/>
  <c r="AH29" i="6"/>
  <c r="AH28" i="6"/>
  <c r="AH27" i="6"/>
  <c r="AH26" i="6"/>
  <c r="AH25" i="6"/>
  <c r="AH24" i="6"/>
  <c r="AH23" i="6"/>
  <c r="AH22" i="6"/>
  <c r="AH21" i="6"/>
  <c r="AH20" i="6"/>
  <c r="AH32" i="6" s="1"/>
  <c r="AH33" i="6" s="1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H18" i="6" s="1"/>
  <c r="AH30" i="5"/>
  <c r="AH29" i="5"/>
  <c r="AH28" i="5"/>
  <c r="AH27" i="5"/>
  <c r="AH26" i="5"/>
  <c r="AH25" i="5"/>
  <c r="AH24" i="5"/>
  <c r="AH23" i="5"/>
  <c r="AH22" i="5"/>
  <c r="AH21" i="5"/>
  <c r="AH20" i="5"/>
  <c r="AH19" i="5"/>
  <c r="AH31" i="5" s="1"/>
  <c r="AH32" i="5" s="1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H17" i="5" s="1"/>
  <c r="Q3" i="2" l="1"/>
  <c r="R3" i="2"/>
  <c r="G8" i="12"/>
  <c r="G13" i="12"/>
  <c r="H24" i="12"/>
  <c r="G11" i="12"/>
  <c r="H19" i="12"/>
  <c r="G3" i="12"/>
  <c r="G7" i="12"/>
  <c r="G14" i="12"/>
  <c r="G10" i="12"/>
  <c r="G6" i="12"/>
  <c r="H8" i="12"/>
  <c r="H10" i="12"/>
  <c r="G17" i="12"/>
  <c r="H3" i="12"/>
  <c r="G9" i="12"/>
  <c r="H7" i="12"/>
  <c r="H13" i="12"/>
  <c r="G20" i="12"/>
  <c r="H25" i="12"/>
  <c r="G22" i="12"/>
  <c r="J6" i="12"/>
  <c r="J19" i="12"/>
  <c r="J3" i="12"/>
  <c r="J9" i="12"/>
  <c r="J21" i="12"/>
  <c r="G24" i="12"/>
  <c r="J15" i="12"/>
  <c r="G15" i="12"/>
  <c r="H22" i="12"/>
  <c r="G26" i="12"/>
  <c r="G19" i="12"/>
  <c r="H21" i="12"/>
  <c r="J23" i="12"/>
  <c r="J25" i="12"/>
  <c r="J14" i="12"/>
  <c r="J8" i="12"/>
  <c r="J11" i="12"/>
  <c r="J16" i="12"/>
  <c r="G21" i="12"/>
  <c r="H6" i="12"/>
  <c r="J27" i="12"/>
  <c r="H9" i="12"/>
  <c r="J10" i="12"/>
  <c r="H18" i="12"/>
  <c r="J22" i="12"/>
  <c r="G25" i="12"/>
  <c r="J13" i="12"/>
  <c r="H16" i="12"/>
  <c r="J20" i="12"/>
  <c r="G16" i="12"/>
  <c r="G18" i="12"/>
  <c r="H20" i="12"/>
  <c r="J24" i="12"/>
  <c r="H14" i="12"/>
  <c r="J26" i="12"/>
  <c r="H17" i="12"/>
  <c r="H11" i="12"/>
  <c r="H15" i="12"/>
  <c r="K3" i="11"/>
  <c r="J3" i="11"/>
  <c r="M6" i="11"/>
  <c r="I3" i="11"/>
  <c r="M9" i="11"/>
  <c r="I6" i="11"/>
  <c r="M4" i="11"/>
  <c r="J6" i="11"/>
  <c r="I4" i="11"/>
  <c r="K6" i="11"/>
  <c r="J9" i="11"/>
  <c r="K9" i="11"/>
  <c r="J4" i="11"/>
  <c r="K4" i="11"/>
  <c r="I9" i="11"/>
  <c r="H3" i="2"/>
  <c r="H4" i="2"/>
  <c r="E4" i="2" s="1"/>
  <c r="F4" i="2" s="1"/>
  <c r="H8" i="2"/>
  <c r="H5" i="2"/>
  <c r="E5" i="2" s="1"/>
  <c r="F5" i="2" s="1"/>
  <c r="E8" i="2"/>
  <c r="F8" i="2" s="1"/>
  <c r="E9" i="2"/>
  <c r="F9" i="2" s="1"/>
  <c r="E6" i="2"/>
  <c r="F6" i="2" s="1"/>
  <c r="H7" i="2"/>
  <c r="E7" i="2" s="1"/>
  <c r="F7" i="2" s="1"/>
  <c r="E3" i="2"/>
  <c r="F3" i="2" s="1"/>
  <c r="J6" i="2"/>
  <c r="H6" i="2" s="1"/>
  <c r="J9" i="2"/>
  <c r="H9" i="2" s="1"/>
  <c r="L18" i="1" l="1"/>
  <c r="L21" i="1"/>
  <c r="K8" i="1"/>
  <c r="L8" i="1"/>
  <c r="M8" i="1"/>
  <c r="M4" i="1"/>
  <c r="L4" i="1"/>
  <c r="K4" i="1"/>
  <c r="M3" i="1"/>
  <c r="L3" i="1"/>
  <c r="K3" i="1"/>
  <c r="I8" i="3" l="1"/>
  <c r="H8" i="3"/>
  <c r="I6" i="3"/>
  <c r="H6" i="3"/>
  <c r="I17" i="3"/>
  <c r="H17" i="3"/>
  <c r="I11" i="3"/>
  <c r="H11" i="3"/>
  <c r="I22" i="3"/>
  <c r="H22" i="3"/>
  <c r="I14" i="3"/>
  <c r="H14" i="3"/>
  <c r="I26" i="3"/>
  <c r="H26" i="3"/>
  <c r="I10" i="3"/>
  <c r="H10" i="3"/>
  <c r="I24" i="3"/>
  <c r="H24" i="3"/>
  <c r="I9" i="3"/>
  <c r="H9" i="3"/>
  <c r="H18" i="3"/>
  <c r="I18" i="3"/>
  <c r="I25" i="3"/>
  <c r="H25" i="3"/>
  <c r="I21" i="3"/>
  <c r="H21" i="3"/>
  <c r="I20" i="3"/>
  <c r="H20" i="3"/>
  <c r="I19" i="3"/>
  <c r="H19" i="3"/>
  <c r="M8" i="4"/>
  <c r="L8" i="4"/>
  <c r="M10" i="4"/>
  <c r="L10" i="4"/>
  <c r="M14" i="4"/>
  <c r="L14" i="4"/>
  <c r="M6" i="4"/>
  <c r="L6" i="4"/>
  <c r="M7" i="4"/>
  <c r="L7" i="4"/>
  <c r="M5" i="4"/>
  <c r="L5" i="4"/>
  <c r="M12" i="4"/>
  <c r="L12" i="4"/>
  <c r="M11" i="4"/>
  <c r="L11" i="4"/>
  <c r="G10" i="4"/>
  <c r="G8" i="4"/>
  <c r="G14" i="4"/>
  <c r="G5" i="4"/>
  <c r="G12" i="4"/>
  <c r="G7" i="4"/>
  <c r="G6" i="4"/>
  <c r="G11" i="4"/>
  <c r="K17" i="1" l="1"/>
  <c r="M18" i="1"/>
  <c r="K18" i="1"/>
  <c r="K21" i="1"/>
  <c r="M21" i="1"/>
  <c r="I3" i="3" l="1"/>
  <c r="H3" i="3"/>
  <c r="I7" i="3"/>
  <c r="H7" i="3"/>
  <c r="I13" i="3"/>
  <c r="H13" i="3"/>
  <c r="M17" i="1" l="1"/>
  <c r="L17" i="1"/>
  <c r="M9" i="4" l="1"/>
  <c r="L9" i="4"/>
  <c r="I15" i="3"/>
  <c r="I16" i="3"/>
  <c r="H15" i="3"/>
  <c r="H16" i="3"/>
  <c r="G9" i="4" l="1"/>
  <c r="J13" i="4" l="1"/>
  <c r="O3" i="3" l="1"/>
  <c r="P3" i="3" s="1"/>
  <c r="O4" i="3"/>
  <c r="P4" i="3" s="1"/>
  <c r="O5" i="3"/>
  <c r="P5" i="3" s="1"/>
  <c r="O6" i="3"/>
  <c r="P6" i="3" s="1"/>
  <c r="O7" i="3"/>
  <c r="P7" i="3" s="1"/>
  <c r="O9" i="3"/>
  <c r="P9" i="3" s="1"/>
  <c r="O10" i="3"/>
  <c r="P10" i="3" s="1"/>
  <c r="O15" i="3"/>
  <c r="P15" i="3" s="1"/>
  <c r="O11" i="3"/>
  <c r="P11" i="3" s="1"/>
  <c r="O12" i="3"/>
  <c r="P12" i="3" s="1"/>
  <c r="O8" i="3"/>
  <c r="P8" i="3" s="1"/>
  <c r="O14" i="3"/>
  <c r="P14" i="3" s="1"/>
  <c r="O19" i="3"/>
  <c r="P19" i="3" s="1"/>
  <c r="O16" i="3"/>
  <c r="P16" i="3" s="1"/>
  <c r="O13" i="3"/>
  <c r="P13" i="3" s="1"/>
  <c r="O18" i="3"/>
  <c r="P18" i="3" s="1"/>
  <c r="O21" i="3"/>
  <c r="P21" i="3" s="1"/>
  <c r="O17" i="3"/>
  <c r="P17" i="3" s="1"/>
  <c r="O24" i="3"/>
  <c r="P24" i="3" s="1"/>
  <c r="O23" i="3"/>
  <c r="P23" i="3" s="1"/>
  <c r="O22" i="3"/>
  <c r="P22" i="3" s="1"/>
  <c r="O20" i="3"/>
  <c r="P20" i="3" s="1"/>
  <c r="O26" i="3"/>
  <c r="P26" i="3" s="1"/>
  <c r="O25" i="3"/>
  <c r="P25" i="3" s="1"/>
  <c r="O27" i="3"/>
  <c r="P27" i="3" s="1"/>
  <c r="L4" i="3" l="1"/>
  <c r="N4" i="3" s="1"/>
  <c r="L5" i="3"/>
  <c r="N5" i="3" s="1"/>
  <c r="L6" i="3"/>
  <c r="N6" i="3" s="1"/>
  <c r="L7" i="3"/>
  <c r="N7" i="3" s="1"/>
  <c r="L9" i="3"/>
  <c r="N9" i="3" s="1"/>
  <c r="L10" i="3"/>
  <c r="N10" i="3" s="1"/>
  <c r="L15" i="3"/>
  <c r="N15" i="3" s="1"/>
  <c r="L11" i="3"/>
  <c r="N11" i="3" s="1"/>
  <c r="L12" i="3"/>
  <c r="N12" i="3" s="1"/>
  <c r="L8" i="3"/>
  <c r="N8" i="3" s="1"/>
  <c r="L14" i="3"/>
  <c r="N14" i="3" s="1"/>
  <c r="L19" i="3"/>
  <c r="N19" i="3" s="1"/>
  <c r="L16" i="3"/>
  <c r="N16" i="3" s="1"/>
  <c r="L13" i="3"/>
  <c r="N13" i="3" s="1"/>
  <c r="L18" i="3"/>
  <c r="N18" i="3" s="1"/>
  <c r="L21" i="3"/>
  <c r="N21" i="3" s="1"/>
  <c r="L17" i="3"/>
  <c r="N17" i="3" s="1"/>
  <c r="L24" i="3"/>
  <c r="N24" i="3" s="1"/>
  <c r="L23" i="3"/>
  <c r="N23" i="3" s="1"/>
  <c r="L22" i="3"/>
  <c r="N22" i="3" s="1"/>
  <c r="L20" i="3"/>
  <c r="N20" i="3" s="1"/>
  <c r="L26" i="3"/>
  <c r="N26" i="3" s="1"/>
  <c r="L25" i="3"/>
  <c r="N25" i="3" s="1"/>
  <c r="L27" i="3"/>
  <c r="N27" i="3" s="1"/>
  <c r="L3" i="3"/>
  <c r="N3" i="3" s="1"/>
  <c r="K4" i="3"/>
  <c r="M4" i="3" s="1"/>
  <c r="K5" i="3"/>
  <c r="M5" i="3" s="1"/>
  <c r="K6" i="3"/>
  <c r="M6" i="3" s="1"/>
  <c r="K7" i="3"/>
  <c r="M7" i="3" s="1"/>
  <c r="K9" i="3"/>
  <c r="M9" i="3" s="1"/>
  <c r="K10" i="3"/>
  <c r="M10" i="3" s="1"/>
  <c r="K15" i="3"/>
  <c r="M15" i="3" s="1"/>
  <c r="K11" i="3"/>
  <c r="M11" i="3" s="1"/>
  <c r="K12" i="3"/>
  <c r="M12" i="3" s="1"/>
  <c r="K8" i="3"/>
  <c r="M8" i="3" s="1"/>
  <c r="K14" i="3"/>
  <c r="M14" i="3" s="1"/>
  <c r="K19" i="3"/>
  <c r="M19" i="3" s="1"/>
  <c r="K16" i="3"/>
  <c r="M16" i="3" s="1"/>
  <c r="K13" i="3"/>
  <c r="M13" i="3" s="1"/>
  <c r="K18" i="3"/>
  <c r="M18" i="3" s="1"/>
  <c r="K21" i="3"/>
  <c r="M21" i="3" s="1"/>
  <c r="K17" i="3"/>
  <c r="M17" i="3" s="1"/>
  <c r="K24" i="3"/>
  <c r="M24" i="3" s="1"/>
  <c r="K23" i="3"/>
  <c r="M23" i="3" s="1"/>
  <c r="K22" i="3"/>
  <c r="M22" i="3" s="1"/>
  <c r="K20" i="3"/>
  <c r="M20" i="3" s="1"/>
  <c r="K26" i="3"/>
  <c r="M26" i="3" s="1"/>
  <c r="K25" i="3"/>
  <c r="M25" i="3" s="1"/>
  <c r="K27" i="3"/>
  <c r="M27" i="3" s="1"/>
  <c r="K3" i="3"/>
  <c r="M3" i="3" s="1"/>
  <c r="R12" i="4"/>
  <c r="T12" i="4" s="1"/>
  <c r="R15" i="4"/>
  <c r="R5" i="4"/>
  <c r="T5" i="4" s="1"/>
  <c r="R13" i="4"/>
  <c r="T13" i="4" s="1"/>
  <c r="R14" i="4"/>
  <c r="T14" i="4" s="1"/>
  <c r="R8" i="4"/>
  <c r="T8" i="4" s="1"/>
  <c r="R10" i="4"/>
  <c r="T10" i="4" s="1"/>
  <c r="R9" i="4"/>
  <c r="T9" i="4" s="1"/>
  <c r="R11" i="4"/>
  <c r="T11" i="4" s="1"/>
  <c r="R7" i="4"/>
  <c r="T7" i="4" s="1"/>
  <c r="R6" i="4"/>
  <c r="T6" i="4" s="1"/>
  <c r="Q5" i="4"/>
  <c r="S5" i="4" s="1"/>
  <c r="Q13" i="4"/>
  <c r="S13" i="4" s="1"/>
  <c r="Q14" i="4"/>
  <c r="S14" i="4" s="1"/>
  <c r="Q8" i="4"/>
  <c r="S8" i="4" s="1"/>
  <c r="Q10" i="4"/>
  <c r="S10" i="4" s="1"/>
  <c r="Q9" i="4"/>
  <c r="S9" i="4" s="1"/>
  <c r="Q11" i="4"/>
  <c r="S11" i="4" s="1"/>
  <c r="Q7" i="4"/>
  <c r="S7" i="4" s="1"/>
  <c r="Q12" i="4"/>
  <c r="S12" i="4" s="1"/>
  <c r="Q6" i="4"/>
  <c r="S6" i="4" s="1"/>
  <c r="K15" i="4"/>
  <c r="J15" i="4"/>
  <c r="N9" i="4" l="1"/>
  <c r="N12" i="4"/>
  <c r="N5" i="4"/>
  <c r="N13" i="4"/>
  <c r="N7" i="4"/>
  <c r="N6" i="4"/>
  <c r="N14" i="4"/>
  <c r="N10" i="4"/>
  <c r="N8" i="4"/>
  <c r="N15" i="4"/>
  <c r="H9" i="4"/>
  <c r="H5" i="4"/>
  <c r="H7" i="4"/>
  <c r="H6" i="4"/>
  <c r="H14" i="4"/>
  <c r="H10" i="4"/>
  <c r="H8" i="4"/>
  <c r="H15" i="4"/>
  <c r="H12" i="4" l="1"/>
  <c r="E15" i="4"/>
  <c r="D15" i="4"/>
  <c r="E8" i="4"/>
  <c r="P15" i="4"/>
  <c r="P12" i="4"/>
  <c r="E10" i="4"/>
  <c r="E14" i="4"/>
  <c r="P7" i="4"/>
  <c r="E6" i="4"/>
  <c r="E7" i="4"/>
  <c r="E13" i="4"/>
  <c r="G13" i="4"/>
  <c r="E5" i="4"/>
  <c r="E12" i="4"/>
  <c r="D12" i="4"/>
  <c r="E9" i="4"/>
  <c r="D9" i="4"/>
  <c r="N11" i="4"/>
  <c r="H11" i="4"/>
  <c r="D11" i="4" s="1"/>
  <c r="J27" i="3"/>
  <c r="G27" i="3" s="1"/>
  <c r="E27" i="3"/>
  <c r="F27" i="3" s="1"/>
  <c r="J26" i="3"/>
  <c r="G26" i="3" s="1"/>
  <c r="E26" i="3"/>
  <c r="F26" i="3" s="1"/>
  <c r="J17" i="3"/>
  <c r="G17" i="3" s="1"/>
  <c r="E17" i="3"/>
  <c r="F17" i="3" s="1"/>
  <c r="J22" i="3"/>
  <c r="G22" i="3" s="1"/>
  <c r="E22" i="3"/>
  <c r="F22" i="3" s="1"/>
  <c r="E15" i="3"/>
  <c r="F15" i="3" s="1"/>
  <c r="J15" i="3"/>
  <c r="G15" i="3" s="1"/>
  <c r="E25" i="3"/>
  <c r="F25" i="3" s="1"/>
  <c r="J25" i="3"/>
  <c r="G25" i="3" s="1"/>
  <c r="J24" i="3"/>
  <c r="G24" i="3" s="1"/>
  <c r="E24" i="3"/>
  <c r="F24" i="3" s="1"/>
  <c r="J8" i="3"/>
  <c r="G8" i="3" s="1"/>
  <c r="E8" i="3"/>
  <c r="F8" i="3" s="1"/>
  <c r="E20" i="3"/>
  <c r="F20" i="3" s="1"/>
  <c r="J20" i="3"/>
  <c r="G20" i="3" s="1"/>
  <c r="E21" i="3"/>
  <c r="F21" i="3" s="1"/>
  <c r="J21" i="3"/>
  <c r="G21" i="3" s="1"/>
  <c r="J7" i="3"/>
  <c r="G7" i="3" s="1"/>
  <c r="E7" i="3"/>
  <c r="F7" i="3" s="1"/>
  <c r="J19" i="3"/>
  <c r="G19" i="3" s="1"/>
  <c r="E19" i="3"/>
  <c r="F19" i="3" s="1"/>
  <c r="J23" i="3"/>
  <c r="G23" i="3" s="1"/>
  <c r="E23" i="3"/>
  <c r="F23" i="3" s="1"/>
  <c r="J12" i="3"/>
  <c r="G12" i="3" s="1"/>
  <c r="E12" i="3"/>
  <c r="F12" i="3" s="1"/>
  <c r="J13" i="3"/>
  <c r="G13" i="3" s="1"/>
  <c r="E13" i="3"/>
  <c r="F13" i="3" s="1"/>
  <c r="J14" i="3"/>
  <c r="G14" i="3" s="1"/>
  <c r="E14" i="3"/>
  <c r="F14" i="3" s="1"/>
  <c r="E6" i="3"/>
  <c r="F6" i="3" s="1"/>
  <c r="J6" i="3"/>
  <c r="G6" i="3" s="1"/>
  <c r="J9" i="3"/>
  <c r="G9" i="3" s="1"/>
  <c r="E9" i="3"/>
  <c r="F9" i="3" s="1"/>
  <c r="E16" i="3"/>
  <c r="F16" i="3" s="1"/>
  <c r="J16" i="3"/>
  <c r="G16" i="3" s="1"/>
  <c r="J10" i="3"/>
  <c r="G10" i="3" s="1"/>
  <c r="E10" i="3"/>
  <c r="F10" i="3" s="1"/>
  <c r="J5" i="3"/>
  <c r="G5" i="3" s="1"/>
  <c r="E5" i="3"/>
  <c r="F5" i="3" s="1"/>
  <c r="J18" i="3"/>
  <c r="G18" i="3" s="1"/>
  <c r="E18" i="3"/>
  <c r="F18" i="3" s="1"/>
  <c r="J4" i="3"/>
  <c r="G4" i="3" s="1"/>
  <c r="E4" i="3"/>
  <c r="F4" i="3" s="1"/>
  <c r="E11" i="3"/>
  <c r="F11" i="3" s="1"/>
  <c r="J11" i="3"/>
  <c r="G11" i="3" s="1"/>
  <c r="J3" i="3"/>
  <c r="G3" i="3" s="1"/>
  <c r="E3" i="3"/>
  <c r="F3" i="3" s="1"/>
  <c r="J15" i="1"/>
  <c r="H15" i="1" s="1"/>
  <c r="I15" i="1"/>
  <c r="G15" i="1" s="1"/>
  <c r="J27" i="1"/>
  <c r="H27" i="1" s="1"/>
  <c r="I27" i="1"/>
  <c r="G27" i="1" s="1"/>
  <c r="E27" i="1" s="1"/>
  <c r="F27" i="1" s="1"/>
  <c r="J16" i="1"/>
  <c r="H16" i="1" s="1"/>
  <c r="I16" i="1"/>
  <c r="G16" i="1" s="1"/>
  <c r="E16" i="1" s="1"/>
  <c r="F16" i="1" s="1"/>
  <c r="J24" i="1"/>
  <c r="H24" i="1" s="1"/>
  <c r="I24" i="1"/>
  <c r="G24" i="1" s="1"/>
  <c r="J20" i="1"/>
  <c r="H20" i="1" s="1"/>
  <c r="I20" i="1"/>
  <c r="G20" i="1" s="1"/>
  <c r="L19" i="1"/>
  <c r="J19" i="1"/>
  <c r="H19" i="1" s="1"/>
  <c r="I19" i="1"/>
  <c r="G19" i="1" s="1"/>
  <c r="E19" i="1" s="1"/>
  <c r="F19" i="1" s="1"/>
  <c r="L26" i="1"/>
  <c r="J26" i="1"/>
  <c r="H26" i="1" s="1"/>
  <c r="I26" i="1"/>
  <c r="G26" i="1" s="1"/>
  <c r="J23" i="1"/>
  <c r="H23" i="1" s="1"/>
  <c r="I23" i="1"/>
  <c r="G23" i="1" s="1"/>
  <c r="J14" i="1"/>
  <c r="H14" i="1" s="1"/>
  <c r="I14" i="1"/>
  <c r="G14" i="1" s="1"/>
  <c r="J25" i="1"/>
  <c r="H25" i="1" s="1"/>
  <c r="I25" i="1"/>
  <c r="G25" i="1" s="1"/>
  <c r="J22" i="1"/>
  <c r="H22" i="1" s="1"/>
  <c r="I22" i="1"/>
  <c r="G22" i="1" s="1"/>
  <c r="M13" i="1"/>
  <c r="L13" i="1"/>
  <c r="J13" i="1"/>
  <c r="H13" i="1" s="1"/>
  <c r="I13" i="1"/>
  <c r="G13" i="1" s="1"/>
  <c r="M9" i="1"/>
  <c r="J9" i="1" s="1"/>
  <c r="H9" i="1" s="1"/>
  <c r="L9" i="1"/>
  <c r="I9" i="1"/>
  <c r="G9" i="1" s="1"/>
  <c r="J18" i="1"/>
  <c r="H18" i="1" s="1"/>
  <c r="I18" i="1"/>
  <c r="G18" i="1" s="1"/>
  <c r="J11" i="1"/>
  <c r="H11" i="1" s="1"/>
  <c r="I11" i="1"/>
  <c r="G11" i="1" s="1"/>
  <c r="J12" i="1"/>
  <c r="H12" i="1" s="1"/>
  <c r="I12" i="1"/>
  <c r="G12" i="1" s="1"/>
  <c r="J10" i="1"/>
  <c r="H10" i="1" s="1"/>
  <c r="I10" i="1"/>
  <c r="G10" i="1" s="1"/>
  <c r="J5" i="1"/>
  <c r="H5" i="1" s="1"/>
  <c r="I5" i="1"/>
  <c r="G5" i="1" s="1"/>
  <c r="M7" i="1"/>
  <c r="L7" i="1"/>
  <c r="K7" i="1"/>
  <c r="J7" i="1"/>
  <c r="H7" i="1" s="1"/>
  <c r="I7" i="1"/>
  <c r="G7" i="1" s="1"/>
  <c r="J8" i="1"/>
  <c r="H8" i="1" s="1"/>
  <c r="I8" i="1"/>
  <c r="G8" i="1" s="1"/>
  <c r="J3" i="1"/>
  <c r="H3" i="1" s="1"/>
  <c r="I3" i="1"/>
  <c r="G3" i="1" s="1"/>
  <c r="J17" i="1"/>
  <c r="H17" i="1" s="1"/>
  <c r="I17" i="1"/>
  <c r="G17" i="1" s="1"/>
  <c r="J4" i="1"/>
  <c r="H4" i="1" s="1"/>
  <c r="I4" i="1"/>
  <c r="G4" i="1" s="1"/>
  <c r="J6" i="1"/>
  <c r="H6" i="1" s="1"/>
  <c r="I6" i="1"/>
  <c r="G6" i="1" s="1"/>
  <c r="J21" i="1"/>
  <c r="H21" i="1" s="1"/>
  <c r="I21" i="1"/>
  <c r="G21" i="1" s="1"/>
  <c r="E12" i="1" l="1"/>
  <c r="F12" i="1" s="1"/>
  <c r="E21" i="1"/>
  <c r="F21" i="1" s="1"/>
  <c r="E22" i="1"/>
  <c r="F22" i="1" s="1"/>
  <c r="E18" i="1"/>
  <c r="F18" i="1" s="1"/>
  <c r="E15" i="1"/>
  <c r="F15" i="1" s="1"/>
  <c r="E4" i="1"/>
  <c r="F4" i="1" s="1"/>
  <c r="E13" i="1"/>
  <c r="F13" i="1" s="1"/>
  <c r="E14" i="1"/>
  <c r="F14" i="1" s="1"/>
  <c r="E26" i="1"/>
  <c r="F26" i="1" s="1"/>
  <c r="E20" i="1"/>
  <c r="F20" i="1" s="1"/>
  <c r="E3" i="1"/>
  <c r="F3" i="1" s="1"/>
  <c r="E6" i="1"/>
  <c r="F6" i="1" s="1"/>
  <c r="E8" i="1"/>
  <c r="F8" i="1" s="1"/>
  <c r="P14" i="4"/>
  <c r="E17" i="1"/>
  <c r="F17" i="1" s="1"/>
  <c r="E7" i="1"/>
  <c r="F7" i="1" s="1"/>
  <c r="E10" i="1"/>
  <c r="F10" i="1" s="1"/>
  <c r="E5" i="1"/>
  <c r="F5" i="1" s="1"/>
  <c r="E25" i="1"/>
  <c r="F25" i="1" s="1"/>
  <c r="E23" i="1"/>
  <c r="F23" i="1" s="1"/>
  <c r="E11" i="1"/>
  <c r="F11" i="1" s="1"/>
  <c r="H13" i="4"/>
  <c r="O13" i="4"/>
  <c r="P6" i="4"/>
  <c r="P10" i="4"/>
  <c r="O7" i="4"/>
  <c r="O15" i="4"/>
  <c r="O14" i="4"/>
  <c r="O6" i="4"/>
  <c r="D7" i="4"/>
  <c r="O12" i="4"/>
  <c r="P9" i="4"/>
  <c r="D14" i="4"/>
  <c r="D10" i="4"/>
  <c r="E9" i="1"/>
  <c r="F9" i="1" s="1"/>
  <c r="D5" i="4"/>
  <c r="P5" i="4"/>
  <c r="E24" i="1"/>
  <c r="F24" i="1" s="1"/>
  <c r="E11" i="4"/>
  <c r="O5" i="4"/>
  <c r="O10" i="4"/>
  <c r="O8" i="4"/>
  <c r="D8" i="4"/>
  <c r="D6" i="4"/>
  <c r="O9" i="4"/>
  <c r="O11" i="4"/>
  <c r="P11" i="4" l="1"/>
  <c r="P13" i="4"/>
  <c r="P8" i="4"/>
  <c r="D13" i="4"/>
</calcChain>
</file>

<file path=xl/sharedStrings.xml><?xml version="1.0" encoding="utf-8"?>
<sst xmlns="http://schemas.openxmlformats.org/spreadsheetml/2006/main" count="2307" uniqueCount="171">
  <si>
    <t>AGENTES</t>
  </si>
  <si>
    <t>TURNO</t>
  </si>
  <si>
    <t>HORAS</t>
  </si>
  <si>
    <t>CONSECUCIÓN</t>
  </si>
  <si>
    <t>SEMÁFORO CONSECUCIÓN</t>
  </si>
  <si>
    <t>SPH NORMALIZADO</t>
  </si>
  <si>
    <t>RC NORMALIZADO</t>
  </si>
  <si>
    <t>VENTAS POR HORA</t>
  </si>
  <si>
    <t>VENTAS POR LLAMADA</t>
  </si>
  <si>
    <t>VENTAS</t>
  </si>
  <si>
    <t>LLAMADAS BRUTAS</t>
  </si>
  <si>
    <t>LLAMADAS NETAS</t>
  </si>
  <si>
    <t>ANDREA GARCIA</t>
  </si>
  <si>
    <t>T</t>
  </si>
  <si>
    <t>EVA MARIA FERNANDEZ</t>
  </si>
  <si>
    <t>JUAN PEDRO MADRID</t>
  </si>
  <si>
    <t>MARIA EL LALA</t>
  </si>
  <si>
    <t>MACARENA MORILLA</t>
  </si>
  <si>
    <t>M</t>
  </si>
  <si>
    <t>SARAY RUFO</t>
  </si>
  <si>
    <t>VICTORIA RUIZ</t>
  </si>
  <si>
    <t>MONTSERRAT FERNANDEZ</t>
  </si>
  <si>
    <t>ANDREA MACIAS</t>
  </si>
  <si>
    <t>ISABEL LOPEZ</t>
  </si>
  <si>
    <t>MACARENA ALBARRAN</t>
  </si>
  <si>
    <t>MARIA JOSE SERGEANT</t>
  </si>
  <si>
    <t>NAZARET RODRIGUEZ</t>
  </si>
  <si>
    <t>ROCIO ALARCON</t>
  </si>
  <si>
    <t>CARMEN BASCON</t>
  </si>
  <si>
    <t>ERIC ESTEBAN</t>
  </si>
  <si>
    <t>ELISABETH LADESA</t>
  </si>
  <si>
    <t>LEONOR KUKURELO</t>
  </si>
  <si>
    <t>MARIA JOSE MORENO</t>
  </si>
  <si>
    <t>MANUEL ROSADO</t>
  </si>
  <si>
    <t>RAQUEL DURAN</t>
  </si>
  <si>
    <t>TERESA LAMA</t>
  </si>
  <si>
    <t>TRIANA MARQUEZ</t>
  </si>
  <si>
    <t>ALEJANDRA BONET</t>
  </si>
  <si>
    <t>OLGA CARMONA</t>
  </si>
  <si>
    <t>VENTAS POR LLAMADAS</t>
  </si>
  <si>
    <t>VENTAS HOY</t>
  </si>
  <si>
    <t>LLAMADAS BRUTAS HOY</t>
  </si>
  <si>
    <t>LLAMADAS NETAS HOY</t>
  </si>
  <si>
    <t>VENTAS TOTALES</t>
  </si>
  <si>
    <t>LLAMADAS BRUTAS TOTALES</t>
  </si>
  <si>
    <t>LLAMADAS NETAS TOTALES</t>
  </si>
  <si>
    <t>EVA MARÍA FERNÁNDEZ</t>
  </si>
  <si>
    <t>REGISTROS CERRADOS POR HORA NORMALIZADO</t>
  </si>
  <si>
    <t>CONTACTADOS</t>
  </si>
  <si>
    <t>CERRADOS</t>
  </si>
  <si>
    <t>REGISTROS POR HORA</t>
  </si>
  <si>
    <t>CONTACTADOS HOY</t>
  </si>
  <si>
    <t>CERRADOS HOY</t>
  </si>
  <si>
    <t>CONTACTADOS TOTALES</t>
  </si>
  <si>
    <t>CERRADOS TOTALES</t>
  </si>
  <si>
    <t>MIRYAM DOMINGUEZ</t>
  </si>
  <si>
    <t>MONSERRAT FERNANDEZ</t>
  </si>
  <si>
    <t>SARAI RUFO</t>
  </si>
  <si>
    <t>MARÍA EL LALA</t>
  </si>
  <si>
    <t>ANDREA MACÍAS</t>
  </si>
  <si>
    <t>YOLANDA ROMERO</t>
  </si>
  <si>
    <t>Mº JOSÉ SERGEANT</t>
  </si>
  <si>
    <t>CALIDAD</t>
  </si>
  <si>
    <t>SPH</t>
  </si>
  <si>
    <t>SERVICIOS BRUTOS</t>
  </si>
  <si>
    <t>CANCELADAS</t>
  </si>
  <si>
    <t>ACTIVOS</t>
  </si>
  <si>
    <t>RC</t>
  </si>
  <si>
    <t>lbellido.out</t>
  </si>
  <si>
    <t>Adriana Rodriguez</t>
  </si>
  <si>
    <t>fgonzalez.out</t>
  </si>
  <si>
    <t>Carmen Anselmo</t>
  </si>
  <si>
    <t>EMP_M</t>
  </si>
  <si>
    <t>Concepción García</t>
  </si>
  <si>
    <t>Fatima Gonzalez</t>
  </si>
  <si>
    <t>canselmo.out</t>
  </si>
  <si>
    <t>Jesús Minero</t>
  </si>
  <si>
    <t>sgarcia.out</t>
  </si>
  <si>
    <t>Jose Carlos Martínez</t>
  </si>
  <si>
    <t>jminero.prexfy</t>
  </si>
  <si>
    <t>Lorena Bellido</t>
  </si>
  <si>
    <t>cgarcia</t>
  </si>
  <si>
    <t>Maria del Carmen Carrasco</t>
  </si>
  <si>
    <t>varagon</t>
  </si>
  <si>
    <t>Sergio García</t>
  </si>
  <si>
    <t>Virginia Aragón</t>
  </si>
  <si>
    <t>Yolanda Romero</t>
  </si>
  <si>
    <t>adrianarodriguez@originaltelecom.es</t>
  </si>
  <si>
    <t>carmenanselmo@originaltelecom.es</t>
  </si>
  <si>
    <t>concepcion.garcia@originaltelecom.es</t>
  </si>
  <si>
    <t>fatimagonzalez@originaltelecom.es</t>
  </si>
  <si>
    <t>franciscojavierjaro@originaltelecom.es</t>
  </si>
  <si>
    <t>josecarlosmartinez@originaltelecom.es</t>
  </si>
  <si>
    <t>lorenabellido@originaltelecom.es</t>
  </si>
  <si>
    <t>maricarmencarrasco@originaltelecom.es</t>
  </si>
  <si>
    <t>outbound@originaltelecom.es</t>
  </si>
  <si>
    <t>sergiogarcia@originaltelecom.es</t>
  </si>
  <si>
    <t>yolandaromero@originaltelecom.es</t>
  </si>
  <si>
    <t>CORREO METABASE</t>
  </si>
  <si>
    <t>BRUTAS HOY</t>
  </si>
  <si>
    <t>NETAS HOY</t>
  </si>
  <si>
    <t>NOMBRE METABASE</t>
  </si>
  <si>
    <t>arodriguez.out</t>
  </si>
  <si>
    <t>jcmartinez.out</t>
  </si>
  <si>
    <t>mcarrasco.out</t>
  </si>
  <si>
    <t>B. TOTALES</t>
  </si>
  <si>
    <t>N. TOTALES</t>
  </si>
  <si>
    <t>Alejandra Bonet</t>
  </si>
  <si>
    <t>Rocío Alarcón</t>
  </si>
  <si>
    <t>Macarena Alabarran</t>
  </si>
  <si>
    <t>Andrea Macías</t>
  </si>
  <si>
    <t>Eric Esteban</t>
  </si>
  <si>
    <t>Isabel Lopez</t>
  </si>
  <si>
    <t>Leonor Kukurelo</t>
  </si>
  <si>
    <t>Manuel Rosado</t>
  </si>
  <si>
    <t>Sarai Rufo</t>
  </si>
  <si>
    <t>Teresa Lama</t>
  </si>
  <si>
    <t>Triana Marquez</t>
  </si>
  <si>
    <t>Miryam Dominguez</t>
  </si>
  <si>
    <t>Juan Pedro Madrid</t>
  </si>
  <si>
    <t>Eva María Fernández</t>
  </si>
  <si>
    <t>Victoria Ruiz</t>
  </si>
  <si>
    <t>Olga Carmona</t>
  </si>
  <si>
    <t>Nazareth Rodríguez</t>
  </si>
  <si>
    <t>Montserrat Fernandez</t>
  </si>
  <si>
    <t>Mª Jose Moreno Moreno</t>
  </si>
  <si>
    <t>María El Lala</t>
  </si>
  <si>
    <t>Andrea Garcia</t>
  </si>
  <si>
    <t>Mº José Sergeant</t>
  </si>
  <si>
    <t>Carmen Bascon</t>
  </si>
  <si>
    <t>Raquel Duran</t>
  </si>
  <si>
    <t>Elisabeth Ladesa</t>
  </si>
  <si>
    <t>Macarena Albarran</t>
  </si>
  <si>
    <t>HORAS HOY</t>
  </si>
  <si>
    <t>HORAS TOTALES</t>
  </si>
  <si>
    <t>Campaña</t>
  </si>
  <si>
    <t>Agosto 2.024</t>
  </si>
  <si>
    <t>MAÑANA</t>
  </si>
  <si>
    <t>TV</t>
  </si>
  <si>
    <t>VAC</t>
  </si>
  <si>
    <t>X</t>
  </si>
  <si>
    <t>FEST</t>
  </si>
  <si>
    <t>Mª Ángeles Fernández</t>
  </si>
  <si>
    <t>Montserrat Fernández</t>
  </si>
  <si>
    <t>COMP</t>
  </si>
  <si>
    <t>Miryam Domínguez</t>
  </si>
  <si>
    <t>Carmen Bascón</t>
  </si>
  <si>
    <t>Macarena Morilla</t>
  </si>
  <si>
    <t>ABS</t>
  </si>
  <si>
    <t>Total</t>
  </si>
  <si>
    <t>TARDE</t>
  </si>
  <si>
    <t>Raquel Durán</t>
  </si>
  <si>
    <t>C.C</t>
  </si>
  <si>
    <t>c.c</t>
  </si>
  <si>
    <t>Mª José Sergeant</t>
  </si>
  <si>
    <t>Eva Mª Fernández</t>
  </si>
  <si>
    <t>Maria El Lala</t>
  </si>
  <si>
    <t>Saray Rufo</t>
  </si>
  <si>
    <t>Total horas</t>
  </si>
  <si>
    <t>VOLTE</t>
  </si>
  <si>
    <t>AUS</t>
  </si>
  <si>
    <t>C.C.</t>
  </si>
  <si>
    <t>AMAZON</t>
  </si>
  <si>
    <t>TV MAÑANA</t>
  </si>
  <si>
    <t>TV TARDE</t>
  </si>
  <si>
    <t>AMAZON MAÑANA</t>
  </si>
  <si>
    <t>AMAZON TARDE</t>
  </si>
  <si>
    <t>VOLTE MAÑANA</t>
  </si>
  <si>
    <t>VOLTE TARDE</t>
  </si>
  <si>
    <t>NOMBRE LLAMADAS</t>
  </si>
  <si>
    <t>NOMBRE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</si>
</sst>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Nunito"/>
    </font>
    <font>
      <b/>
      <sz val="11"/>
      <color theme="1"/>
      <name val="Nunito"/>
    </font>
    <font>
      <b/>
      <sz val="10"/>
      <color rgb="FF000000"/>
      <name val="Nunito"/>
    </font>
    <font>
      <b/>
      <sz val="11"/>
      <color rgb="FF000000"/>
      <name val="Nunito"/>
    </font>
    <font>
      <b/>
      <sz val="11"/>
      <name val="Nunito"/>
    </font>
    <font>
      <sz val="11"/>
      <color rgb="FFFF0000"/>
      <name val="Nunito"/>
    </font>
    <font>
      <b/>
      <sz val="11"/>
      <color theme="1"/>
      <name val="Arial"/>
      <family val="2"/>
    </font>
    <font>
      <b/>
      <sz val="48"/>
      <color theme="1"/>
      <name val="Aptos Narrow"/>
      <family val="2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0" tint="-0.499984740745262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ABF8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32">
    <xf numFmtId="0" fontId="0" fillId="0" borderId="0" xfId="0"/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0" fontId="2" fillId="0" borderId="12" xfId="1" applyNumberFormat="1" applyFont="1" applyBorder="1" applyAlignment="1">
      <alignment horizontal="center"/>
    </xf>
    <xf numFmtId="10" fontId="2" fillId="0" borderId="14" xfId="1" applyNumberFormat="1" applyFont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0" fontId="2" fillId="0" borderId="20" xfId="1" applyNumberFormat="1" applyFont="1" applyBorder="1" applyAlignment="1">
      <alignment horizontal="center"/>
    </xf>
    <xf numFmtId="9" fontId="3" fillId="5" borderId="2" xfId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10" fontId="2" fillId="0" borderId="15" xfId="1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0" fontId="2" fillId="0" borderId="16" xfId="1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0" fontId="2" fillId="0" borderId="18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2" fillId="0" borderId="0" xfId="0" applyFont="1"/>
    <xf numFmtId="0" fontId="2" fillId="0" borderId="12" xfId="0" applyFont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6" fillId="4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4" fontId="8" fillId="0" borderId="29" xfId="0" applyNumberFormat="1" applyFont="1" applyBorder="1" applyAlignment="1">
      <alignment horizontal="center" textRotation="90" wrapText="1"/>
    </xf>
    <xf numFmtId="14" fontId="8" fillId="0" borderId="29" xfId="0" applyNumberFormat="1" applyFont="1" applyBorder="1" applyAlignment="1">
      <alignment textRotation="90" wrapText="1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/>
    <xf numFmtId="0" fontId="8" fillId="0" borderId="30" xfId="0" applyFont="1" applyBorder="1" applyAlignment="1">
      <alignment vertical="center" wrapText="1"/>
    </xf>
    <xf numFmtId="0" fontId="8" fillId="0" borderId="31" xfId="0" applyFont="1" applyBorder="1" applyAlignment="1">
      <alignment vertical="center" wrapText="1"/>
    </xf>
    <xf numFmtId="2" fontId="10" fillId="0" borderId="32" xfId="0" applyNumberFormat="1" applyFont="1" applyBorder="1" applyAlignment="1">
      <alignment horizontal="center" vertical="center" wrapText="1"/>
    </xf>
    <xf numFmtId="164" fontId="10" fillId="7" borderId="33" xfId="0" applyNumberFormat="1" applyFont="1" applyFill="1" applyBorder="1" applyAlignment="1">
      <alignment horizontal="center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2" fontId="10" fillId="0" borderId="32" xfId="0" applyNumberFormat="1" applyFont="1" applyBorder="1" applyAlignment="1">
      <alignment wrapText="1"/>
    </xf>
    <xf numFmtId="164" fontId="10" fillId="7" borderId="34" xfId="0" applyNumberFormat="1" applyFont="1" applyFill="1" applyBorder="1" applyAlignment="1">
      <alignment horizontal="center" vertical="center" wrapText="1"/>
    </xf>
    <xf numFmtId="2" fontId="10" fillId="0" borderId="34" xfId="0" applyNumberFormat="1" applyFont="1" applyBorder="1" applyAlignment="1">
      <alignment horizontal="center" vertical="center" wrapText="1"/>
    </xf>
    <xf numFmtId="164" fontId="10" fillId="0" borderId="3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164" fontId="10" fillId="0" borderId="33" xfId="0" applyNumberFormat="1" applyFont="1" applyBorder="1" applyAlignment="1">
      <alignment horizontal="right" wrapText="1"/>
    </xf>
    <xf numFmtId="164" fontId="10" fillId="0" borderId="32" xfId="0" applyNumberFormat="1" applyFont="1" applyBorder="1" applyAlignment="1">
      <alignment wrapText="1"/>
    </xf>
    <xf numFmtId="164" fontId="10" fillId="0" borderId="32" xfId="0" applyNumberFormat="1" applyFont="1" applyBorder="1" applyAlignment="1">
      <alignment horizontal="right" wrapText="1"/>
    </xf>
    <xf numFmtId="164" fontId="10" fillId="0" borderId="34" xfId="0" applyNumberFormat="1" applyFont="1" applyBorder="1" applyAlignment="1">
      <alignment horizontal="right" wrapText="1"/>
    </xf>
    <xf numFmtId="164" fontId="10" fillId="0" borderId="34" xfId="0" applyNumberFormat="1" applyFont="1" applyBorder="1" applyAlignment="1">
      <alignment wrapText="1"/>
    </xf>
    <xf numFmtId="2" fontId="10" fillId="8" borderId="32" xfId="0" applyNumberFormat="1" applyFont="1" applyFill="1" applyBorder="1" applyAlignment="1">
      <alignment wrapText="1"/>
    </xf>
    <xf numFmtId="0" fontId="8" fillId="0" borderId="36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wrapText="1"/>
    </xf>
    <xf numFmtId="0" fontId="11" fillId="0" borderId="36" xfId="0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wrapText="1"/>
    </xf>
    <xf numFmtId="0" fontId="13" fillId="0" borderId="37" xfId="0" applyFont="1" applyBorder="1" applyAlignment="1">
      <alignment wrapText="1"/>
    </xf>
    <xf numFmtId="0" fontId="13" fillId="0" borderId="38" xfId="0" applyFont="1" applyBorder="1" applyAlignment="1">
      <alignment wrapText="1"/>
    </xf>
    <xf numFmtId="14" fontId="8" fillId="9" borderId="29" xfId="0" applyNumberFormat="1" applyFont="1" applyFill="1" applyBorder="1" applyAlignment="1">
      <alignment textRotation="90" wrapText="1"/>
    </xf>
    <xf numFmtId="0" fontId="8" fillId="0" borderId="31" xfId="0" applyFont="1" applyBorder="1" applyAlignment="1">
      <alignment horizontal="center" vertical="center" wrapText="1"/>
    </xf>
    <xf numFmtId="2" fontId="10" fillId="9" borderId="32" xfId="0" applyNumberFormat="1" applyFont="1" applyFill="1" applyBorder="1" applyAlignment="1">
      <alignment horizontal="center" vertical="center" wrapText="1"/>
    </xf>
    <xf numFmtId="2" fontId="10" fillId="9" borderId="34" xfId="0" applyNumberFormat="1" applyFont="1" applyFill="1" applyBorder="1" applyAlignment="1">
      <alignment horizontal="center" vertical="center" wrapText="1"/>
    </xf>
    <xf numFmtId="2" fontId="10" fillId="9" borderId="32" xfId="0" applyNumberFormat="1" applyFont="1" applyFill="1" applyBorder="1" applyAlignment="1">
      <alignment wrapText="1"/>
    </xf>
    <xf numFmtId="2" fontId="14" fillId="8" borderId="32" xfId="0" applyNumberFormat="1" applyFont="1" applyFill="1" applyBorder="1" applyAlignment="1">
      <alignment wrapText="1"/>
    </xf>
    <xf numFmtId="0" fontId="0" fillId="9" borderId="0" xfId="0" applyFill="1"/>
    <xf numFmtId="164" fontId="15" fillId="7" borderId="33" xfId="0" applyNumberFormat="1" applyFont="1" applyFill="1" applyBorder="1" applyAlignment="1">
      <alignment horizontal="center" vertical="center" wrapText="1"/>
    </xf>
    <xf numFmtId="164" fontId="10" fillId="9" borderId="33" xfId="0" applyNumberFormat="1" applyFont="1" applyFill="1" applyBorder="1" applyAlignment="1">
      <alignment horizontal="right" wrapText="1"/>
    </xf>
    <xf numFmtId="1" fontId="2" fillId="6" borderId="20" xfId="0" applyNumberFormat="1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0" fontId="3" fillId="5" borderId="39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/>
    </xf>
    <xf numFmtId="9" fontId="2" fillId="0" borderId="41" xfId="1" applyFont="1" applyBorder="1" applyAlignment="1">
      <alignment horizontal="center"/>
    </xf>
    <xf numFmtId="1" fontId="2" fillId="6" borderId="42" xfId="0" applyNumberFormat="1" applyFont="1" applyFill="1" applyBorder="1" applyAlignment="1">
      <alignment horizontal="center"/>
    </xf>
    <xf numFmtId="1" fontId="2" fillId="6" borderId="43" xfId="0" applyNumberFormat="1" applyFont="1" applyFill="1" applyBorder="1" applyAlignment="1">
      <alignment horizontal="center"/>
    </xf>
    <xf numFmtId="0" fontId="3" fillId="5" borderId="44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1" fontId="2" fillId="0" borderId="46" xfId="1" applyNumberFormat="1" applyFont="1" applyBorder="1" applyAlignment="1">
      <alignment horizontal="center"/>
    </xf>
    <xf numFmtId="9" fontId="2" fillId="0" borderId="47" xfId="1" applyFont="1" applyBorder="1" applyAlignment="1">
      <alignment horizontal="center"/>
    </xf>
    <xf numFmtId="1" fontId="2" fillId="0" borderId="48" xfId="1" applyNumberFormat="1" applyFont="1" applyBorder="1" applyAlignment="1">
      <alignment horizontal="center"/>
    </xf>
    <xf numFmtId="1" fontId="2" fillId="0" borderId="46" xfId="0" applyNumberFormat="1" applyFont="1" applyBorder="1" applyAlignment="1">
      <alignment horizontal="center"/>
    </xf>
    <xf numFmtId="1" fontId="2" fillId="0" borderId="48" xfId="0" applyNumberFormat="1" applyFont="1" applyBorder="1" applyAlignment="1">
      <alignment horizontal="center"/>
    </xf>
    <xf numFmtId="1" fontId="2" fillId="6" borderId="14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6" borderId="15" xfId="0" applyNumberFormat="1" applyFont="1" applyFill="1" applyBorder="1" applyAlignment="1">
      <alignment horizontal="center"/>
    </xf>
    <xf numFmtId="1" fontId="2" fillId="6" borderId="16" xfId="0" applyNumberFormat="1" applyFont="1" applyFill="1" applyBorder="1" applyAlignment="1">
      <alignment horizontal="center"/>
    </xf>
    <xf numFmtId="1" fontId="2" fillId="6" borderId="17" xfId="0" applyNumberFormat="1" applyFont="1" applyFill="1" applyBorder="1" applyAlignment="1">
      <alignment horizontal="center"/>
    </xf>
    <xf numFmtId="1" fontId="2" fillId="6" borderId="13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%20-%20OPERACIONES/1%20-%20COORDINACION/CONSECUCION%20AGENTES%20AGOST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V. HORAS"/>
      <sheetName val="Horas TV"/>
      <sheetName val="Horas Volte"/>
      <sheetName val="Horas Amazon"/>
      <sheetName val="Ventas Amazon"/>
      <sheetName val="Ventas TV"/>
      <sheetName val="Ventas Volte"/>
      <sheetName val="Ventas Xsell"/>
    </sheetNames>
    <sheetDataSet>
      <sheetData sheetId="0"/>
      <sheetData sheetId="1"/>
      <sheetData sheetId="2">
        <row r="3">
          <cell r="A3" t="str">
            <v>Eric Esteban</v>
          </cell>
          <cell r="B3" t="str">
            <v>VOLTE</v>
          </cell>
          <cell r="C3" t="str">
            <v>VAC</v>
          </cell>
          <cell r="D3" t="str">
            <v>VAC</v>
          </cell>
          <cell r="E3" t="str">
            <v>X</v>
          </cell>
          <cell r="F3" t="str">
            <v>X</v>
          </cell>
          <cell r="G3">
            <v>1</v>
          </cell>
          <cell r="H3">
            <v>5</v>
          </cell>
          <cell r="I3">
            <v>5</v>
          </cell>
          <cell r="J3">
            <v>5</v>
          </cell>
          <cell r="K3">
            <v>5</v>
          </cell>
          <cell r="L3" t="str">
            <v>X</v>
          </cell>
          <cell r="M3" t="str">
            <v>X</v>
          </cell>
          <cell r="N3" t="str">
            <v>ABS</v>
          </cell>
          <cell r="O3">
            <v>5</v>
          </cell>
          <cell r="P3">
            <v>5</v>
          </cell>
          <cell r="Q3" t="str">
            <v>FEST</v>
          </cell>
          <cell r="R3">
            <v>5</v>
          </cell>
          <cell r="S3" t="str">
            <v>X</v>
          </cell>
          <cell r="T3" t="str">
            <v>X</v>
          </cell>
          <cell r="U3">
            <v>5</v>
          </cell>
          <cell r="V3">
            <v>5</v>
          </cell>
          <cell r="W3">
            <v>5</v>
          </cell>
          <cell r="X3">
            <v>5</v>
          </cell>
          <cell r="Y3">
            <v>5</v>
          </cell>
          <cell r="Z3" t="str">
            <v>X</v>
          </cell>
          <cell r="AA3" t="str">
            <v>X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 t="str">
            <v>X</v>
          </cell>
          <cell r="AH3">
            <v>61</v>
          </cell>
        </row>
        <row r="4">
          <cell r="A4" t="str">
            <v>Mª Ángeles Fernández</v>
          </cell>
          <cell r="B4" t="str">
            <v>VOLTE</v>
          </cell>
          <cell r="C4" t="str">
            <v>VAC</v>
          </cell>
          <cell r="D4" t="str">
            <v>VAC</v>
          </cell>
          <cell r="E4" t="str">
            <v>X</v>
          </cell>
          <cell r="F4" t="str">
            <v>X</v>
          </cell>
          <cell r="G4" t="str">
            <v>VAC</v>
          </cell>
          <cell r="H4" t="str">
            <v>VAC</v>
          </cell>
          <cell r="I4" t="str">
            <v>VAC</v>
          </cell>
          <cell r="J4" t="str">
            <v>VAC</v>
          </cell>
          <cell r="K4" t="str">
            <v>VAC</v>
          </cell>
          <cell r="L4" t="str">
            <v>X</v>
          </cell>
          <cell r="M4" t="str">
            <v>X</v>
          </cell>
          <cell r="N4" t="str">
            <v>VAC</v>
          </cell>
          <cell r="O4" t="str">
            <v>VAC</v>
          </cell>
          <cell r="P4" t="str">
            <v>VAC</v>
          </cell>
          <cell r="Q4" t="str">
            <v>VAC</v>
          </cell>
          <cell r="R4" t="str">
            <v>X</v>
          </cell>
          <cell r="S4" t="str">
            <v>X</v>
          </cell>
          <cell r="T4" t="str">
            <v>X</v>
          </cell>
          <cell r="U4" t="str">
            <v>X</v>
          </cell>
          <cell r="V4" t="str">
            <v>X</v>
          </cell>
          <cell r="W4" t="str">
            <v>X</v>
          </cell>
          <cell r="X4" t="str">
            <v>X</v>
          </cell>
          <cell r="Y4" t="str">
            <v>X</v>
          </cell>
          <cell r="Z4" t="str">
            <v>X</v>
          </cell>
          <cell r="AA4" t="str">
            <v>X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X</v>
          </cell>
          <cell r="AH4">
            <v>0</v>
          </cell>
        </row>
        <row r="5">
          <cell r="A5" t="str">
            <v>Montserrat Fernández</v>
          </cell>
          <cell r="B5" t="str">
            <v>VOLTE</v>
          </cell>
          <cell r="C5" t="str">
            <v>X</v>
          </cell>
          <cell r="D5" t="str">
            <v>VAC</v>
          </cell>
          <cell r="E5" t="str">
            <v>X</v>
          </cell>
          <cell r="F5" t="str">
            <v>X</v>
          </cell>
          <cell r="G5" t="str">
            <v>COMP</v>
          </cell>
          <cell r="H5">
            <v>6</v>
          </cell>
          <cell r="I5">
            <v>1</v>
          </cell>
          <cell r="J5" t="str">
            <v>X</v>
          </cell>
          <cell r="K5" t="str">
            <v>X</v>
          </cell>
          <cell r="L5" t="str">
            <v>X</v>
          </cell>
          <cell r="M5" t="str">
            <v>X</v>
          </cell>
          <cell r="N5" t="str">
            <v>X</v>
          </cell>
          <cell r="O5" t="str">
            <v>X</v>
          </cell>
          <cell r="P5" t="str">
            <v>X</v>
          </cell>
          <cell r="Q5" t="str">
            <v>FEST</v>
          </cell>
          <cell r="R5" t="str">
            <v>X</v>
          </cell>
          <cell r="S5" t="str">
            <v>X</v>
          </cell>
          <cell r="T5" t="str">
            <v>X</v>
          </cell>
          <cell r="U5" t="str">
            <v>X</v>
          </cell>
          <cell r="V5" t="str">
            <v>X</v>
          </cell>
          <cell r="W5" t="str">
            <v>X</v>
          </cell>
          <cell r="X5" t="str">
            <v>X</v>
          </cell>
          <cell r="Y5" t="str">
            <v>X</v>
          </cell>
          <cell r="Z5" t="str">
            <v>X</v>
          </cell>
          <cell r="AA5" t="str">
            <v>X</v>
          </cell>
          <cell r="AB5" t="str">
            <v>VAC</v>
          </cell>
          <cell r="AC5" t="str">
            <v>VAC</v>
          </cell>
          <cell r="AD5" t="str">
            <v>VAC</v>
          </cell>
          <cell r="AE5" t="str">
            <v>VAC</v>
          </cell>
          <cell r="AF5" t="str">
            <v>VAC</v>
          </cell>
          <cell r="AG5" t="str">
            <v>X</v>
          </cell>
          <cell r="AH5">
            <v>7</v>
          </cell>
        </row>
        <row r="6">
          <cell r="A6" t="str">
            <v>Miryam Domínguez</v>
          </cell>
          <cell r="B6" t="str">
            <v>VOLTE</v>
          </cell>
          <cell r="C6" t="str">
            <v>VAC</v>
          </cell>
          <cell r="D6" t="str">
            <v>VAC</v>
          </cell>
          <cell r="E6" t="str">
            <v>X</v>
          </cell>
          <cell r="F6" t="str">
            <v>X</v>
          </cell>
          <cell r="G6" t="str">
            <v>VAC</v>
          </cell>
          <cell r="H6">
            <v>5</v>
          </cell>
          <cell r="I6" t="str">
            <v>VAC</v>
          </cell>
          <cell r="J6" t="str">
            <v>VAC</v>
          </cell>
          <cell r="K6" t="str">
            <v>VAC</v>
          </cell>
          <cell r="L6" t="str">
            <v>X</v>
          </cell>
          <cell r="M6" t="str">
            <v>X</v>
          </cell>
          <cell r="N6" t="str">
            <v>VAC</v>
          </cell>
          <cell r="O6" t="str">
            <v>VAC</v>
          </cell>
          <cell r="P6" t="str">
            <v>VAC</v>
          </cell>
          <cell r="Q6" t="str">
            <v>FEST</v>
          </cell>
          <cell r="R6">
            <v>7</v>
          </cell>
          <cell r="S6" t="str">
            <v>X</v>
          </cell>
          <cell r="T6" t="str">
            <v>X</v>
          </cell>
          <cell r="U6">
            <v>7</v>
          </cell>
          <cell r="V6">
            <v>7</v>
          </cell>
          <cell r="W6">
            <v>7</v>
          </cell>
          <cell r="X6">
            <v>7</v>
          </cell>
          <cell r="Y6">
            <v>7</v>
          </cell>
          <cell r="Z6" t="str">
            <v>X</v>
          </cell>
          <cell r="AA6" t="str">
            <v>X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 t="str">
            <v>X</v>
          </cell>
          <cell r="AH6">
            <v>47</v>
          </cell>
        </row>
        <row r="7">
          <cell r="A7" t="str">
            <v>Carmen Bascón</v>
          </cell>
          <cell r="B7" t="str">
            <v>VOLTE</v>
          </cell>
          <cell r="C7" t="str">
            <v>X</v>
          </cell>
          <cell r="D7" t="str">
            <v>X</v>
          </cell>
          <cell r="E7" t="str">
            <v>X</v>
          </cell>
          <cell r="F7" t="str">
            <v>X</v>
          </cell>
          <cell r="G7">
            <v>1</v>
          </cell>
          <cell r="H7">
            <v>5</v>
          </cell>
          <cell r="I7">
            <v>5</v>
          </cell>
          <cell r="J7">
            <v>5</v>
          </cell>
          <cell r="K7">
            <v>5</v>
          </cell>
          <cell r="L7" t="str">
            <v>X</v>
          </cell>
          <cell r="M7" t="str">
            <v>X</v>
          </cell>
          <cell r="N7">
            <v>5</v>
          </cell>
          <cell r="O7">
            <v>5</v>
          </cell>
          <cell r="P7">
            <v>5</v>
          </cell>
          <cell r="Q7" t="str">
            <v>FEST</v>
          </cell>
          <cell r="R7">
            <v>5</v>
          </cell>
          <cell r="S7" t="str">
            <v>X</v>
          </cell>
          <cell r="T7" t="str">
            <v>X</v>
          </cell>
          <cell r="U7" t="str">
            <v>VAC</v>
          </cell>
          <cell r="V7" t="str">
            <v>VAC</v>
          </cell>
          <cell r="W7" t="str">
            <v>VAC</v>
          </cell>
          <cell r="X7" t="str">
            <v>VAC</v>
          </cell>
          <cell r="Y7" t="str">
            <v>VAC</v>
          </cell>
          <cell r="Z7" t="str">
            <v>X</v>
          </cell>
          <cell r="AA7" t="str">
            <v>X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 t="str">
            <v>X</v>
          </cell>
          <cell r="AH7">
            <v>41</v>
          </cell>
        </row>
        <row r="8">
          <cell r="A8" t="str">
            <v>Macarena Morilla</v>
          </cell>
          <cell r="B8" t="str">
            <v>VOLTE</v>
          </cell>
          <cell r="C8" t="str">
            <v>X</v>
          </cell>
          <cell r="D8" t="str">
            <v>COMP</v>
          </cell>
          <cell r="E8" t="str">
            <v>X</v>
          </cell>
          <cell r="F8" t="str">
            <v>X</v>
          </cell>
          <cell r="G8" t="str">
            <v>VAC</v>
          </cell>
          <cell r="H8" t="str">
            <v>VAC</v>
          </cell>
          <cell r="I8" t="str">
            <v>VAC</v>
          </cell>
          <cell r="J8" t="str">
            <v>VAC</v>
          </cell>
          <cell r="K8" t="str">
            <v>VAC</v>
          </cell>
          <cell r="L8" t="str">
            <v>X</v>
          </cell>
          <cell r="M8" t="str">
            <v>X</v>
          </cell>
          <cell r="N8" t="str">
            <v>VAC</v>
          </cell>
          <cell r="O8" t="str">
            <v>VAC</v>
          </cell>
          <cell r="P8" t="str">
            <v>VAC</v>
          </cell>
          <cell r="Q8" t="str">
            <v>VAC</v>
          </cell>
          <cell r="R8" t="str">
            <v>VAC</v>
          </cell>
          <cell r="S8" t="str">
            <v>X</v>
          </cell>
          <cell r="T8" t="str">
            <v>X</v>
          </cell>
          <cell r="U8" t="str">
            <v>VAC</v>
          </cell>
          <cell r="V8" t="str">
            <v>VAC</v>
          </cell>
          <cell r="W8" t="str">
            <v>VAC</v>
          </cell>
          <cell r="X8" t="str">
            <v>VAC</v>
          </cell>
          <cell r="Y8" t="str">
            <v>VAC</v>
          </cell>
          <cell r="Z8" t="str">
            <v>X</v>
          </cell>
          <cell r="AA8" t="str">
            <v>X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X</v>
          </cell>
          <cell r="AH8">
            <v>0</v>
          </cell>
        </row>
        <row r="9">
          <cell r="A9" t="str">
            <v>Alejandra Bonet</v>
          </cell>
          <cell r="B9" t="str">
            <v>VOLTE</v>
          </cell>
          <cell r="C9" t="str">
            <v>ABS</v>
          </cell>
          <cell r="D9" t="str">
            <v>ABS</v>
          </cell>
          <cell r="E9" t="str">
            <v>X</v>
          </cell>
          <cell r="F9" t="str">
            <v>X</v>
          </cell>
          <cell r="G9">
            <v>1</v>
          </cell>
          <cell r="H9">
            <v>5</v>
          </cell>
          <cell r="I9">
            <v>5</v>
          </cell>
          <cell r="J9">
            <v>5</v>
          </cell>
          <cell r="K9">
            <v>5</v>
          </cell>
          <cell r="L9" t="str">
            <v>X</v>
          </cell>
          <cell r="M9" t="str">
            <v>X</v>
          </cell>
          <cell r="N9">
            <v>5</v>
          </cell>
          <cell r="O9">
            <v>5</v>
          </cell>
          <cell r="P9">
            <v>5</v>
          </cell>
          <cell r="Q9" t="str">
            <v>FEST</v>
          </cell>
          <cell r="R9">
            <v>5</v>
          </cell>
          <cell r="S9" t="str">
            <v>X</v>
          </cell>
          <cell r="T9" t="str">
            <v>X</v>
          </cell>
          <cell r="U9">
            <v>5</v>
          </cell>
          <cell r="V9">
            <v>5</v>
          </cell>
          <cell r="W9">
            <v>5</v>
          </cell>
          <cell r="X9">
            <v>5</v>
          </cell>
          <cell r="Y9">
            <v>5</v>
          </cell>
          <cell r="Z9" t="str">
            <v>X</v>
          </cell>
          <cell r="AA9" t="str">
            <v>X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X</v>
          </cell>
          <cell r="AH9">
            <v>66</v>
          </cell>
        </row>
        <row r="10">
          <cell r="A10" t="str">
            <v>Macarena Albarran</v>
          </cell>
          <cell r="B10" t="str">
            <v>VOLTE</v>
          </cell>
          <cell r="C10" t="str">
            <v>X</v>
          </cell>
          <cell r="D10" t="str">
            <v>X</v>
          </cell>
          <cell r="E10" t="str">
            <v>X</v>
          </cell>
          <cell r="F10" t="str">
            <v>X</v>
          </cell>
          <cell r="G10">
            <v>2</v>
          </cell>
          <cell r="H10">
            <v>8</v>
          </cell>
          <cell r="I10">
            <v>1</v>
          </cell>
          <cell r="J10" t="str">
            <v>X</v>
          </cell>
          <cell r="K10" t="str">
            <v>X</v>
          </cell>
          <cell r="L10" t="str">
            <v>X</v>
          </cell>
          <cell r="M10" t="str">
            <v>X</v>
          </cell>
          <cell r="N10" t="str">
            <v>VAC</v>
          </cell>
          <cell r="O10" t="str">
            <v>VAC</v>
          </cell>
          <cell r="P10" t="str">
            <v>VAC</v>
          </cell>
          <cell r="Q10" t="str">
            <v>VAC</v>
          </cell>
          <cell r="R10" t="str">
            <v>VAC</v>
          </cell>
          <cell r="S10" t="str">
            <v>X</v>
          </cell>
          <cell r="T10" t="str">
            <v>X</v>
          </cell>
          <cell r="U10" t="str">
            <v>X</v>
          </cell>
          <cell r="V10" t="str">
            <v>X</v>
          </cell>
          <cell r="W10" t="str">
            <v>X</v>
          </cell>
          <cell r="X10" t="str">
            <v>X</v>
          </cell>
          <cell r="Y10" t="str">
            <v>X</v>
          </cell>
          <cell r="Z10" t="str">
            <v>X</v>
          </cell>
          <cell r="AA10" t="str">
            <v>X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X</v>
          </cell>
          <cell r="AH10">
            <v>11</v>
          </cell>
        </row>
        <row r="11">
          <cell r="A11" t="str">
            <v>Elisabeth Ladesa</v>
          </cell>
          <cell r="B11" t="str">
            <v>VOLTE</v>
          </cell>
          <cell r="C11" t="str">
            <v>X</v>
          </cell>
          <cell r="D11" t="str">
            <v>X</v>
          </cell>
          <cell r="E11" t="str">
            <v>X</v>
          </cell>
          <cell r="F11" t="str">
            <v>X</v>
          </cell>
          <cell r="G11" t="str">
            <v>VAC</v>
          </cell>
          <cell r="H11" t="str">
            <v>VAC</v>
          </cell>
          <cell r="I11" t="str">
            <v>VAC</v>
          </cell>
          <cell r="J11" t="str">
            <v>VAC</v>
          </cell>
          <cell r="K11" t="str">
            <v>VAC</v>
          </cell>
          <cell r="L11" t="str">
            <v>X</v>
          </cell>
          <cell r="M11" t="str">
            <v>X</v>
          </cell>
          <cell r="N11" t="str">
            <v>VAC</v>
          </cell>
          <cell r="O11" t="str">
            <v>VAC</v>
          </cell>
          <cell r="P11" t="str">
            <v>VAC</v>
          </cell>
          <cell r="Q11" t="str">
            <v>VAC</v>
          </cell>
          <cell r="R11" t="str">
            <v>VAC</v>
          </cell>
          <cell r="S11" t="str">
            <v>X</v>
          </cell>
          <cell r="T11" t="str">
            <v>X</v>
          </cell>
          <cell r="U11" t="str">
            <v>X</v>
          </cell>
          <cell r="V11" t="str">
            <v>X</v>
          </cell>
          <cell r="W11" t="str">
            <v>X</v>
          </cell>
          <cell r="X11" t="str">
            <v>X</v>
          </cell>
          <cell r="Y11" t="str">
            <v>X</v>
          </cell>
          <cell r="Z11" t="str">
            <v>X</v>
          </cell>
          <cell r="AA11" t="str">
            <v>X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 t="str">
            <v>X</v>
          </cell>
          <cell r="AH11">
            <v>0</v>
          </cell>
        </row>
        <row r="12">
          <cell r="A12" t="str">
            <v>Olga Carmona</v>
          </cell>
          <cell r="B12" t="str">
            <v>VOLTE</v>
          </cell>
          <cell r="C12" t="str">
            <v>ABS</v>
          </cell>
          <cell r="D12" t="str">
            <v>ABS</v>
          </cell>
          <cell r="E12" t="str">
            <v>X</v>
          </cell>
          <cell r="F12" t="str">
            <v>X</v>
          </cell>
          <cell r="G12">
            <v>2</v>
          </cell>
          <cell r="H12">
            <v>7</v>
          </cell>
          <cell r="I12">
            <v>6</v>
          </cell>
          <cell r="J12" t="str">
            <v>VAC</v>
          </cell>
          <cell r="K12" t="str">
            <v>VAC</v>
          </cell>
          <cell r="L12" t="str">
            <v>X</v>
          </cell>
          <cell r="M12" t="str">
            <v>X</v>
          </cell>
          <cell r="N12" t="str">
            <v>VAC</v>
          </cell>
          <cell r="O12" t="str">
            <v>VAC</v>
          </cell>
          <cell r="P12" t="str">
            <v>VAC</v>
          </cell>
          <cell r="Q12" t="str">
            <v>VAC</v>
          </cell>
          <cell r="R12" t="str">
            <v>VAC</v>
          </cell>
          <cell r="S12" t="str">
            <v>X</v>
          </cell>
          <cell r="T12" t="str">
            <v>X</v>
          </cell>
          <cell r="U12">
            <v>7</v>
          </cell>
          <cell r="V12">
            <v>7</v>
          </cell>
          <cell r="W12">
            <v>7</v>
          </cell>
          <cell r="X12">
            <v>8</v>
          </cell>
          <cell r="Y12">
            <v>8</v>
          </cell>
          <cell r="Z12" t="str">
            <v>X</v>
          </cell>
          <cell r="AA12" t="str">
            <v>X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 t="str">
            <v>X</v>
          </cell>
          <cell r="AH12">
            <v>52</v>
          </cell>
        </row>
        <row r="13">
          <cell r="A13" t="str">
            <v>Rocío Alarcón</v>
          </cell>
          <cell r="B13" t="str">
            <v>VOLTE</v>
          </cell>
          <cell r="C13" t="str">
            <v>X</v>
          </cell>
          <cell r="D13" t="str">
            <v>X</v>
          </cell>
          <cell r="E13" t="str">
            <v>X</v>
          </cell>
          <cell r="F13" t="str">
            <v>X</v>
          </cell>
          <cell r="G13">
            <v>1</v>
          </cell>
          <cell r="H13">
            <v>2</v>
          </cell>
          <cell r="I13" t="str">
            <v>X</v>
          </cell>
          <cell r="J13" t="str">
            <v>X</v>
          </cell>
          <cell r="K13" t="str">
            <v>X</v>
          </cell>
          <cell r="L13" t="str">
            <v>X</v>
          </cell>
          <cell r="M13" t="str">
            <v>X</v>
          </cell>
          <cell r="N13" t="str">
            <v>X</v>
          </cell>
          <cell r="O13" t="str">
            <v>X</v>
          </cell>
          <cell r="P13" t="str">
            <v>X</v>
          </cell>
          <cell r="Q13" t="str">
            <v>FEST</v>
          </cell>
          <cell r="R13">
            <v>5</v>
          </cell>
          <cell r="S13" t="str">
            <v>X</v>
          </cell>
          <cell r="T13" t="str">
            <v>X</v>
          </cell>
          <cell r="U13" t="str">
            <v>VAC</v>
          </cell>
          <cell r="V13" t="str">
            <v>VAC</v>
          </cell>
          <cell r="W13" t="str">
            <v>VAC</v>
          </cell>
          <cell r="X13" t="str">
            <v>VAC</v>
          </cell>
          <cell r="Y13" t="str">
            <v>VAC</v>
          </cell>
          <cell r="Z13" t="str">
            <v>X</v>
          </cell>
          <cell r="AA13" t="str">
            <v>X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 t="str">
            <v>X</v>
          </cell>
          <cell r="AH13">
            <v>8</v>
          </cell>
        </row>
        <row r="14">
          <cell r="A14" t="str">
            <v>Nazareth Rodríguez</v>
          </cell>
          <cell r="B14" t="str">
            <v>VOLTE</v>
          </cell>
          <cell r="C14" t="str">
            <v>X</v>
          </cell>
          <cell r="D14" t="str">
            <v>X</v>
          </cell>
          <cell r="E14" t="str">
            <v>X</v>
          </cell>
          <cell r="F14" t="str">
            <v>X</v>
          </cell>
          <cell r="G14">
            <v>1</v>
          </cell>
          <cell r="H14">
            <v>2</v>
          </cell>
          <cell r="I14">
            <v>5</v>
          </cell>
          <cell r="J14">
            <v>5</v>
          </cell>
          <cell r="K14">
            <v>5</v>
          </cell>
          <cell r="L14" t="str">
            <v>X</v>
          </cell>
          <cell r="M14" t="str">
            <v>X</v>
          </cell>
          <cell r="N14" t="str">
            <v>X</v>
          </cell>
          <cell r="O14" t="str">
            <v>X</v>
          </cell>
          <cell r="P14" t="str">
            <v>X</v>
          </cell>
          <cell r="Q14" t="str">
            <v>FEST</v>
          </cell>
          <cell r="R14">
            <v>5</v>
          </cell>
          <cell r="S14" t="str">
            <v>X</v>
          </cell>
          <cell r="T14" t="str">
            <v>X</v>
          </cell>
          <cell r="U14">
            <v>5</v>
          </cell>
          <cell r="V14">
            <v>5</v>
          </cell>
          <cell r="W14">
            <v>5</v>
          </cell>
          <cell r="X14">
            <v>8</v>
          </cell>
          <cell r="Y14" t="str">
            <v>AUS</v>
          </cell>
          <cell r="Z14" t="str">
            <v>X</v>
          </cell>
          <cell r="AA14" t="str">
            <v>X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 t="str">
            <v>X</v>
          </cell>
          <cell r="AH14">
            <v>46</v>
          </cell>
        </row>
        <row r="15">
          <cell r="A15" t="str">
            <v>Andrea Macías</v>
          </cell>
          <cell r="B15" t="str">
            <v>VOLTE</v>
          </cell>
          <cell r="C15" t="str">
            <v>X</v>
          </cell>
          <cell r="D15" t="str">
            <v>X</v>
          </cell>
          <cell r="E15" t="str">
            <v>X</v>
          </cell>
          <cell r="F15" t="str">
            <v>X</v>
          </cell>
          <cell r="G15">
            <v>1</v>
          </cell>
          <cell r="H15">
            <v>5</v>
          </cell>
          <cell r="I15">
            <v>5</v>
          </cell>
          <cell r="J15">
            <v>5</v>
          </cell>
          <cell r="K15">
            <v>5</v>
          </cell>
          <cell r="L15" t="str">
            <v>X</v>
          </cell>
          <cell r="M15" t="str">
            <v>X</v>
          </cell>
          <cell r="N15">
            <v>5</v>
          </cell>
          <cell r="O15">
            <v>5</v>
          </cell>
          <cell r="P15">
            <v>5</v>
          </cell>
          <cell r="Q15" t="str">
            <v>FEST</v>
          </cell>
          <cell r="R15" t="str">
            <v>X</v>
          </cell>
          <cell r="S15" t="str">
            <v>X</v>
          </cell>
          <cell r="T15" t="str">
            <v>X</v>
          </cell>
          <cell r="U15">
            <v>5</v>
          </cell>
          <cell r="V15">
            <v>5</v>
          </cell>
          <cell r="W15">
            <v>5</v>
          </cell>
          <cell r="X15">
            <v>8</v>
          </cell>
          <cell r="Y15">
            <v>8</v>
          </cell>
          <cell r="Z15" t="str">
            <v>X</v>
          </cell>
          <cell r="AA15" t="str">
            <v>X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X</v>
          </cell>
          <cell r="AH15">
            <v>67</v>
          </cell>
        </row>
        <row r="16">
          <cell r="A16" t="str">
            <v>Yolanda Romero</v>
          </cell>
          <cell r="B16" t="str">
            <v>VOLTE</v>
          </cell>
          <cell r="C16" t="str">
            <v>X</v>
          </cell>
          <cell r="D16" t="str">
            <v>X</v>
          </cell>
          <cell r="E16" t="str">
            <v>X</v>
          </cell>
          <cell r="F16" t="str">
            <v>X</v>
          </cell>
          <cell r="G16" t="str">
            <v>X</v>
          </cell>
          <cell r="H16" t="str">
            <v>X</v>
          </cell>
          <cell r="I16" t="str">
            <v>X</v>
          </cell>
          <cell r="J16" t="str">
            <v>X</v>
          </cell>
          <cell r="K16" t="str">
            <v>X</v>
          </cell>
          <cell r="L16" t="str">
            <v>X</v>
          </cell>
          <cell r="M16" t="str">
            <v>X</v>
          </cell>
          <cell r="N16">
            <v>5</v>
          </cell>
          <cell r="O16">
            <v>5</v>
          </cell>
          <cell r="P16">
            <v>5</v>
          </cell>
          <cell r="Q16" t="str">
            <v>FEST</v>
          </cell>
          <cell r="R16" t="str">
            <v>VAC</v>
          </cell>
          <cell r="S16" t="str">
            <v>X</v>
          </cell>
          <cell r="T16" t="str">
            <v>X</v>
          </cell>
          <cell r="U16">
            <v>5</v>
          </cell>
          <cell r="V16">
            <v>5</v>
          </cell>
          <cell r="W16">
            <v>5</v>
          </cell>
          <cell r="X16">
            <v>5</v>
          </cell>
          <cell r="Y16">
            <v>5</v>
          </cell>
          <cell r="Z16" t="str">
            <v>X</v>
          </cell>
          <cell r="AA16" t="str">
            <v>X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 t="str">
            <v>X</v>
          </cell>
          <cell r="AH16">
            <v>40</v>
          </cell>
        </row>
        <row r="17">
          <cell r="A17" t="str">
            <v>Leonor Kukurelo</v>
          </cell>
          <cell r="B17" t="str">
            <v>VOLTE</v>
          </cell>
          <cell r="C17" t="str">
            <v>X</v>
          </cell>
          <cell r="D17" t="str">
            <v>X</v>
          </cell>
          <cell r="E17" t="str">
            <v>X</v>
          </cell>
          <cell r="F17" t="str">
            <v>X</v>
          </cell>
          <cell r="G17">
            <v>1</v>
          </cell>
          <cell r="H17">
            <v>5</v>
          </cell>
          <cell r="I17">
            <v>5</v>
          </cell>
          <cell r="J17">
            <v>5</v>
          </cell>
          <cell r="K17">
            <v>5</v>
          </cell>
          <cell r="L17" t="str">
            <v>X</v>
          </cell>
          <cell r="M17" t="str">
            <v>X</v>
          </cell>
          <cell r="N17">
            <v>5</v>
          </cell>
          <cell r="O17">
            <v>5</v>
          </cell>
          <cell r="P17">
            <v>5</v>
          </cell>
          <cell r="Q17" t="str">
            <v>FEST</v>
          </cell>
          <cell r="R17" t="str">
            <v>X</v>
          </cell>
          <cell r="S17" t="str">
            <v>X</v>
          </cell>
          <cell r="T17" t="str">
            <v>X</v>
          </cell>
          <cell r="U17">
            <v>5</v>
          </cell>
          <cell r="V17">
            <v>5</v>
          </cell>
          <cell r="W17">
            <v>5</v>
          </cell>
          <cell r="X17">
            <v>7</v>
          </cell>
          <cell r="Y17">
            <v>7</v>
          </cell>
          <cell r="Z17" t="str">
            <v>X</v>
          </cell>
          <cell r="AA17" t="str">
            <v>X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 t="str">
            <v>X</v>
          </cell>
          <cell r="AH17">
            <v>65</v>
          </cell>
        </row>
        <row r="18">
          <cell r="A18" t="str">
            <v>Total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511</v>
          </cell>
        </row>
        <row r="19">
          <cell r="A19" t="str">
            <v>TARDE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Raquel Durán</v>
          </cell>
          <cell r="B20" t="str">
            <v>VOLTE</v>
          </cell>
          <cell r="C20" t="str">
            <v>C.C</v>
          </cell>
          <cell r="D20" t="str">
            <v>C.C</v>
          </cell>
          <cell r="E20" t="str">
            <v>X</v>
          </cell>
          <cell r="F20" t="str">
            <v>X</v>
          </cell>
          <cell r="G20">
            <v>5</v>
          </cell>
          <cell r="H20">
            <v>5</v>
          </cell>
          <cell r="I20" t="str">
            <v>C.C.</v>
          </cell>
          <cell r="J20" t="str">
            <v>C.C</v>
          </cell>
          <cell r="K20" t="str">
            <v>C.C</v>
          </cell>
          <cell r="L20" t="str">
            <v>X</v>
          </cell>
          <cell r="M20" t="str">
            <v>X</v>
          </cell>
          <cell r="N20" t="str">
            <v>C.C</v>
          </cell>
          <cell r="O20" t="str">
            <v>C.C</v>
          </cell>
          <cell r="P20" t="str">
            <v>C.C</v>
          </cell>
          <cell r="Q20" t="str">
            <v>FEST</v>
          </cell>
          <cell r="R20" t="str">
            <v>C.C</v>
          </cell>
          <cell r="S20" t="str">
            <v>X</v>
          </cell>
          <cell r="T20" t="str">
            <v>X</v>
          </cell>
          <cell r="U20" t="str">
            <v>C.C</v>
          </cell>
          <cell r="V20" t="str">
            <v>C.C</v>
          </cell>
          <cell r="W20" t="str">
            <v>C.C</v>
          </cell>
          <cell r="X20" t="str">
            <v>C.C</v>
          </cell>
          <cell r="Y20" t="str">
            <v>C.C</v>
          </cell>
          <cell r="Z20" t="str">
            <v>X</v>
          </cell>
          <cell r="AA20" t="str">
            <v>X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X</v>
          </cell>
          <cell r="AH20">
            <v>10</v>
          </cell>
        </row>
        <row r="21">
          <cell r="A21" t="str">
            <v>Andrea Garcia</v>
          </cell>
          <cell r="B21" t="str">
            <v>VOLTE</v>
          </cell>
          <cell r="C21" t="str">
            <v>C.C</v>
          </cell>
          <cell r="D21" t="str">
            <v>C.C</v>
          </cell>
          <cell r="E21" t="str">
            <v>X</v>
          </cell>
          <cell r="F21" t="str">
            <v>X</v>
          </cell>
          <cell r="G21">
            <v>5</v>
          </cell>
          <cell r="H21">
            <v>5</v>
          </cell>
          <cell r="I21">
            <v>5</v>
          </cell>
          <cell r="J21">
            <v>5</v>
          </cell>
          <cell r="K21">
            <v>5</v>
          </cell>
          <cell r="L21" t="str">
            <v>X</v>
          </cell>
          <cell r="M21" t="str">
            <v>X</v>
          </cell>
          <cell r="N21">
            <v>5</v>
          </cell>
          <cell r="O21">
            <v>5</v>
          </cell>
          <cell r="P21">
            <v>5</v>
          </cell>
          <cell r="Q21" t="str">
            <v>FEST</v>
          </cell>
          <cell r="R21">
            <v>5</v>
          </cell>
          <cell r="S21" t="str">
            <v>X</v>
          </cell>
          <cell r="T21" t="str">
            <v>X</v>
          </cell>
          <cell r="U21">
            <v>5</v>
          </cell>
          <cell r="V21">
            <v>5</v>
          </cell>
          <cell r="W21" t="str">
            <v>C.C</v>
          </cell>
          <cell r="X21" t="str">
            <v>C.C</v>
          </cell>
          <cell r="Y21" t="str">
            <v>C.C</v>
          </cell>
          <cell r="Z21" t="str">
            <v>X</v>
          </cell>
          <cell r="AA21" t="str">
            <v>X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 t="str">
            <v>X</v>
          </cell>
          <cell r="AH21">
            <v>55</v>
          </cell>
        </row>
        <row r="22">
          <cell r="A22" t="str">
            <v>Victoria Ruiz</v>
          </cell>
          <cell r="B22" t="str">
            <v>VOLTE</v>
          </cell>
          <cell r="C22" t="str">
            <v>ABS</v>
          </cell>
          <cell r="D22" t="str">
            <v>C.C</v>
          </cell>
          <cell r="E22" t="str">
            <v>X</v>
          </cell>
          <cell r="F22" t="str">
            <v>X</v>
          </cell>
          <cell r="G22">
            <v>5</v>
          </cell>
          <cell r="H22">
            <v>5</v>
          </cell>
          <cell r="I22" t="str">
            <v>C.C</v>
          </cell>
          <cell r="J22" t="str">
            <v>C.C</v>
          </cell>
          <cell r="K22" t="str">
            <v>C.C</v>
          </cell>
          <cell r="L22" t="str">
            <v>X</v>
          </cell>
          <cell r="M22" t="str">
            <v>X</v>
          </cell>
          <cell r="N22" t="str">
            <v>C.C</v>
          </cell>
          <cell r="O22" t="str">
            <v>C.C</v>
          </cell>
          <cell r="P22" t="str">
            <v>C.C</v>
          </cell>
          <cell r="Q22" t="str">
            <v>FEST</v>
          </cell>
          <cell r="R22" t="str">
            <v>C.C</v>
          </cell>
          <cell r="S22" t="str">
            <v>X</v>
          </cell>
          <cell r="T22" t="str">
            <v>X</v>
          </cell>
          <cell r="U22">
            <v>8</v>
          </cell>
          <cell r="V22">
            <v>8</v>
          </cell>
          <cell r="W22">
            <v>8</v>
          </cell>
          <cell r="X22">
            <v>8</v>
          </cell>
          <cell r="Y22">
            <v>8</v>
          </cell>
          <cell r="Z22" t="str">
            <v>X</v>
          </cell>
          <cell r="AA22" t="str">
            <v>X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X</v>
          </cell>
          <cell r="AH22">
            <v>50</v>
          </cell>
        </row>
        <row r="23">
          <cell r="A23" t="str">
            <v>Mª José Sergeant</v>
          </cell>
          <cell r="B23" t="str">
            <v>VOLTE</v>
          </cell>
          <cell r="C23" t="str">
            <v>C.C</v>
          </cell>
          <cell r="D23" t="str">
            <v>C.C</v>
          </cell>
          <cell r="E23" t="str">
            <v>X</v>
          </cell>
          <cell r="F23" t="str">
            <v>X</v>
          </cell>
          <cell r="G23">
            <v>5</v>
          </cell>
          <cell r="H23">
            <v>5</v>
          </cell>
          <cell r="I23">
            <v>5</v>
          </cell>
          <cell r="J23">
            <v>5</v>
          </cell>
          <cell r="K23">
            <v>5</v>
          </cell>
          <cell r="L23" t="str">
            <v>X</v>
          </cell>
          <cell r="M23" t="str">
            <v>X</v>
          </cell>
          <cell r="N23">
            <v>5</v>
          </cell>
          <cell r="O23">
            <v>5</v>
          </cell>
          <cell r="P23">
            <v>5</v>
          </cell>
          <cell r="Q23" t="str">
            <v>FEST</v>
          </cell>
          <cell r="R23">
            <v>5</v>
          </cell>
          <cell r="S23" t="str">
            <v>X</v>
          </cell>
          <cell r="T23" t="str">
            <v>X</v>
          </cell>
          <cell r="U23" t="str">
            <v>AUS</v>
          </cell>
          <cell r="V23" t="str">
            <v>AUS</v>
          </cell>
          <cell r="W23" t="str">
            <v>C.C</v>
          </cell>
          <cell r="X23" t="str">
            <v>C.C</v>
          </cell>
          <cell r="Y23" t="str">
            <v>C.C</v>
          </cell>
          <cell r="Z23" t="str">
            <v>X</v>
          </cell>
          <cell r="AA23" t="str">
            <v>X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 t="str">
            <v>X</v>
          </cell>
          <cell r="AH23">
            <v>45</v>
          </cell>
        </row>
        <row r="24">
          <cell r="A24" t="str">
            <v>Eva Mª Fernández</v>
          </cell>
          <cell r="B24" t="str">
            <v>VOLTE</v>
          </cell>
          <cell r="C24" t="str">
            <v>C.C</v>
          </cell>
          <cell r="D24" t="str">
            <v>C.C</v>
          </cell>
          <cell r="E24" t="str">
            <v>X</v>
          </cell>
          <cell r="F24" t="str">
            <v>X</v>
          </cell>
          <cell r="G24">
            <v>5</v>
          </cell>
          <cell r="H24">
            <v>5</v>
          </cell>
          <cell r="I24">
            <v>5</v>
          </cell>
          <cell r="J24" t="str">
            <v>C.C</v>
          </cell>
          <cell r="K24" t="str">
            <v>C.C</v>
          </cell>
          <cell r="L24" t="str">
            <v>X</v>
          </cell>
          <cell r="M24" t="str">
            <v>X</v>
          </cell>
          <cell r="N24" t="str">
            <v>C.C</v>
          </cell>
          <cell r="O24" t="str">
            <v>C.C</v>
          </cell>
          <cell r="P24" t="str">
            <v>C.C</v>
          </cell>
          <cell r="Q24" t="str">
            <v>FEST</v>
          </cell>
          <cell r="R24" t="str">
            <v>C.C</v>
          </cell>
          <cell r="S24" t="str">
            <v>X</v>
          </cell>
          <cell r="T24" t="str">
            <v>X</v>
          </cell>
          <cell r="U24">
            <v>5</v>
          </cell>
          <cell r="V24">
            <v>5</v>
          </cell>
          <cell r="W24">
            <v>5</v>
          </cell>
          <cell r="X24">
            <v>5</v>
          </cell>
          <cell r="Y24">
            <v>5</v>
          </cell>
          <cell r="Z24" t="str">
            <v>X</v>
          </cell>
          <cell r="AA24" t="str">
            <v>X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 t="str">
            <v>X</v>
          </cell>
          <cell r="AH24">
            <v>40</v>
          </cell>
        </row>
        <row r="25">
          <cell r="A25" t="str">
            <v>Triana Marquez</v>
          </cell>
          <cell r="B25" t="str">
            <v>VOLTE</v>
          </cell>
          <cell r="C25" t="str">
            <v>C.C</v>
          </cell>
          <cell r="D25" t="str">
            <v>C.C</v>
          </cell>
          <cell r="E25" t="str">
            <v>X</v>
          </cell>
          <cell r="F25" t="str">
            <v>X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 t="str">
            <v>X</v>
          </cell>
          <cell r="M25" t="str">
            <v>X</v>
          </cell>
          <cell r="N25">
            <v>8</v>
          </cell>
          <cell r="O25">
            <v>8</v>
          </cell>
          <cell r="P25">
            <v>8</v>
          </cell>
          <cell r="Q25" t="str">
            <v>FEST</v>
          </cell>
          <cell r="R25">
            <v>8</v>
          </cell>
          <cell r="S25" t="str">
            <v>X</v>
          </cell>
          <cell r="T25" t="str">
            <v>X</v>
          </cell>
          <cell r="U25">
            <v>8</v>
          </cell>
          <cell r="V25">
            <v>8</v>
          </cell>
          <cell r="W25">
            <v>8</v>
          </cell>
          <cell r="X25">
            <v>8</v>
          </cell>
          <cell r="Y25">
            <v>8</v>
          </cell>
          <cell r="Z25" t="str">
            <v>X</v>
          </cell>
          <cell r="AA25" t="str">
            <v>X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 t="str">
            <v>X</v>
          </cell>
          <cell r="AH25">
            <v>97</v>
          </cell>
        </row>
        <row r="26">
          <cell r="A26" t="str">
            <v>Isabel Lopez</v>
          </cell>
          <cell r="B26" t="str">
            <v>VOLTE</v>
          </cell>
          <cell r="C26" t="str">
            <v>C.C</v>
          </cell>
          <cell r="D26" t="str">
            <v>C.C</v>
          </cell>
          <cell r="E26" t="str">
            <v>X</v>
          </cell>
          <cell r="F26" t="str">
            <v>X</v>
          </cell>
          <cell r="G26">
            <v>5</v>
          </cell>
          <cell r="H26">
            <v>5</v>
          </cell>
          <cell r="I26">
            <v>5</v>
          </cell>
          <cell r="J26">
            <v>5</v>
          </cell>
          <cell r="K26">
            <v>5</v>
          </cell>
          <cell r="L26" t="str">
            <v>X</v>
          </cell>
          <cell r="M26" t="str">
            <v>X</v>
          </cell>
          <cell r="N26">
            <v>8</v>
          </cell>
          <cell r="O26">
            <v>8</v>
          </cell>
          <cell r="P26">
            <v>8</v>
          </cell>
          <cell r="Q26" t="str">
            <v>FEST</v>
          </cell>
          <cell r="R26">
            <v>8</v>
          </cell>
          <cell r="S26" t="str">
            <v>X</v>
          </cell>
          <cell r="T26" t="str">
            <v>X</v>
          </cell>
          <cell r="U26">
            <v>8</v>
          </cell>
          <cell r="V26">
            <v>8</v>
          </cell>
          <cell r="W26">
            <v>8</v>
          </cell>
          <cell r="X26">
            <v>8</v>
          </cell>
          <cell r="Y26">
            <v>8</v>
          </cell>
          <cell r="Z26" t="str">
            <v>X</v>
          </cell>
          <cell r="AA26" t="str">
            <v>X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 t="str">
            <v>X</v>
          </cell>
          <cell r="AH26">
            <v>97</v>
          </cell>
        </row>
        <row r="27">
          <cell r="A27" t="str">
            <v>Maria El Lala</v>
          </cell>
          <cell r="B27" t="str">
            <v>VOLTE</v>
          </cell>
          <cell r="C27" t="str">
            <v>C.C</v>
          </cell>
          <cell r="D27" t="str">
            <v>C.C</v>
          </cell>
          <cell r="E27" t="str">
            <v>X</v>
          </cell>
          <cell r="F27" t="str">
            <v>X</v>
          </cell>
          <cell r="G27">
            <v>5</v>
          </cell>
          <cell r="H27">
            <v>5</v>
          </cell>
          <cell r="I27">
            <v>5</v>
          </cell>
          <cell r="J27">
            <v>5</v>
          </cell>
          <cell r="K27">
            <v>5</v>
          </cell>
          <cell r="L27" t="str">
            <v>X</v>
          </cell>
          <cell r="M27" t="str">
            <v>X</v>
          </cell>
          <cell r="N27">
            <v>5</v>
          </cell>
          <cell r="O27">
            <v>5</v>
          </cell>
          <cell r="P27">
            <v>5</v>
          </cell>
          <cell r="Q27" t="str">
            <v>FEST</v>
          </cell>
          <cell r="R27">
            <v>5</v>
          </cell>
          <cell r="S27" t="str">
            <v>X</v>
          </cell>
          <cell r="T27" t="str">
            <v>X</v>
          </cell>
          <cell r="U27">
            <v>5</v>
          </cell>
          <cell r="V27">
            <v>5</v>
          </cell>
          <cell r="W27" t="str">
            <v>C.C</v>
          </cell>
          <cell r="X27" t="str">
            <v>C.C</v>
          </cell>
          <cell r="Y27" t="str">
            <v>C.C</v>
          </cell>
          <cell r="Z27" t="str">
            <v>X</v>
          </cell>
          <cell r="AA27" t="str">
            <v>X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 t="str">
            <v>X</v>
          </cell>
          <cell r="AH27">
            <v>55</v>
          </cell>
        </row>
        <row r="28">
          <cell r="A28" t="str">
            <v>Manuel Rosado</v>
          </cell>
          <cell r="B28" t="str">
            <v>VOLTE</v>
          </cell>
          <cell r="C28" t="str">
            <v>C.C</v>
          </cell>
          <cell r="D28" t="str">
            <v>C.C</v>
          </cell>
          <cell r="E28" t="str">
            <v>X</v>
          </cell>
          <cell r="F28" t="str">
            <v>X</v>
          </cell>
          <cell r="G28">
            <v>5</v>
          </cell>
          <cell r="H28" t="str">
            <v>C.C.</v>
          </cell>
          <cell r="I28" t="str">
            <v>C.C.</v>
          </cell>
          <cell r="J28" t="str">
            <v>C.C</v>
          </cell>
          <cell r="K28" t="str">
            <v>C.C</v>
          </cell>
          <cell r="L28" t="str">
            <v>X</v>
          </cell>
          <cell r="M28" t="str">
            <v>X</v>
          </cell>
          <cell r="N28">
            <v>8</v>
          </cell>
          <cell r="O28">
            <v>8</v>
          </cell>
          <cell r="P28">
            <v>8</v>
          </cell>
          <cell r="Q28" t="str">
            <v>FEST</v>
          </cell>
          <cell r="R28">
            <v>8</v>
          </cell>
          <cell r="S28" t="str">
            <v>X</v>
          </cell>
          <cell r="T28" t="str">
            <v>X</v>
          </cell>
          <cell r="U28">
            <v>8</v>
          </cell>
          <cell r="V28">
            <v>8</v>
          </cell>
          <cell r="W28">
            <v>8</v>
          </cell>
          <cell r="X28">
            <v>8</v>
          </cell>
          <cell r="Y28">
            <v>8</v>
          </cell>
          <cell r="Z28" t="str">
            <v>X</v>
          </cell>
          <cell r="AA28" t="str">
            <v>X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X</v>
          </cell>
          <cell r="AH28">
            <v>77</v>
          </cell>
        </row>
        <row r="29">
          <cell r="A29" t="str">
            <v>Saray Rufo</v>
          </cell>
          <cell r="B29" t="str">
            <v>VOLTE</v>
          </cell>
          <cell r="C29" t="str">
            <v>C.C</v>
          </cell>
          <cell r="D29" t="str">
            <v>C.C</v>
          </cell>
          <cell r="E29" t="str">
            <v>X</v>
          </cell>
          <cell r="F29" t="str">
            <v>X</v>
          </cell>
          <cell r="G29">
            <v>5</v>
          </cell>
          <cell r="H29">
            <v>5</v>
          </cell>
          <cell r="I29">
            <v>5</v>
          </cell>
          <cell r="J29">
            <v>5</v>
          </cell>
          <cell r="K29">
            <v>5</v>
          </cell>
          <cell r="L29" t="str">
            <v>X</v>
          </cell>
          <cell r="M29" t="str">
            <v>X</v>
          </cell>
          <cell r="N29">
            <v>8</v>
          </cell>
          <cell r="O29">
            <v>8</v>
          </cell>
          <cell r="P29">
            <v>8</v>
          </cell>
          <cell r="Q29" t="str">
            <v>FEST</v>
          </cell>
          <cell r="R29">
            <v>8</v>
          </cell>
          <cell r="S29" t="str">
            <v>X</v>
          </cell>
          <cell r="T29" t="str">
            <v>X</v>
          </cell>
          <cell r="U29">
            <v>8</v>
          </cell>
          <cell r="V29">
            <v>8</v>
          </cell>
          <cell r="W29">
            <v>8</v>
          </cell>
          <cell r="X29">
            <v>8</v>
          </cell>
          <cell r="Y29">
            <v>8</v>
          </cell>
          <cell r="Z29" t="str">
            <v>X</v>
          </cell>
          <cell r="AA29" t="str">
            <v>X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X</v>
          </cell>
          <cell r="AH29">
            <v>97</v>
          </cell>
        </row>
        <row r="30">
          <cell r="A30" t="str">
            <v>Teresa Lama</v>
          </cell>
          <cell r="B30" t="str">
            <v>VOLTE</v>
          </cell>
          <cell r="C30" t="str">
            <v>C.C</v>
          </cell>
          <cell r="D30" t="str">
            <v>C.C</v>
          </cell>
          <cell r="E30" t="str">
            <v>X</v>
          </cell>
          <cell r="F30" t="str">
            <v>X</v>
          </cell>
          <cell r="G30">
            <v>5</v>
          </cell>
          <cell r="H30">
            <v>5</v>
          </cell>
          <cell r="I30">
            <v>5</v>
          </cell>
          <cell r="J30">
            <v>5</v>
          </cell>
          <cell r="K30">
            <v>5</v>
          </cell>
          <cell r="L30" t="str">
            <v>X</v>
          </cell>
          <cell r="M30" t="str">
            <v>X</v>
          </cell>
          <cell r="N30">
            <v>5</v>
          </cell>
          <cell r="O30">
            <v>5</v>
          </cell>
          <cell r="P30">
            <v>5</v>
          </cell>
          <cell r="Q30" t="str">
            <v>FEST</v>
          </cell>
          <cell r="R30">
            <v>5</v>
          </cell>
          <cell r="S30" t="str">
            <v>X</v>
          </cell>
          <cell r="T30" t="str">
            <v>X</v>
          </cell>
          <cell r="U30">
            <v>5</v>
          </cell>
          <cell r="V30">
            <v>5</v>
          </cell>
          <cell r="W30">
            <v>5</v>
          </cell>
          <cell r="X30">
            <v>5</v>
          </cell>
          <cell r="Y30">
            <v>5</v>
          </cell>
          <cell r="Z30" t="str">
            <v>X</v>
          </cell>
          <cell r="AA30" t="str">
            <v>X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 t="str">
            <v>X</v>
          </cell>
          <cell r="AH30">
            <v>70</v>
          </cell>
        </row>
        <row r="31">
          <cell r="A31" t="str">
            <v>Juan Pedro Madrid</v>
          </cell>
          <cell r="B31" t="str">
            <v>VOLTE</v>
          </cell>
          <cell r="C31" t="str">
            <v>C.C</v>
          </cell>
          <cell r="D31" t="str">
            <v>C.C</v>
          </cell>
          <cell r="E31" t="str">
            <v>X</v>
          </cell>
          <cell r="F31" t="str">
            <v>X</v>
          </cell>
          <cell r="G31">
            <v>5</v>
          </cell>
          <cell r="H31">
            <v>5</v>
          </cell>
          <cell r="I31">
            <v>5</v>
          </cell>
          <cell r="J31" t="str">
            <v>C.C</v>
          </cell>
          <cell r="K31" t="str">
            <v>C.C</v>
          </cell>
          <cell r="L31" t="str">
            <v>X</v>
          </cell>
          <cell r="M31" t="str">
            <v>X</v>
          </cell>
          <cell r="N31" t="str">
            <v>C.C</v>
          </cell>
          <cell r="O31" t="str">
            <v>C.C</v>
          </cell>
          <cell r="P31" t="str">
            <v>C.C</v>
          </cell>
          <cell r="Q31" t="str">
            <v>FEST</v>
          </cell>
          <cell r="R31" t="str">
            <v>C.C</v>
          </cell>
          <cell r="S31" t="str">
            <v>X</v>
          </cell>
          <cell r="T31" t="str">
            <v>X</v>
          </cell>
          <cell r="U31">
            <v>8</v>
          </cell>
          <cell r="V31">
            <v>8</v>
          </cell>
          <cell r="W31">
            <v>8</v>
          </cell>
          <cell r="X31">
            <v>8</v>
          </cell>
          <cell r="Y31">
            <v>8</v>
          </cell>
          <cell r="Z31" t="str">
            <v>X</v>
          </cell>
          <cell r="AA31" t="str">
            <v>X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X</v>
          </cell>
          <cell r="AH31">
            <v>55</v>
          </cell>
        </row>
        <row r="32">
          <cell r="A32" t="str">
            <v>Total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748</v>
          </cell>
        </row>
      </sheetData>
      <sheetData sheetId="3">
        <row r="3">
          <cell r="A3" t="str">
            <v>Montserrat Fernandez</v>
          </cell>
          <cell r="B3" t="str">
            <v>AMAZON</v>
          </cell>
          <cell r="C3" t="str">
            <v>X</v>
          </cell>
          <cell r="D3" t="str">
            <v>VAC</v>
          </cell>
          <cell r="E3" t="str">
            <v>X</v>
          </cell>
          <cell r="F3" t="str">
            <v>X</v>
          </cell>
          <cell r="G3" t="str">
            <v>COMP</v>
          </cell>
          <cell r="H3" t="str">
            <v>X</v>
          </cell>
          <cell r="I3">
            <v>5</v>
          </cell>
          <cell r="J3">
            <v>6</v>
          </cell>
          <cell r="K3">
            <v>6</v>
          </cell>
          <cell r="L3" t="str">
            <v>X</v>
          </cell>
          <cell r="M3" t="str">
            <v>X</v>
          </cell>
          <cell r="N3">
            <v>6</v>
          </cell>
          <cell r="O3">
            <v>6</v>
          </cell>
          <cell r="P3">
            <v>6</v>
          </cell>
          <cell r="Q3" t="str">
            <v>FEST</v>
          </cell>
          <cell r="R3">
            <v>6</v>
          </cell>
          <cell r="S3" t="str">
            <v>X</v>
          </cell>
          <cell r="T3" t="str">
            <v>X</v>
          </cell>
          <cell r="U3">
            <v>6</v>
          </cell>
          <cell r="V3">
            <v>6</v>
          </cell>
          <cell r="W3">
            <v>6</v>
          </cell>
          <cell r="X3">
            <v>6</v>
          </cell>
          <cell r="Y3">
            <v>6</v>
          </cell>
          <cell r="Z3" t="str">
            <v>X</v>
          </cell>
          <cell r="AA3" t="str">
            <v>X</v>
          </cell>
          <cell r="AB3" t="str">
            <v>VAC</v>
          </cell>
          <cell r="AC3" t="str">
            <v>VAC</v>
          </cell>
          <cell r="AD3" t="str">
            <v>VAC</v>
          </cell>
          <cell r="AE3" t="str">
            <v>VAC</v>
          </cell>
          <cell r="AF3" t="str">
            <v>VAC</v>
          </cell>
          <cell r="AG3" t="str">
            <v>X</v>
          </cell>
          <cell r="AH3">
            <v>71</v>
          </cell>
        </row>
        <row r="4">
          <cell r="A4" t="str">
            <v>Elisabeth Ladesa</v>
          </cell>
          <cell r="B4" t="str">
            <v>AMAZON</v>
          </cell>
          <cell r="C4" t="str">
            <v>X</v>
          </cell>
          <cell r="D4" t="str">
            <v>X</v>
          </cell>
          <cell r="E4" t="str">
            <v>X</v>
          </cell>
          <cell r="F4" t="str">
            <v>X</v>
          </cell>
          <cell r="G4" t="str">
            <v>VAC</v>
          </cell>
          <cell r="H4" t="str">
            <v>VAC</v>
          </cell>
          <cell r="I4" t="str">
            <v>VAC</v>
          </cell>
          <cell r="J4" t="str">
            <v>VAC</v>
          </cell>
          <cell r="K4" t="str">
            <v>VAC</v>
          </cell>
          <cell r="L4" t="str">
            <v>X</v>
          </cell>
          <cell r="M4" t="str">
            <v>X</v>
          </cell>
          <cell r="N4" t="str">
            <v>VAC</v>
          </cell>
          <cell r="O4" t="str">
            <v>VAC</v>
          </cell>
          <cell r="P4" t="str">
            <v>VAC</v>
          </cell>
          <cell r="Q4" t="str">
            <v>VAC</v>
          </cell>
          <cell r="R4" t="str">
            <v>VAC</v>
          </cell>
          <cell r="S4" t="str">
            <v>X</v>
          </cell>
          <cell r="T4" t="str">
            <v>X</v>
          </cell>
          <cell r="U4">
            <v>8</v>
          </cell>
          <cell r="V4">
            <v>8</v>
          </cell>
          <cell r="W4">
            <v>8</v>
          </cell>
          <cell r="X4">
            <v>8</v>
          </cell>
          <cell r="Y4">
            <v>8</v>
          </cell>
          <cell r="Z4" t="str">
            <v>X</v>
          </cell>
          <cell r="AA4" t="str">
            <v>X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X</v>
          </cell>
          <cell r="AH4">
            <v>40</v>
          </cell>
        </row>
        <row r="5">
          <cell r="A5" t="str">
            <v>Macarena Albarran</v>
          </cell>
          <cell r="B5" t="str">
            <v>AMAZON</v>
          </cell>
          <cell r="C5" t="str">
            <v>X</v>
          </cell>
          <cell r="D5" t="str">
            <v>X</v>
          </cell>
          <cell r="E5" t="str">
            <v>X</v>
          </cell>
          <cell r="F5" t="str">
            <v>X</v>
          </cell>
          <cell r="G5" t="str">
            <v>X</v>
          </cell>
          <cell r="H5" t="str">
            <v>X</v>
          </cell>
          <cell r="I5">
            <v>7</v>
          </cell>
          <cell r="J5">
            <v>8</v>
          </cell>
          <cell r="K5">
            <v>8</v>
          </cell>
          <cell r="L5" t="str">
            <v>X</v>
          </cell>
          <cell r="M5" t="str">
            <v>X</v>
          </cell>
          <cell r="N5" t="str">
            <v>VAC</v>
          </cell>
          <cell r="O5" t="str">
            <v>VAC</v>
          </cell>
          <cell r="P5" t="str">
            <v>VAC</v>
          </cell>
          <cell r="Q5" t="str">
            <v>VAC</v>
          </cell>
          <cell r="R5" t="str">
            <v>VAC</v>
          </cell>
          <cell r="S5" t="str">
            <v>X</v>
          </cell>
          <cell r="T5" t="str">
            <v>X</v>
          </cell>
          <cell r="U5">
            <v>8</v>
          </cell>
          <cell r="V5">
            <v>8</v>
          </cell>
          <cell r="W5">
            <v>8</v>
          </cell>
          <cell r="X5">
            <v>8</v>
          </cell>
          <cell r="Y5">
            <v>8</v>
          </cell>
          <cell r="Z5" t="str">
            <v>X</v>
          </cell>
          <cell r="AA5" t="str">
            <v>X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 t="str">
            <v>X</v>
          </cell>
          <cell r="AH5">
            <v>63</v>
          </cell>
        </row>
        <row r="6">
          <cell r="A6" t="str">
            <v>Rocío Alarcón</v>
          </cell>
          <cell r="B6" t="str">
            <v>AMAZON</v>
          </cell>
          <cell r="C6" t="str">
            <v>X</v>
          </cell>
          <cell r="D6" t="str">
            <v>X</v>
          </cell>
          <cell r="E6" t="str">
            <v>X</v>
          </cell>
          <cell r="F6" t="str">
            <v>X</v>
          </cell>
          <cell r="G6" t="str">
            <v>X</v>
          </cell>
          <cell r="H6" t="str">
            <v>X</v>
          </cell>
          <cell r="I6">
            <v>5</v>
          </cell>
          <cell r="J6">
            <v>5</v>
          </cell>
          <cell r="K6">
            <v>5</v>
          </cell>
          <cell r="L6" t="str">
            <v>X</v>
          </cell>
          <cell r="M6" t="str">
            <v>X</v>
          </cell>
          <cell r="N6" t="str">
            <v>X</v>
          </cell>
          <cell r="O6" t="str">
            <v>X</v>
          </cell>
          <cell r="P6" t="str">
            <v>X</v>
          </cell>
          <cell r="Q6" t="str">
            <v>FEST</v>
          </cell>
          <cell r="R6" t="str">
            <v>X</v>
          </cell>
          <cell r="S6" t="str">
            <v>X</v>
          </cell>
          <cell r="T6" t="str">
            <v>X</v>
          </cell>
          <cell r="U6" t="str">
            <v>VAC</v>
          </cell>
          <cell r="V6" t="str">
            <v>VAC</v>
          </cell>
          <cell r="W6" t="str">
            <v>VAC</v>
          </cell>
          <cell r="X6" t="str">
            <v>VAC</v>
          </cell>
          <cell r="Y6" t="str">
            <v>VAC</v>
          </cell>
          <cell r="Z6" t="str">
            <v>X</v>
          </cell>
          <cell r="AA6" t="str">
            <v>X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 t="str">
            <v>X</v>
          </cell>
          <cell r="AH6">
            <v>15</v>
          </cell>
        </row>
        <row r="7">
          <cell r="A7" t="str">
            <v>Total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189</v>
          </cell>
        </row>
        <row r="8">
          <cell r="A8" t="str">
            <v>TARDE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Raquel Durán</v>
          </cell>
          <cell r="B9" t="str">
            <v>AMAZON</v>
          </cell>
          <cell r="C9" t="str">
            <v>C.C</v>
          </cell>
          <cell r="D9" t="str">
            <v>C.C</v>
          </cell>
          <cell r="E9" t="str">
            <v>X</v>
          </cell>
          <cell r="F9" t="str">
            <v>X</v>
          </cell>
          <cell r="G9" t="str">
            <v>X</v>
          </cell>
          <cell r="H9" t="str">
            <v>X</v>
          </cell>
          <cell r="I9">
            <v>5</v>
          </cell>
          <cell r="J9">
            <v>5</v>
          </cell>
          <cell r="K9">
            <v>5</v>
          </cell>
          <cell r="L9" t="str">
            <v>X</v>
          </cell>
          <cell r="M9" t="str">
            <v>X</v>
          </cell>
          <cell r="N9">
            <v>5</v>
          </cell>
          <cell r="O9">
            <v>5</v>
          </cell>
          <cell r="P9">
            <v>5</v>
          </cell>
          <cell r="Q9" t="str">
            <v>FEST</v>
          </cell>
          <cell r="R9">
            <v>5</v>
          </cell>
          <cell r="S9" t="str">
            <v>X</v>
          </cell>
          <cell r="T9" t="str">
            <v>X</v>
          </cell>
          <cell r="U9">
            <v>5</v>
          </cell>
          <cell r="V9">
            <v>5</v>
          </cell>
          <cell r="W9">
            <v>5</v>
          </cell>
          <cell r="X9">
            <v>5</v>
          </cell>
          <cell r="Y9">
            <v>5</v>
          </cell>
          <cell r="Z9" t="str">
            <v>X</v>
          </cell>
          <cell r="AA9" t="str">
            <v>X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X</v>
          </cell>
          <cell r="AH9">
            <v>60</v>
          </cell>
        </row>
        <row r="10">
          <cell r="A10" t="str">
            <v>Andrea Garcia</v>
          </cell>
          <cell r="B10" t="str">
            <v>AMAZON</v>
          </cell>
          <cell r="C10" t="str">
            <v>C.C</v>
          </cell>
          <cell r="D10" t="str">
            <v>C.C</v>
          </cell>
          <cell r="E10" t="str">
            <v>X</v>
          </cell>
          <cell r="F10" t="str">
            <v>X</v>
          </cell>
          <cell r="G10" t="str">
            <v>X</v>
          </cell>
          <cell r="H10" t="str">
            <v>X</v>
          </cell>
          <cell r="I10" t="str">
            <v>C.C</v>
          </cell>
          <cell r="J10" t="str">
            <v>C.C</v>
          </cell>
          <cell r="K10" t="str">
            <v>C.C</v>
          </cell>
          <cell r="L10" t="str">
            <v>X</v>
          </cell>
          <cell r="M10" t="str">
            <v>X</v>
          </cell>
          <cell r="N10" t="str">
            <v>C.C</v>
          </cell>
          <cell r="O10" t="str">
            <v>C.C</v>
          </cell>
          <cell r="P10" t="str">
            <v>C.C</v>
          </cell>
          <cell r="Q10" t="str">
            <v>FEST</v>
          </cell>
          <cell r="R10" t="str">
            <v>C.C</v>
          </cell>
          <cell r="S10" t="str">
            <v>X</v>
          </cell>
          <cell r="T10" t="str">
            <v>X</v>
          </cell>
          <cell r="U10" t="str">
            <v>X</v>
          </cell>
          <cell r="V10" t="str">
            <v>X</v>
          </cell>
          <cell r="W10" t="str">
            <v>X</v>
          </cell>
          <cell r="X10" t="str">
            <v>X</v>
          </cell>
          <cell r="Y10" t="str">
            <v>X</v>
          </cell>
          <cell r="Z10" t="str">
            <v>X</v>
          </cell>
          <cell r="AA10" t="str">
            <v>X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X</v>
          </cell>
          <cell r="AH10">
            <v>0</v>
          </cell>
        </row>
        <row r="11">
          <cell r="A11" t="str">
            <v>Victoria Ruiz</v>
          </cell>
          <cell r="B11" t="str">
            <v>AMAZON</v>
          </cell>
          <cell r="C11" t="str">
            <v>ABS</v>
          </cell>
          <cell r="D11" t="str">
            <v>C.C</v>
          </cell>
          <cell r="E11" t="str">
            <v>X</v>
          </cell>
          <cell r="F11" t="str">
            <v>X</v>
          </cell>
          <cell r="G11" t="str">
            <v>X</v>
          </cell>
          <cell r="H11" t="str">
            <v>X</v>
          </cell>
          <cell r="I11" t="str">
            <v>C.C</v>
          </cell>
          <cell r="J11" t="str">
            <v>C.C</v>
          </cell>
          <cell r="K11" t="str">
            <v>C.C</v>
          </cell>
          <cell r="L11" t="str">
            <v>X</v>
          </cell>
          <cell r="M11" t="str">
            <v>X</v>
          </cell>
          <cell r="N11" t="str">
            <v>C.C</v>
          </cell>
          <cell r="O11" t="str">
            <v>C.C</v>
          </cell>
          <cell r="P11" t="str">
            <v>C.C</v>
          </cell>
          <cell r="Q11" t="str">
            <v>FEST</v>
          </cell>
          <cell r="R11" t="str">
            <v>C.C</v>
          </cell>
          <cell r="S11" t="str">
            <v>X</v>
          </cell>
          <cell r="T11" t="str">
            <v>X</v>
          </cell>
          <cell r="U11" t="str">
            <v>X</v>
          </cell>
          <cell r="V11" t="str">
            <v>X</v>
          </cell>
          <cell r="W11" t="str">
            <v>X</v>
          </cell>
          <cell r="X11" t="str">
            <v>X</v>
          </cell>
          <cell r="Y11" t="str">
            <v>X</v>
          </cell>
          <cell r="Z11" t="str">
            <v>X</v>
          </cell>
          <cell r="AA11" t="str">
            <v>X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 t="str">
            <v>X</v>
          </cell>
          <cell r="AH11">
            <v>0</v>
          </cell>
        </row>
        <row r="12">
          <cell r="A12" t="str">
            <v>Mª José Sergeant</v>
          </cell>
          <cell r="B12" t="str">
            <v>AMAZON</v>
          </cell>
          <cell r="C12" t="str">
            <v>C.C</v>
          </cell>
          <cell r="D12" t="str">
            <v>C.C</v>
          </cell>
          <cell r="E12" t="str">
            <v>X</v>
          </cell>
          <cell r="F12" t="str">
            <v>X</v>
          </cell>
          <cell r="G12" t="str">
            <v>X</v>
          </cell>
          <cell r="H12" t="str">
            <v>X</v>
          </cell>
          <cell r="I12" t="str">
            <v>C.C</v>
          </cell>
          <cell r="J12" t="str">
            <v>C.C</v>
          </cell>
          <cell r="K12" t="str">
            <v>C.C</v>
          </cell>
          <cell r="L12" t="str">
            <v>X</v>
          </cell>
          <cell r="M12" t="str">
            <v>X</v>
          </cell>
          <cell r="N12" t="str">
            <v>C.C</v>
          </cell>
          <cell r="O12" t="str">
            <v>C.C</v>
          </cell>
          <cell r="P12" t="str">
            <v>C.C</v>
          </cell>
          <cell r="Q12" t="str">
            <v>FEST</v>
          </cell>
          <cell r="R12" t="str">
            <v>C.C</v>
          </cell>
          <cell r="S12" t="str">
            <v>X</v>
          </cell>
          <cell r="T12" t="str">
            <v>X</v>
          </cell>
          <cell r="U12" t="str">
            <v>X</v>
          </cell>
          <cell r="V12" t="str">
            <v>X</v>
          </cell>
          <cell r="W12" t="str">
            <v>X</v>
          </cell>
          <cell r="X12" t="str">
            <v>X</v>
          </cell>
          <cell r="Y12" t="str">
            <v>X</v>
          </cell>
          <cell r="Z12" t="str">
            <v>X</v>
          </cell>
          <cell r="AA12" t="str">
            <v>X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 t="str">
            <v>X</v>
          </cell>
          <cell r="AH12">
            <v>0</v>
          </cell>
        </row>
        <row r="13">
          <cell r="A13" t="str">
            <v>Eva Mª Fernández</v>
          </cell>
          <cell r="B13" t="str">
            <v>AMAZON</v>
          </cell>
          <cell r="C13" t="str">
            <v>C.C</v>
          </cell>
          <cell r="D13" t="str">
            <v>C.C</v>
          </cell>
          <cell r="E13" t="str">
            <v>X</v>
          </cell>
          <cell r="F13" t="str">
            <v>X</v>
          </cell>
          <cell r="G13" t="str">
            <v>X</v>
          </cell>
          <cell r="H13" t="str">
            <v>X</v>
          </cell>
          <cell r="I13">
            <v>5</v>
          </cell>
          <cell r="J13">
            <v>5</v>
          </cell>
          <cell r="K13">
            <v>5</v>
          </cell>
          <cell r="L13" t="str">
            <v>X</v>
          </cell>
          <cell r="M13" t="str">
            <v>X</v>
          </cell>
          <cell r="N13">
            <v>5</v>
          </cell>
          <cell r="O13">
            <v>5</v>
          </cell>
          <cell r="P13">
            <v>5</v>
          </cell>
          <cell r="Q13" t="str">
            <v>FEST</v>
          </cell>
          <cell r="R13">
            <v>5</v>
          </cell>
          <cell r="S13" t="str">
            <v>X</v>
          </cell>
          <cell r="T13" t="str">
            <v>X</v>
          </cell>
          <cell r="U13" t="str">
            <v>X</v>
          </cell>
          <cell r="V13" t="str">
            <v>X</v>
          </cell>
          <cell r="W13" t="str">
            <v>X</v>
          </cell>
          <cell r="X13" t="str">
            <v>X</v>
          </cell>
          <cell r="Y13" t="str">
            <v>X</v>
          </cell>
          <cell r="Z13" t="str">
            <v>X</v>
          </cell>
          <cell r="AA13" t="str">
            <v>X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 t="str">
            <v>X</v>
          </cell>
          <cell r="AH13">
            <v>35</v>
          </cell>
        </row>
        <row r="14">
          <cell r="A14" t="str">
            <v>Triana Marquez</v>
          </cell>
          <cell r="B14" t="str">
            <v>AMAZON</v>
          </cell>
          <cell r="C14" t="str">
            <v>C.C</v>
          </cell>
          <cell r="D14" t="str">
            <v>C.C</v>
          </cell>
          <cell r="E14" t="str">
            <v>X</v>
          </cell>
          <cell r="F14" t="str">
            <v>X</v>
          </cell>
          <cell r="G14" t="str">
            <v>X</v>
          </cell>
          <cell r="H14" t="str">
            <v>X</v>
          </cell>
          <cell r="I14" t="str">
            <v>C.C</v>
          </cell>
          <cell r="J14" t="str">
            <v>C.C</v>
          </cell>
          <cell r="K14" t="str">
            <v>C.C</v>
          </cell>
          <cell r="L14" t="str">
            <v>X</v>
          </cell>
          <cell r="M14" t="str">
            <v>X</v>
          </cell>
          <cell r="N14" t="str">
            <v>C.C</v>
          </cell>
          <cell r="O14" t="str">
            <v>C.C</v>
          </cell>
          <cell r="P14" t="str">
            <v>C.C</v>
          </cell>
          <cell r="Q14" t="str">
            <v>FEST</v>
          </cell>
          <cell r="R14" t="str">
            <v>C.C</v>
          </cell>
          <cell r="S14" t="str">
            <v>X</v>
          </cell>
          <cell r="T14" t="str">
            <v>X</v>
          </cell>
          <cell r="U14" t="str">
            <v>X</v>
          </cell>
          <cell r="V14" t="str">
            <v>X</v>
          </cell>
          <cell r="W14" t="str">
            <v>X</v>
          </cell>
          <cell r="X14" t="str">
            <v>X</v>
          </cell>
          <cell r="Y14" t="str">
            <v>X</v>
          </cell>
          <cell r="Z14" t="str">
            <v>X</v>
          </cell>
          <cell r="AA14" t="str">
            <v>X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 t="str">
            <v>X</v>
          </cell>
          <cell r="AH14">
            <v>0</v>
          </cell>
        </row>
        <row r="15">
          <cell r="A15" t="str">
            <v>Isabel Lopez</v>
          </cell>
          <cell r="B15" t="str">
            <v>AMAZON</v>
          </cell>
          <cell r="C15" t="str">
            <v>C.C</v>
          </cell>
          <cell r="D15" t="str">
            <v>C.C</v>
          </cell>
          <cell r="E15" t="str">
            <v>X</v>
          </cell>
          <cell r="F15" t="str">
            <v>X</v>
          </cell>
          <cell r="G15" t="str">
            <v>X</v>
          </cell>
          <cell r="H15" t="str">
            <v>X</v>
          </cell>
          <cell r="I15" t="str">
            <v>C.C</v>
          </cell>
          <cell r="J15" t="str">
            <v>C.C</v>
          </cell>
          <cell r="K15" t="str">
            <v>C.C</v>
          </cell>
          <cell r="L15" t="str">
            <v>X</v>
          </cell>
          <cell r="M15" t="str">
            <v>X</v>
          </cell>
          <cell r="N15" t="str">
            <v>C.C</v>
          </cell>
          <cell r="O15" t="str">
            <v>C.C</v>
          </cell>
          <cell r="P15" t="str">
            <v>C.C</v>
          </cell>
          <cell r="Q15" t="str">
            <v>FEST</v>
          </cell>
          <cell r="R15" t="str">
            <v>C.C</v>
          </cell>
          <cell r="S15" t="str">
            <v>X</v>
          </cell>
          <cell r="T15" t="str">
            <v>X</v>
          </cell>
          <cell r="U15" t="str">
            <v>X</v>
          </cell>
          <cell r="V15" t="str">
            <v>X</v>
          </cell>
          <cell r="W15" t="str">
            <v>X</v>
          </cell>
          <cell r="X15" t="str">
            <v>X</v>
          </cell>
          <cell r="Y15" t="str">
            <v>X</v>
          </cell>
          <cell r="Z15" t="str">
            <v>X</v>
          </cell>
          <cell r="AA15" t="str">
            <v>X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X</v>
          </cell>
          <cell r="AH15">
            <v>0</v>
          </cell>
        </row>
        <row r="16">
          <cell r="A16" t="str">
            <v>Maria El Lala</v>
          </cell>
          <cell r="B16" t="str">
            <v>AMAZON</v>
          </cell>
          <cell r="C16" t="str">
            <v>C.C</v>
          </cell>
          <cell r="D16" t="str">
            <v>C.C</v>
          </cell>
          <cell r="E16" t="str">
            <v>X</v>
          </cell>
          <cell r="F16" t="str">
            <v>X</v>
          </cell>
          <cell r="G16" t="str">
            <v>X</v>
          </cell>
          <cell r="H16" t="str">
            <v>X</v>
          </cell>
          <cell r="I16" t="str">
            <v>C.C</v>
          </cell>
          <cell r="J16" t="str">
            <v>C.C</v>
          </cell>
          <cell r="K16" t="str">
            <v>C.C</v>
          </cell>
          <cell r="L16" t="str">
            <v>X</v>
          </cell>
          <cell r="M16" t="str">
            <v>X</v>
          </cell>
          <cell r="N16" t="str">
            <v>C.C</v>
          </cell>
          <cell r="O16" t="str">
            <v>C.C</v>
          </cell>
          <cell r="P16" t="str">
            <v>C.C</v>
          </cell>
          <cell r="Q16" t="str">
            <v>FEST</v>
          </cell>
          <cell r="R16" t="str">
            <v>C.C</v>
          </cell>
          <cell r="S16" t="str">
            <v>X</v>
          </cell>
          <cell r="T16" t="str">
            <v>X</v>
          </cell>
          <cell r="U16" t="str">
            <v>X</v>
          </cell>
          <cell r="V16" t="str">
            <v>X</v>
          </cell>
          <cell r="W16" t="str">
            <v>X</v>
          </cell>
          <cell r="X16" t="str">
            <v>X</v>
          </cell>
          <cell r="Y16" t="str">
            <v>X</v>
          </cell>
          <cell r="Z16" t="str">
            <v>X</v>
          </cell>
          <cell r="AA16" t="str">
            <v>X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 t="str">
            <v>X</v>
          </cell>
          <cell r="AH16">
            <v>0</v>
          </cell>
        </row>
        <row r="17">
          <cell r="A17" t="str">
            <v>Manuel Rosado</v>
          </cell>
          <cell r="B17" t="str">
            <v>AMAZON</v>
          </cell>
          <cell r="C17" t="str">
            <v>C.C</v>
          </cell>
          <cell r="D17" t="str">
            <v>C.C</v>
          </cell>
          <cell r="E17" t="str">
            <v>X</v>
          </cell>
          <cell r="F17" t="str">
            <v>X</v>
          </cell>
          <cell r="G17" t="str">
            <v>X</v>
          </cell>
          <cell r="H17" t="str">
            <v>X</v>
          </cell>
          <cell r="I17" t="str">
            <v>C.C</v>
          </cell>
          <cell r="J17" t="str">
            <v>C.C</v>
          </cell>
          <cell r="K17" t="str">
            <v>C.C</v>
          </cell>
          <cell r="L17" t="str">
            <v>X</v>
          </cell>
          <cell r="M17" t="str">
            <v>X</v>
          </cell>
          <cell r="N17" t="str">
            <v>C.C</v>
          </cell>
          <cell r="O17" t="str">
            <v>C.C</v>
          </cell>
          <cell r="P17" t="str">
            <v>C.C</v>
          </cell>
          <cell r="Q17" t="str">
            <v>FEST</v>
          </cell>
          <cell r="R17" t="str">
            <v>C.C</v>
          </cell>
          <cell r="S17" t="str">
            <v>X</v>
          </cell>
          <cell r="T17" t="str">
            <v>X</v>
          </cell>
          <cell r="U17" t="str">
            <v>X</v>
          </cell>
          <cell r="V17" t="str">
            <v>X</v>
          </cell>
          <cell r="W17" t="str">
            <v>X</v>
          </cell>
          <cell r="X17" t="str">
            <v>X</v>
          </cell>
          <cell r="Y17" t="str">
            <v>X</v>
          </cell>
          <cell r="Z17" t="str">
            <v>X</v>
          </cell>
          <cell r="AA17" t="str">
            <v>X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 t="str">
            <v>X</v>
          </cell>
          <cell r="AH17">
            <v>0</v>
          </cell>
        </row>
        <row r="18">
          <cell r="A18" t="str">
            <v>Saray Rufo</v>
          </cell>
          <cell r="B18" t="str">
            <v>AMAZON</v>
          </cell>
          <cell r="C18" t="str">
            <v>C.C</v>
          </cell>
          <cell r="D18" t="str">
            <v>C.C</v>
          </cell>
          <cell r="E18" t="str">
            <v>X</v>
          </cell>
          <cell r="F18" t="str">
            <v>X</v>
          </cell>
          <cell r="G18" t="str">
            <v>X</v>
          </cell>
          <cell r="H18" t="str">
            <v>X</v>
          </cell>
          <cell r="I18" t="str">
            <v>C.C</v>
          </cell>
          <cell r="J18" t="str">
            <v>C.C</v>
          </cell>
          <cell r="K18" t="str">
            <v>C.C</v>
          </cell>
          <cell r="L18" t="str">
            <v>X</v>
          </cell>
          <cell r="M18" t="str">
            <v>X</v>
          </cell>
          <cell r="N18" t="str">
            <v>C.C</v>
          </cell>
          <cell r="O18" t="str">
            <v>C.C</v>
          </cell>
          <cell r="P18" t="str">
            <v>C.C</v>
          </cell>
          <cell r="Q18" t="str">
            <v>FEST</v>
          </cell>
          <cell r="R18" t="str">
            <v>C.C</v>
          </cell>
          <cell r="S18" t="str">
            <v>X</v>
          </cell>
          <cell r="T18" t="str">
            <v>X</v>
          </cell>
          <cell r="U18" t="str">
            <v>X</v>
          </cell>
          <cell r="V18" t="str">
            <v>X</v>
          </cell>
          <cell r="W18" t="str">
            <v>X</v>
          </cell>
          <cell r="X18" t="str">
            <v>X</v>
          </cell>
          <cell r="Y18" t="str">
            <v>X</v>
          </cell>
          <cell r="Z18" t="str">
            <v>X</v>
          </cell>
          <cell r="AA18" t="str">
            <v>X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 t="str">
            <v>X</v>
          </cell>
          <cell r="AH18">
            <v>0</v>
          </cell>
        </row>
        <row r="19">
          <cell r="A19" t="str">
            <v>Teresa Lama</v>
          </cell>
          <cell r="B19" t="str">
            <v>AMAZON</v>
          </cell>
          <cell r="C19" t="str">
            <v>C.C</v>
          </cell>
          <cell r="D19" t="str">
            <v>C.C</v>
          </cell>
          <cell r="E19" t="str">
            <v>X</v>
          </cell>
          <cell r="F19" t="str">
            <v>X</v>
          </cell>
          <cell r="G19" t="str">
            <v>X</v>
          </cell>
          <cell r="H19" t="str">
            <v>X</v>
          </cell>
          <cell r="I19" t="str">
            <v>C.C</v>
          </cell>
          <cell r="J19" t="str">
            <v>C.C</v>
          </cell>
          <cell r="K19" t="str">
            <v>C.C</v>
          </cell>
          <cell r="L19" t="str">
            <v>X</v>
          </cell>
          <cell r="M19" t="str">
            <v>X</v>
          </cell>
          <cell r="N19" t="str">
            <v>C.C</v>
          </cell>
          <cell r="O19" t="str">
            <v>C.C</v>
          </cell>
          <cell r="P19" t="str">
            <v>C.C</v>
          </cell>
          <cell r="Q19" t="str">
            <v>FEST</v>
          </cell>
          <cell r="R19" t="str">
            <v>C.C</v>
          </cell>
          <cell r="S19" t="str">
            <v>X</v>
          </cell>
          <cell r="T19" t="str">
            <v>X</v>
          </cell>
          <cell r="U19" t="str">
            <v>X</v>
          </cell>
          <cell r="V19" t="str">
            <v>X</v>
          </cell>
          <cell r="W19" t="str">
            <v>X</v>
          </cell>
          <cell r="X19" t="str">
            <v>X</v>
          </cell>
          <cell r="Y19" t="str">
            <v>X</v>
          </cell>
          <cell r="Z19" t="str">
            <v>X</v>
          </cell>
          <cell r="AA19" t="str">
            <v>X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 t="str">
            <v>X</v>
          </cell>
          <cell r="AH19">
            <v>0</v>
          </cell>
        </row>
        <row r="20">
          <cell r="A20" t="str">
            <v>Juan Pedro Madrid</v>
          </cell>
          <cell r="B20" t="str">
            <v>AMAZON</v>
          </cell>
          <cell r="C20" t="str">
            <v>C.C</v>
          </cell>
          <cell r="D20" t="str">
            <v>C.C</v>
          </cell>
          <cell r="E20" t="str">
            <v>X</v>
          </cell>
          <cell r="F20" t="str">
            <v>X</v>
          </cell>
          <cell r="G20" t="str">
            <v>X</v>
          </cell>
          <cell r="H20" t="str">
            <v>X</v>
          </cell>
          <cell r="I20">
            <v>5</v>
          </cell>
          <cell r="J20">
            <v>5</v>
          </cell>
          <cell r="K20">
            <v>5</v>
          </cell>
          <cell r="L20" t="str">
            <v>X</v>
          </cell>
          <cell r="M20" t="str">
            <v>X</v>
          </cell>
          <cell r="N20">
            <v>8</v>
          </cell>
          <cell r="O20">
            <v>8</v>
          </cell>
          <cell r="P20">
            <v>8</v>
          </cell>
          <cell r="Q20" t="str">
            <v>FEST</v>
          </cell>
          <cell r="R20">
            <v>8</v>
          </cell>
          <cell r="S20" t="str">
            <v>X</v>
          </cell>
          <cell r="T20" t="str">
            <v>X</v>
          </cell>
          <cell r="U20" t="str">
            <v>X</v>
          </cell>
          <cell r="V20" t="str">
            <v>X</v>
          </cell>
          <cell r="W20" t="str">
            <v>X</v>
          </cell>
          <cell r="X20" t="str">
            <v>X</v>
          </cell>
          <cell r="Y20" t="str">
            <v>X</v>
          </cell>
          <cell r="Z20" t="str">
            <v>X</v>
          </cell>
          <cell r="AA20" t="str">
            <v>X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X</v>
          </cell>
          <cell r="AH20">
            <v>47</v>
          </cell>
        </row>
        <row r="21">
          <cell r="A21" t="str">
            <v>Total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142</v>
          </cell>
        </row>
        <row r="22">
          <cell r="A22" t="str">
            <v>Total horas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331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M992"/>
  <sheetViews>
    <sheetView workbookViewId="0">
      <selection activeCell="B37" sqref="B37"/>
    </sheetView>
  </sheetViews>
  <sheetFormatPr baseColWidth="10" defaultColWidth="14.42578125" defaultRowHeight="15" customHeight="1"/>
  <cols>
    <col min="1" max="1" width="9.140625" style="1" customWidth="1"/>
    <col min="2" max="2" width="29.7109375" style="1" bestFit="1" customWidth="1"/>
    <col min="3" max="3" width="8.85546875" style="1" customWidth="1"/>
    <col min="4" max="4" width="9" style="1" customWidth="1"/>
    <col min="5" max="5" width="17" style="1" customWidth="1"/>
    <col min="6" max="6" width="29.85546875" style="1" customWidth="1"/>
    <col min="7" max="7" width="22.5703125" style="1" hidden="1" customWidth="1"/>
    <col min="8" max="8" width="20.85546875" style="1" hidden="1" customWidth="1"/>
    <col min="9" max="9" width="22.28515625" style="2" customWidth="1"/>
    <col min="10" max="10" width="26.28515625" style="2" customWidth="1"/>
    <col min="11" max="11" width="9.85546875" style="1" customWidth="1"/>
    <col min="12" max="12" width="22.42578125" style="1" customWidth="1"/>
    <col min="13" max="13" width="20.7109375" style="1" bestFit="1" customWidth="1"/>
    <col min="14" max="14" width="9.140625" style="1" customWidth="1"/>
    <col min="15" max="15" width="14.42578125" style="1" customWidth="1"/>
    <col min="16" max="16384" width="14.42578125" style="1"/>
  </cols>
  <sheetData>
    <row r="1" spans="2:13" thickBot="1"/>
    <row r="2" spans="2:13" ht="15.75" thickBot="1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6" t="s">
        <v>7</v>
      </c>
      <c r="J2" s="26" t="s">
        <v>8</v>
      </c>
      <c r="K2" s="4" t="s">
        <v>9</v>
      </c>
      <c r="L2" s="4" t="s">
        <v>10</v>
      </c>
      <c r="M2" s="4" t="s">
        <v>11</v>
      </c>
    </row>
    <row r="3" spans="2:13">
      <c r="B3" s="21" t="s">
        <v>17</v>
      </c>
      <c r="C3" s="22" t="s">
        <v>18</v>
      </c>
      <c r="D3" s="111">
        <f>'Horas Ordenadas'!D8</f>
        <v>15</v>
      </c>
      <c r="E3" s="23">
        <f t="shared" ref="E3:E27" si="0">(0.7*G3)+(0.3*H3)</f>
        <v>1.1021359223300971</v>
      </c>
      <c r="F3" s="24" t="str">
        <f t="shared" ref="F3:F27" si="1">IF(E3&gt;=0.7,"A",IF(E3&gt;=0.6,"B",IF(E3&gt;=0.5,"C","Z")))</f>
        <v>A</v>
      </c>
      <c r="G3" s="23">
        <f t="shared" ref="G3:G27" si="2">I3</f>
        <v>1.2</v>
      </c>
      <c r="H3" s="23">
        <f t="shared" ref="H3:H27" si="3">J3/0.2</f>
        <v>0.87378640776699024</v>
      </c>
      <c r="I3" s="25">
        <f t="shared" ref="I3:I27" si="4">IFERROR((K3/D3), 0)</f>
        <v>1.2</v>
      </c>
      <c r="J3" s="25">
        <f t="shared" ref="J3:J27" si="5">IFERROR((K3/M3), 0)</f>
        <v>0.17475728155339806</v>
      </c>
      <c r="K3" s="72">
        <f>8+4+6</f>
        <v>18</v>
      </c>
      <c r="L3" s="72">
        <f>95+228+168</f>
        <v>491</v>
      </c>
      <c r="M3" s="72">
        <f>29+32+42</f>
        <v>103</v>
      </c>
    </row>
    <row r="4" spans="2:13">
      <c r="B4" s="15" t="s">
        <v>15</v>
      </c>
      <c r="C4" s="9" t="s">
        <v>13</v>
      </c>
      <c r="D4" s="112">
        <f>'Horas Ordenadas'!D29</f>
        <v>18</v>
      </c>
      <c r="E4" s="10">
        <f t="shared" si="0"/>
        <v>0.83650793650793642</v>
      </c>
      <c r="F4" s="17" t="str">
        <f t="shared" si="1"/>
        <v>A</v>
      </c>
      <c r="G4" s="10">
        <f t="shared" si="2"/>
        <v>0.88888888888888884</v>
      </c>
      <c r="H4" s="10">
        <f t="shared" si="3"/>
        <v>0.71428571428571419</v>
      </c>
      <c r="I4" s="19">
        <f t="shared" si="4"/>
        <v>0.88888888888888884</v>
      </c>
      <c r="J4" s="19">
        <f t="shared" si="5"/>
        <v>0.14285714285714285</v>
      </c>
      <c r="K4" s="71">
        <f>7+9</f>
        <v>16</v>
      </c>
      <c r="L4" s="71">
        <f>360+321</f>
        <v>681</v>
      </c>
      <c r="M4" s="71">
        <f>47+65</f>
        <v>112</v>
      </c>
    </row>
    <row r="5" spans="2:13">
      <c r="B5" s="15" t="s">
        <v>21</v>
      </c>
      <c r="C5" s="9" t="s">
        <v>18</v>
      </c>
      <c r="D5" s="112">
        <f>'Horas Ordenadas'!D5</f>
        <v>5</v>
      </c>
      <c r="E5" s="10">
        <f t="shared" si="0"/>
        <v>0.75354838709677407</v>
      </c>
      <c r="F5" s="17" t="str">
        <f t="shared" si="1"/>
        <v>A</v>
      </c>
      <c r="G5" s="10">
        <f t="shared" si="2"/>
        <v>0.8</v>
      </c>
      <c r="H5" s="10">
        <f t="shared" si="3"/>
        <v>0.64516129032258063</v>
      </c>
      <c r="I5" s="19">
        <f t="shared" si="4"/>
        <v>0.8</v>
      </c>
      <c r="J5" s="19">
        <f t="shared" si="5"/>
        <v>0.12903225806451613</v>
      </c>
      <c r="K5" s="71">
        <v>4</v>
      </c>
      <c r="L5" s="71">
        <v>110</v>
      </c>
      <c r="M5" s="71">
        <v>31</v>
      </c>
    </row>
    <row r="6" spans="2:13">
      <c r="B6" s="15" t="s">
        <v>14</v>
      </c>
      <c r="C6" s="9" t="s">
        <v>13</v>
      </c>
      <c r="D6" s="112">
        <f>'Horas Ordenadas'!D22</f>
        <v>10</v>
      </c>
      <c r="E6" s="10">
        <f t="shared" si="0"/>
        <v>0.73418604651162789</v>
      </c>
      <c r="F6" s="17" t="str">
        <f t="shared" si="1"/>
        <v>A</v>
      </c>
      <c r="G6" s="10">
        <f t="shared" si="2"/>
        <v>0.7</v>
      </c>
      <c r="H6" s="10">
        <f t="shared" si="3"/>
        <v>0.81395348837209303</v>
      </c>
      <c r="I6" s="19">
        <f t="shared" si="4"/>
        <v>0.7</v>
      </c>
      <c r="J6" s="19">
        <f t="shared" si="5"/>
        <v>0.16279069767441862</v>
      </c>
      <c r="K6" s="71">
        <v>7</v>
      </c>
      <c r="L6" s="71">
        <v>337</v>
      </c>
      <c r="M6" s="71">
        <v>43</v>
      </c>
    </row>
    <row r="7" spans="2:13">
      <c r="B7" s="15" t="s">
        <v>20</v>
      </c>
      <c r="C7" s="9" t="s">
        <v>13</v>
      </c>
      <c r="D7" s="112">
        <f>'Horas Ordenadas'!D20</f>
        <v>61</v>
      </c>
      <c r="E7" s="10">
        <f t="shared" si="0"/>
        <v>0.67581336696090788</v>
      </c>
      <c r="F7" s="17" t="str">
        <f t="shared" si="1"/>
        <v>B</v>
      </c>
      <c r="G7" s="10">
        <f t="shared" si="2"/>
        <v>0.68852459016393441</v>
      </c>
      <c r="H7" s="10">
        <f t="shared" si="3"/>
        <v>0.64615384615384608</v>
      </c>
      <c r="I7" s="19">
        <f t="shared" si="4"/>
        <v>0.68852459016393441</v>
      </c>
      <c r="J7" s="19">
        <f t="shared" si="5"/>
        <v>0.12923076923076923</v>
      </c>
      <c r="K7" s="71">
        <f>28+8+6</f>
        <v>42</v>
      </c>
      <c r="L7" s="71">
        <f>370+352+407+360+519+494+511+565</f>
        <v>3578</v>
      </c>
      <c r="M7" s="71">
        <f>191+79+55</f>
        <v>325</v>
      </c>
    </row>
    <row r="8" spans="2:13">
      <c r="B8" s="15" t="s">
        <v>19</v>
      </c>
      <c r="C8" s="9" t="s">
        <v>13</v>
      </c>
      <c r="D8" s="112">
        <f>'Horas Ordenadas'!D27</f>
        <v>18</v>
      </c>
      <c r="E8" s="10">
        <f t="shared" si="0"/>
        <v>0.62053140096618353</v>
      </c>
      <c r="F8" s="17" t="str">
        <f t="shared" si="1"/>
        <v>B</v>
      </c>
      <c r="G8" s="10">
        <f t="shared" si="2"/>
        <v>0.77777777777777779</v>
      </c>
      <c r="H8" s="10">
        <f t="shared" si="3"/>
        <v>0.25362318840579712</v>
      </c>
      <c r="I8" s="19">
        <f t="shared" si="4"/>
        <v>0.77777777777777779</v>
      </c>
      <c r="J8" s="19">
        <f t="shared" si="5"/>
        <v>5.0724637681159424E-2</v>
      </c>
      <c r="K8" s="71">
        <f>9+5</f>
        <v>14</v>
      </c>
      <c r="L8" s="71">
        <f>346+362</f>
        <v>708</v>
      </c>
      <c r="M8" s="71">
        <f>161+115</f>
        <v>276</v>
      </c>
    </row>
    <row r="9" spans="2:13">
      <c r="B9" s="15" t="s">
        <v>26</v>
      </c>
      <c r="C9" s="9" t="s">
        <v>18</v>
      </c>
      <c r="D9" s="112">
        <f>'Horas Ordenadas'!D14</f>
        <v>34</v>
      </c>
      <c r="E9" s="10">
        <f t="shared" si="0"/>
        <v>0.5346256684491979</v>
      </c>
      <c r="F9" s="17" t="str">
        <f t="shared" si="1"/>
        <v>C</v>
      </c>
      <c r="G9" s="10">
        <f t="shared" si="2"/>
        <v>0.61764705882352944</v>
      </c>
      <c r="H9" s="10">
        <f t="shared" si="3"/>
        <v>0.34090909090909088</v>
      </c>
      <c r="I9" s="19">
        <f t="shared" si="4"/>
        <v>0.61764705882352944</v>
      </c>
      <c r="J9" s="19">
        <f t="shared" si="5"/>
        <v>6.8181818181818177E-2</v>
      </c>
      <c r="K9" s="71">
        <v>21</v>
      </c>
      <c r="L9" s="71">
        <f>460+99+8+292+326+215+309</f>
        <v>1709</v>
      </c>
      <c r="M9" s="71">
        <f>232+38+38</f>
        <v>308</v>
      </c>
    </row>
    <row r="10" spans="2:13">
      <c r="B10" s="15" t="s">
        <v>22</v>
      </c>
      <c r="C10" s="9" t="s">
        <v>18</v>
      </c>
      <c r="D10" s="112">
        <f>'Horas Ordenadas'!D15</f>
        <v>11</v>
      </c>
      <c r="E10" s="10">
        <f t="shared" si="0"/>
        <v>0.53152011922503728</v>
      </c>
      <c r="F10" s="17" t="str">
        <f t="shared" si="1"/>
        <v>C</v>
      </c>
      <c r="G10" s="10">
        <f t="shared" si="2"/>
        <v>0.63636363636363635</v>
      </c>
      <c r="H10" s="10">
        <f t="shared" si="3"/>
        <v>0.28688524590163933</v>
      </c>
      <c r="I10" s="19">
        <f t="shared" si="4"/>
        <v>0.63636363636363635</v>
      </c>
      <c r="J10" s="19">
        <f t="shared" si="5"/>
        <v>5.737704918032787E-2</v>
      </c>
      <c r="K10" s="71">
        <v>7</v>
      </c>
      <c r="L10" s="71">
        <v>323</v>
      </c>
      <c r="M10" s="71">
        <v>122</v>
      </c>
    </row>
    <row r="11" spans="2:13">
      <c r="B11" s="15" t="s">
        <v>24</v>
      </c>
      <c r="C11" s="9" t="s">
        <v>18</v>
      </c>
      <c r="D11" s="112">
        <f>'Horas Ordenadas'!D10</f>
        <v>19</v>
      </c>
      <c r="E11" s="10">
        <f t="shared" si="0"/>
        <v>0.52631578947368418</v>
      </c>
      <c r="F11" s="17" t="str">
        <f t="shared" si="1"/>
        <v>C</v>
      </c>
      <c r="G11" s="10">
        <f t="shared" si="2"/>
        <v>0.52631578947368418</v>
      </c>
      <c r="H11" s="10">
        <f t="shared" si="3"/>
        <v>0.52631578947368418</v>
      </c>
      <c r="I11" s="19">
        <f t="shared" si="4"/>
        <v>0.52631578947368418</v>
      </c>
      <c r="J11" s="19">
        <f t="shared" si="5"/>
        <v>0.10526315789473684</v>
      </c>
      <c r="K11" s="9">
        <v>10</v>
      </c>
      <c r="L11" s="9">
        <v>609</v>
      </c>
      <c r="M11" s="9">
        <v>95</v>
      </c>
    </row>
    <row r="12" spans="2:13">
      <c r="B12" s="15" t="s">
        <v>23</v>
      </c>
      <c r="C12" s="9" t="s">
        <v>13</v>
      </c>
      <c r="D12" s="112">
        <f>'Horas Ordenadas'!D24</f>
        <v>10</v>
      </c>
      <c r="E12" s="10">
        <f t="shared" si="0"/>
        <v>0.52045454545454539</v>
      </c>
      <c r="F12" s="17" t="str">
        <f t="shared" si="1"/>
        <v>C</v>
      </c>
      <c r="G12" s="10">
        <f t="shared" si="2"/>
        <v>0.5</v>
      </c>
      <c r="H12" s="10">
        <f t="shared" si="3"/>
        <v>0.56818181818181812</v>
      </c>
      <c r="I12" s="19">
        <f t="shared" si="4"/>
        <v>0.5</v>
      </c>
      <c r="J12" s="19">
        <f t="shared" si="5"/>
        <v>0.11363636363636363</v>
      </c>
      <c r="K12" s="9">
        <v>5</v>
      </c>
      <c r="L12" s="9">
        <v>376</v>
      </c>
      <c r="M12" s="9">
        <v>44</v>
      </c>
    </row>
    <row r="13" spans="2:13">
      <c r="B13" s="15" t="s">
        <v>27</v>
      </c>
      <c r="C13" s="9" t="s">
        <v>18</v>
      </c>
      <c r="D13" s="112">
        <f>'Horas Ordenadas'!D13</f>
        <v>26</v>
      </c>
      <c r="E13" s="10">
        <f t="shared" si="0"/>
        <v>0.50898634076204163</v>
      </c>
      <c r="F13" s="17" t="str">
        <f t="shared" si="1"/>
        <v>C</v>
      </c>
      <c r="G13" s="10">
        <f t="shared" si="2"/>
        <v>0.57692307692307687</v>
      </c>
      <c r="H13" s="10">
        <f t="shared" si="3"/>
        <v>0.3504672897196261</v>
      </c>
      <c r="I13" s="19">
        <f t="shared" si="4"/>
        <v>0.57692307692307687</v>
      </c>
      <c r="J13" s="19">
        <f t="shared" si="5"/>
        <v>7.0093457943925228E-2</v>
      </c>
      <c r="K13" s="9">
        <v>15</v>
      </c>
      <c r="L13" s="9">
        <f>448+225+297+283</f>
        <v>1253</v>
      </c>
      <c r="M13" s="9">
        <f>135+50+29</f>
        <v>214</v>
      </c>
    </row>
    <row r="14" spans="2:13">
      <c r="B14" s="15" t="s">
        <v>30</v>
      </c>
      <c r="C14" s="9" t="s">
        <v>18</v>
      </c>
      <c r="D14" s="112">
        <f>'Horas Ordenadas'!D11</f>
        <v>13</v>
      </c>
      <c r="E14" s="10">
        <f t="shared" si="0"/>
        <v>0.45351170568561872</v>
      </c>
      <c r="F14" s="17" t="str">
        <f t="shared" si="1"/>
        <v>Z</v>
      </c>
      <c r="G14" s="10">
        <f t="shared" si="2"/>
        <v>0.46153846153846156</v>
      </c>
      <c r="H14" s="10">
        <f t="shared" si="3"/>
        <v>0.43478260869565216</v>
      </c>
      <c r="I14" s="19">
        <f t="shared" si="4"/>
        <v>0.46153846153846156</v>
      </c>
      <c r="J14" s="19">
        <f t="shared" si="5"/>
        <v>8.6956521739130432E-2</v>
      </c>
      <c r="K14" s="9">
        <v>6</v>
      </c>
      <c r="L14" s="9">
        <v>253</v>
      </c>
      <c r="M14" s="9">
        <v>69</v>
      </c>
    </row>
    <row r="15" spans="2:13">
      <c r="B15" s="15" t="s">
        <v>38</v>
      </c>
      <c r="C15" s="9" t="s">
        <v>18</v>
      </c>
      <c r="D15" s="112">
        <f>'Horas Ordenadas'!D12</f>
        <v>6</v>
      </c>
      <c r="E15" s="10">
        <f t="shared" si="0"/>
        <v>0.44761904761904758</v>
      </c>
      <c r="F15" s="17" t="str">
        <f t="shared" si="1"/>
        <v>Z</v>
      </c>
      <c r="G15" s="10">
        <f t="shared" si="2"/>
        <v>0.33333333333333331</v>
      </c>
      <c r="H15" s="10">
        <f t="shared" si="3"/>
        <v>0.71428571428571419</v>
      </c>
      <c r="I15" s="19">
        <f t="shared" si="4"/>
        <v>0.33333333333333331</v>
      </c>
      <c r="J15" s="19">
        <f t="shared" si="5"/>
        <v>0.14285714285714285</v>
      </c>
      <c r="K15" s="9">
        <v>2</v>
      </c>
      <c r="L15" s="9">
        <v>270</v>
      </c>
      <c r="M15" s="9">
        <v>14</v>
      </c>
    </row>
    <row r="16" spans="2:13">
      <c r="B16" s="15" t="s">
        <v>36</v>
      </c>
      <c r="C16" s="9" t="s">
        <v>13</v>
      </c>
      <c r="D16" s="112">
        <f>'Horas Ordenadas'!D23</f>
        <v>10</v>
      </c>
      <c r="E16" s="10">
        <f t="shared" si="0"/>
        <v>0.42075471698113204</v>
      </c>
      <c r="F16" s="17" t="str">
        <f t="shared" si="1"/>
        <v>Z</v>
      </c>
      <c r="G16" s="10">
        <f t="shared" si="2"/>
        <v>0.5</v>
      </c>
      <c r="H16" s="10">
        <f t="shared" si="3"/>
        <v>0.23584905660377359</v>
      </c>
      <c r="I16" s="19">
        <f t="shared" si="4"/>
        <v>0.5</v>
      </c>
      <c r="J16" s="19">
        <f t="shared" si="5"/>
        <v>4.716981132075472E-2</v>
      </c>
      <c r="K16" s="9">
        <v>5</v>
      </c>
      <c r="L16" s="9">
        <v>427</v>
      </c>
      <c r="M16" s="9">
        <v>106</v>
      </c>
    </row>
    <row r="17" spans="2:13">
      <c r="B17" s="15" t="s">
        <v>16</v>
      </c>
      <c r="C17" s="9" t="s">
        <v>13</v>
      </c>
      <c r="D17" s="112">
        <f>'Horas Ordenadas'!D25</f>
        <v>25</v>
      </c>
      <c r="E17" s="10">
        <f t="shared" si="0"/>
        <v>0.41727152317880795</v>
      </c>
      <c r="F17" s="17" t="str">
        <f t="shared" si="1"/>
        <v>Z</v>
      </c>
      <c r="G17" s="10">
        <f t="shared" si="2"/>
        <v>0.44</v>
      </c>
      <c r="H17" s="10">
        <f t="shared" si="3"/>
        <v>0.36423841059602646</v>
      </c>
      <c r="I17" s="19">
        <f t="shared" si="4"/>
        <v>0.44</v>
      </c>
      <c r="J17" s="19">
        <f t="shared" si="5"/>
        <v>7.2847682119205295E-2</v>
      </c>
      <c r="K17" s="9">
        <f>7+4</f>
        <v>11</v>
      </c>
      <c r="L17" s="9">
        <f>315+810</f>
        <v>1125</v>
      </c>
      <c r="M17" s="9">
        <f>41+110</f>
        <v>151</v>
      </c>
    </row>
    <row r="18" spans="2:13">
      <c r="B18" s="15" t="s">
        <v>25</v>
      </c>
      <c r="C18" s="9" t="s">
        <v>13</v>
      </c>
      <c r="D18" s="112">
        <f>'Horas Ordenadas'!D21</f>
        <v>30</v>
      </c>
      <c r="E18" s="10">
        <f t="shared" si="0"/>
        <v>0.40408653846153841</v>
      </c>
      <c r="F18" s="17" t="str">
        <f t="shared" si="1"/>
        <v>Z</v>
      </c>
      <c r="G18" s="10">
        <f t="shared" si="2"/>
        <v>0.5</v>
      </c>
      <c r="H18" s="10">
        <f t="shared" si="3"/>
        <v>0.18028846153846151</v>
      </c>
      <c r="I18" s="19">
        <f t="shared" si="4"/>
        <v>0.5</v>
      </c>
      <c r="J18" s="19">
        <f t="shared" si="5"/>
        <v>3.6057692307692304E-2</v>
      </c>
      <c r="K18" s="9">
        <f>8+7</f>
        <v>15</v>
      </c>
      <c r="L18" s="9">
        <f>372+947+1208+1</f>
        <v>2528</v>
      </c>
      <c r="M18" s="9">
        <f>23+168+225</f>
        <v>416</v>
      </c>
    </row>
    <row r="19" spans="2:13">
      <c r="B19" s="15" t="s">
        <v>33</v>
      </c>
      <c r="C19" s="9" t="s">
        <v>13</v>
      </c>
      <c r="D19" s="112">
        <f>'Horas Ordenadas'!D26</f>
        <v>30</v>
      </c>
      <c r="E19" s="10">
        <f t="shared" si="0"/>
        <v>0.37623188405797098</v>
      </c>
      <c r="F19" s="17" t="str">
        <f t="shared" si="1"/>
        <v>Z</v>
      </c>
      <c r="G19" s="10">
        <f t="shared" si="2"/>
        <v>0.36666666666666664</v>
      </c>
      <c r="H19" s="10">
        <f t="shared" si="3"/>
        <v>0.3985507246376811</v>
      </c>
      <c r="I19" s="19">
        <f t="shared" si="4"/>
        <v>0.36666666666666664</v>
      </c>
      <c r="J19" s="19">
        <f t="shared" si="5"/>
        <v>7.9710144927536225E-2</v>
      </c>
      <c r="K19" s="9">
        <v>11</v>
      </c>
      <c r="L19" s="9">
        <f>391+167+172+197+4+3</f>
        <v>934</v>
      </c>
      <c r="M19" s="9">
        <v>138</v>
      </c>
    </row>
    <row r="20" spans="2:13">
      <c r="B20" s="15" t="s">
        <v>34</v>
      </c>
      <c r="C20" s="9" t="s">
        <v>13</v>
      </c>
      <c r="D20" s="71">
        <v>10</v>
      </c>
      <c r="E20" s="10">
        <f t="shared" si="0"/>
        <v>0.33857142857142852</v>
      </c>
      <c r="F20" s="17" t="str">
        <f t="shared" si="1"/>
        <v>Z</v>
      </c>
      <c r="G20" s="10">
        <f t="shared" si="2"/>
        <v>0.3</v>
      </c>
      <c r="H20" s="10">
        <f t="shared" si="3"/>
        <v>0.42857142857142855</v>
      </c>
      <c r="I20" s="19">
        <f t="shared" si="4"/>
        <v>0.3</v>
      </c>
      <c r="J20" s="19">
        <f t="shared" si="5"/>
        <v>8.5714285714285715E-2</v>
      </c>
      <c r="K20" s="9">
        <v>3</v>
      </c>
      <c r="L20" s="9">
        <v>325</v>
      </c>
      <c r="M20" s="9">
        <v>35</v>
      </c>
    </row>
    <row r="21" spans="2:13" ht="15.75" customHeight="1">
      <c r="B21" s="15" t="s">
        <v>12</v>
      </c>
      <c r="C21" s="9" t="s">
        <v>13</v>
      </c>
      <c r="D21" s="112">
        <f>'Horas Ordenadas'!D19</f>
        <v>30</v>
      </c>
      <c r="E21" s="10">
        <f t="shared" si="0"/>
        <v>0.31296703296703293</v>
      </c>
      <c r="F21" s="17" t="str">
        <f t="shared" si="1"/>
        <v>Z</v>
      </c>
      <c r="G21" s="10">
        <f t="shared" si="2"/>
        <v>0.4</v>
      </c>
      <c r="H21" s="10">
        <f t="shared" si="3"/>
        <v>0.10989010989010989</v>
      </c>
      <c r="I21" s="19">
        <f t="shared" si="4"/>
        <v>0.4</v>
      </c>
      <c r="J21" s="19">
        <f t="shared" si="5"/>
        <v>2.197802197802198E-2</v>
      </c>
      <c r="K21" s="9">
        <f>9+3</f>
        <v>12</v>
      </c>
      <c r="L21" s="9">
        <f>297+862+1093+2</f>
        <v>2254</v>
      </c>
      <c r="M21" s="9">
        <f>38+223+285</f>
        <v>546</v>
      </c>
    </row>
    <row r="22" spans="2:13" ht="15.75" customHeight="1">
      <c r="B22" s="15" t="s">
        <v>28</v>
      </c>
      <c r="C22" s="9" t="s">
        <v>18</v>
      </c>
      <c r="D22" s="112">
        <f>'Horas Ordenadas'!D7</f>
        <v>11</v>
      </c>
      <c r="E22" s="10">
        <f t="shared" si="0"/>
        <v>0.29679897567221508</v>
      </c>
      <c r="F22" s="17" t="str">
        <f t="shared" si="1"/>
        <v>Z</v>
      </c>
      <c r="G22" s="10">
        <f t="shared" si="2"/>
        <v>0.36363636363636365</v>
      </c>
      <c r="H22" s="10">
        <f t="shared" si="3"/>
        <v>0.14084507042253522</v>
      </c>
      <c r="I22" s="19">
        <f t="shared" si="4"/>
        <v>0.36363636363636365</v>
      </c>
      <c r="J22" s="19">
        <f t="shared" si="5"/>
        <v>2.8169014084507043E-2</v>
      </c>
      <c r="K22" s="9">
        <v>4</v>
      </c>
      <c r="L22" s="9">
        <v>303</v>
      </c>
      <c r="M22" s="9">
        <v>142</v>
      </c>
    </row>
    <row r="23" spans="2:13" ht="15.75" customHeight="1">
      <c r="B23" s="15" t="s">
        <v>31</v>
      </c>
      <c r="C23" s="9" t="s">
        <v>18</v>
      </c>
      <c r="D23" s="112">
        <f>'Horas Ordenadas'!D16</f>
        <v>11</v>
      </c>
      <c r="E23" s="10">
        <f t="shared" si="0"/>
        <v>0.21818181818181814</v>
      </c>
      <c r="F23" s="17" t="str">
        <f t="shared" si="1"/>
        <v>Z</v>
      </c>
      <c r="G23" s="10">
        <f t="shared" si="2"/>
        <v>0.27272727272727271</v>
      </c>
      <c r="H23" s="10">
        <f t="shared" si="3"/>
        <v>9.0909090909090898E-2</v>
      </c>
      <c r="I23" s="19">
        <f t="shared" si="4"/>
        <v>0.27272727272727271</v>
      </c>
      <c r="J23" s="19">
        <f t="shared" si="5"/>
        <v>1.8181818181818181E-2</v>
      </c>
      <c r="K23" s="9">
        <v>3</v>
      </c>
      <c r="L23" s="9">
        <v>606</v>
      </c>
      <c r="M23" s="9">
        <v>165</v>
      </c>
    </row>
    <row r="24" spans="2:13" ht="15.75" customHeight="1">
      <c r="B24" s="15" t="s">
        <v>35</v>
      </c>
      <c r="C24" s="9" t="s">
        <v>13</v>
      </c>
      <c r="D24" s="112">
        <f>'Horas Ordenadas'!D28</f>
        <v>10</v>
      </c>
      <c r="E24" s="10">
        <f t="shared" si="0"/>
        <v>0.16158273381294963</v>
      </c>
      <c r="F24" s="17" t="str">
        <f t="shared" si="1"/>
        <v>Z</v>
      </c>
      <c r="G24" s="10">
        <f t="shared" si="2"/>
        <v>0.2</v>
      </c>
      <c r="H24" s="10">
        <f t="shared" si="3"/>
        <v>7.1942446043165464E-2</v>
      </c>
      <c r="I24" s="19">
        <f t="shared" si="4"/>
        <v>0.2</v>
      </c>
      <c r="J24" s="19">
        <f t="shared" si="5"/>
        <v>1.4388489208633094E-2</v>
      </c>
      <c r="K24" s="9">
        <v>2</v>
      </c>
      <c r="L24" s="9">
        <v>529</v>
      </c>
      <c r="M24" s="9">
        <v>139</v>
      </c>
    </row>
    <row r="25" spans="2:13" ht="15.75" customHeight="1">
      <c r="B25" s="15" t="s">
        <v>29</v>
      </c>
      <c r="C25" s="9" t="s">
        <v>18</v>
      </c>
      <c r="D25" s="112">
        <f>'Horas Ordenadas'!D3</f>
        <v>4</v>
      </c>
      <c r="E25" s="10">
        <f t="shared" si="0"/>
        <v>0</v>
      </c>
      <c r="F25" s="17" t="str">
        <f t="shared" si="1"/>
        <v>Z</v>
      </c>
      <c r="G25" s="10">
        <f t="shared" si="2"/>
        <v>0</v>
      </c>
      <c r="H25" s="10">
        <f t="shared" si="3"/>
        <v>0</v>
      </c>
      <c r="I25" s="19">
        <f t="shared" si="4"/>
        <v>0</v>
      </c>
      <c r="J25" s="19">
        <f t="shared" si="5"/>
        <v>0</v>
      </c>
      <c r="K25" s="9">
        <v>0</v>
      </c>
      <c r="L25" s="9">
        <v>253</v>
      </c>
      <c r="M25" s="9">
        <v>6</v>
      </c>
    </row>
    <row r="26" spans="2:13" ht="15.75" customHeight="1">
      <c r="B26" s="15" t="s">
        <v>32</v>
      </c>
      <c r="C26" s="9" t="s">
        <v>18</v>
      </c>
      <c r="D26" s="71">
        <v>5</v>
      </c>
      <c r="E26" s="10">
        <f t="shared" si="0"/>
        <v>0</v>
      </c>
      <c r="F26" s="17" t="str">
        <f t="shared" si="1"/>
        <v>Z</v>
      </c>
      <c r="G26" s="10">
        <f t="shared" si="2"/>
        <v>0</v>
      </c>
      <c r="H26" s="10">
        <f t="shared" si="3"/>
        <v>0</v>
      </c>
      <c r="I26" s="19">
        <f t="shared" si="4"/>
        <v>0</v>
      </c>
      <c r="J26" s="19">
        <f t="shared" si="5"/>
        <v>0</v>
      </c>
      <c r="K26" s="9">
        <v>0</v>
      </c>
      <c r="L26" s="9">
        <f>103+28</f>
        <v>131</v>
      </c>
      <c r="M26" s="9">
        <v>11</v>
      </c>
    </row>
    <row r="27" spans="2:13" ht="15.75" customHeight="1" thickBot="1">
      <c r="B27" s="16" t="s">
        <v>37</v>
      </c>
      <c r="C27" s="11" t="s">
        <v>18</v>
      </c>
      <c r="D27" s="126">
        <f>'Horas Ordenadas'!D9</f>
        <v>4</v>
      </c>
      <c r="E27" s="12">
        <f t="shared" si="0"/>
        <v>0</v>
      </c>
      <c r="F27" s="18" t="str">
        <f t="shared" si="1"/>
        <v>Z</v>
      </c>
      <c r="G27" s="12">
        <f t="shared" si="2"/>
        <v>0</v>
      </c>
      <c r="H27" s="12">
        <f t="shared" si="3"/>
        <v>0</v>
      </c>
      <c r="I27" s="20">
        <f t="shared" si="4"/>
        <v>0</v>
      </c>
      <c r="J27" s="20">
        <f t="shared" si="5"/>
        <v>0</v>
      </c>
      <c r="K27" s="11">
        <v>0</v>
      </c>
      <c r="L27" s="11">
        <v>236</v>
      </c>
      <c r="M27" s="11">
        <v>15</v>
      </c>
    </row>
    <row r="28" spans="2:13" ht="15.75" customHeight="1"/>
    <row r="29" spans="2:13" ht="15.75" customHeight="1"/>
    <row r="30" spans="2:13" ht="15.75" customHeight="1"/>
    <row r="31" spans="2:13" ht="15.75" customHeight="1"/>
    <row r="32" spans="2:13" ht="15.75" customHeight="1"/>
    <row r="33" s="1" customFormat="1" ht="15.75" customHeight="1"/>
    <row r="34" s="1" customFormat="1" ht="15.75" customHeight="1"/>
    <row r="35" s="1" customFormat="1" ht="15.75" customHeight="1"/>
    <row r="36" s="1" customFormat="1" ht="15.75" customHeight="1"/>
    <row r="37" s="1" customFormat="1" ht="15.75" customHeight="1"/>
    <row r="38" s="1" customFormat="1" ht="15.75" customHeight="1"/>
    <row r="39" s="1" customFormat="1" ht="15.75" customHeight="1"/>
    <row r="40" s="1" customFormat="1" ht="15.75" customHeight="1"/>
    <row r="41" s="1" customFormat="1" ht="15.75" customHeight="1"/>
    <row r="42" s="1" customFormat="1" ht="15.75" customHeight="1"/>
    <row r="43" s="1" customFormat="1" ht="15.75" customHeight="1"/>
    <row r="44" s="1" customFormat="1" ht="15.75" customHeight="1"/>
    <row r="45" s="1" customFormat="1" ht="15.75" customHeight="1"/>
    <row r="46" s="1" customFormat="1" ht="15.75" customHeight="1"/>
    <row r="47" s="1" customFormat="1" ht="15.75" customHeight="1"/>
    <row r="48" s="1" customFormat="1" ht="15.75" customHeight="1"/>
    <row r="49" s="1" customFormat="1" ht="15.75" customHeight="1"/>
    <row r="50" s="1" customFormat="1" ht="15.75" customHeight="1"/>
    <row r="51" s="1" customFormat="1" ht="15.75" customHeight="1"/>
    <row r="52" s="1" customFormat="1" ht="15.75" customHeight="1"/>
    <row r="53" s="1" customFormat="1" ht="15.75" customHeight="1"/>
    <row r="54" s="1" customFormat="1" ht="15.75" customHeight="1"/>
    <row r="55" s="1" customFormat="1" ht="15.75" customHeight="1"/>
    <row r="56" s="1" customFormat="1" ht="15.75" customHeight="1"/>
    <row r="57" s="1" customFormat="1" ht="15.75" customHeight="1"/>
    <row r="58" s="1" customFormat="1" ht="15.75" customHeight="1"/>
    <row r="59" s="1" customFormat="1" ht="15.75" customHeight="1"/>
    <row r="60" s="1" customFormat="1" ht="15.75" customHeight="1"/>
    <row r="61" s="1" customFormat="1" ht="15.75" customHeight="1"/>
    <row r="62" s="1" customFormat="1" ht="15.75" customHeight="1"/>
    <row r="63" s="1" customFormat="1" ht="15.75" customHeight="1"/>
    <row r="64" s="1" customFormat="1" ht="15.75" customHeight="1"/>
    <row r="65" s="1" customFormat="1" ht="15.75" customHeight="1"/>
    <row r="66" s="1" customFormat="1" ht="15.75" customHeight="1"/>
    <row r="67" s="1" customFormat="1" ht="15.75" customHeight="1"/>
    <row r="68" s="1" customFormat="1" ht="15.75" customHeight="1"/>
    <row r="69" s="1" customFormat="1" ht="15.75" customHeight="1"/>
    <row r="70" s="1" customFormat="1" ht="15.75" customHeight="1"/>
    <row r="71" s="1" customFormat="1" ht="15.75" customHeight="1"/>
    <row r="72" s="1" customFormat="1" ht="15.75" customHeight="1"/>
    <row r="73" s="1" customFormat="1" ht="15.75" customHeight="1"/>
    <row r="74" s="1" customFormat="1" ht="15.75" customHeight="1"/>
    <row r="75" s="1" customFormat="1" ht="15.75" customHeight="1"/>
    <row r="76" s="1" customFormat="1" ht="15.75" customHeight="1"/>
    <row r="77" s="1" customFormat="1" ht="15.75" customHeight="1"/>
    <row r="78" s="1" customFormat="1" ht="15.75" customHeight="1"/>
    <row r="79" s="1" customFormat="1" ht="15.75" customHeight="1"/>
    <row r="80" s="1" customFormat="1" ht="15.75" customHeight="1"/>
    <row r="81" s="1" customFormat="1" ht="15.75" customHeight="1"/>
    <row r="82" s="1" customFormat="1" ht="15.75" customHeight="1"/>
    <row r="83" s="1" customFormat="1" ht="15.75" customHeight="1"/>
    <row r="84" s="1" customFormat="1" ht="15.75" customHeight="1"/>
    <row r="85" s="1" customFormat="1" ht="15.75" customHeight="1"/>
    <row r="86" s="1" customFormat="1" ht="15.75" customHeight="1"/>
    <row r="87" s="1" customFormat="1" ht="15.75" customHeight="1"/>
    <row r="88" s="1" customFormat="1" ht="15.75" customHeight="1"/>
    <row r="89" s="1" customFormat="1" ht="15.75" customHeight="1"/>
    <row r="90" s="1" customFormat="1" ht="15.75" customHeight="1"/>
    <row r="91" s="1" customFormat="1" ht="15.75" customHeight="1"/>
    <row r="92" s="1" customFormat="1" ht="15.75" customHeight="1"/>
    <row r="93" s="1" customFormat="1" ht="15.75" customHeight="1"/>
    <row r="94" s="1" customFormat="1" ht="15.75" customHeight="1"/>
    <row r="95" s="1" customFormat="1" ht="15.75" customHeight="1"/>
    <row r="96" s="1" customFormat="1" ht="15.75" customHeight="1"/>
    <row r="97" s="1" customFormat="1" ht="15.75" customHeight="1"/>
    <row r="98" s="1" customFormat="1" ht="15.75" customHeight="1"/>
    <row r="99" s="1" customFormat="1" ht="15.75" customHeight="1"/>
    <row r="100" s="1" customFormat="1" ht="15.75" customHeight="1"/>
    <row r="101" s="1" customFormat="1" ht="15.75" customHeight="1"/>
    <row r="102" s="1" customFormat="1" ht="15.75" customHeight="1"/>
    <row r="103" s="1" customFormat="1" ht="15.75" customHeight="1"/>
    <row r="104" s="1" customFormat="1" ht="15.75" customHeight="1"/>
    <row r="105" s="1" customFormat="1" ht="15.75" customHeight="1"/>
    <row r="106" s="1" customFormat="1" ht="15.75" customHeight="1"/>
    <row r="107" s="1" customFormat="1" ht="15.75" customHeight="1"/>
    <row r="108" s="1" customFormat="1" ht="15.75" customHeight="1"/>
    <row r="109" s="1" customFormat="1" ht="15.75" customHeight="1"/>
    <row r="110" s="1" customFormat="1" ht="15.75" customHeight="1"/>
    <row r="111" s="1" customFormat="1" ht="15.75" customHeight="1"/>
    <row r="112" s="1" customFormat="1" ht="15.75" customHeight="1"/>
    <row r="113" s="1" customFormat="1" ht="15.75" customHeight="1"/>
    <row r="114" s="1" customFormat="1" ht="15.75" customHeight="1"/>
    <row r="115" s="1" customFormat="1" ht="15.75" customHeight="1"/>
    <row r="116" s="1" customFormat="1" ht="15.75" customHeight="1"/>
    <row r="117" s="1" customFormat="1" ht="15.75" customHeight="1"/>
    <row r="118" s="1" customFormat="1" ht="15.75" customHeight="1"/>
    <row r="119" s="1" customFormat="1" ht="15.75" customHeight="1"/>
    <row r="120" s="1" customFormat="1" ht="15.75" customHeight="1"/>
    <row r="121" s="1" customFormat="1" ht="15.75" customHeight="1"/>
    <row r="122" s="1" customFormat="1" ht="15.75" customHeight="1"/>
    <row r="123" s="1" customFormat="1" ht="15.75" customHeight="1"/>
    <row r="124" s="1" customFormat="1" ht="15.75" customHeight="1"/>
    <row r="125" s="1" customFormat="1" ht="15.75" customHeight="1"/>
    <row r="126" s="1" customFormat="1" ht="15.75" customHeight="1"/>
    <row r="127" s="1" customFormat="1" ht="15.75" customHeight="1"/>
    <row r="128" s="1" customFormat="1" ht="15.75" customHeight="1"/>
    <row r="129" s="1" customFormat="1" ht="15.75" customHeight="1"/>
    <row r="130" s="1" customFormat="1" ht="15.75" customHeight="1"/>
    <row r="131" s="1" customFormat="1" ht="15.75" customHeight="1"/>
    <row r="132" s="1" customFormat="1" ht="15.75" customHeight="1"/>
    <row r="133" s="1" customFormat="1" ht="15.75" customHeight="1"/>
    <row r="134" s="1" customFormat="1" ht="15.75" customHeight="1"/>
    <row r="135" s="1" customFormat="1" ht="15.75" customHeight="1"/>
    <row r="136" s="1" customFormat="1" ht="15.75" customHeight="1"/>
    <row r="137" s="1" customFormat="1" ht="15.75" customHeight="1"/>
    <row r="138" s="1" customFormat="1" ht="15.75" customHeight="1"/>
    <row r="139" s="1" customFormat="1" ht="15.75" customHeight="1"/>
    <row r="140" s="1" customFormat="1" ht="15.75" customHeight="1"/>
    <row r="141" s="1" customFormat="1" ht="15.75" customHeight="1"/>
    <row r="142" s="1" customFormat="1" ht="15.75" customHeight="1"/>
    <row r="143" s="1" customFormat="1" ht="15.75" customHeight="1"/>
    <row r="144" s="1" customFormat="1" ht="15.75" customHeight="1"/>
    <row r="145" s="1" customFormat="1" ht="15.75" customHeight="1"/>
    <row r="146" s="1" customFormat="1" ht="15.75" customHeight="1"/>
    <row r="147" s="1" customFormat="1" ht="15.75" customHeight="1"/>
    <row r="148" s="1" customFormat="1" ht="15.75" customHeight="1"/>
    <row r="149" s="1" customFormat="1" ht="15.75" customHeight="1"/>
    <row r="150" s="1" customFormat="1" ht="15.75" customHeight="1"/>
    <row r="151" s="1" customFormat="1" ht="15.75" customHeight="1"/>
    <row r="152" s="1" customFormat="1" ht="15.75" customHeight="1"/>
    <row r="153" s="1" customFormat="1" ht="15.75" customHeight="1"/>
    <row r="154" s="1" customFormat="1" ht="15.75" customHeight="1"/>
    <row r="155" s="1" customFormat="1" ht="15.75" customHeight="1"/>
    <row r="156" s="1" customFormat="1" ht="15.75" customHeight="1"/>
    <row r="157" s="1" customFormat="1" ht="15.75" customHeight="1"/>
    <row r="158" s="1" customFormat="1" ht="15.75" customHeight="1"/>
    <row r="159" s="1" customFormat="1" ht="15.75" customHeight="1"/>
    <row r="160" s="1" customFormat="1" ht="15.75" customHeight="1"/>
    <row r="161" s="1" customFormat="1" ht="15.75" customHeight="1"/>
    <row r="162" s="1" customFormat="1" ht="15.75" customHeight="1"/>
    <row r="163" s="1" customFormat="1" ht="15.75" customHeight="1"/>
    <row r="164" s="1" customFormat="1" ht="15.75" customHeight="1"/>
    <row r="165" s="1" customFormat="1" ht="15.75" customHeight="1"/>
    <row r="166" s="1" customFormat="1" ht="15.75" customHeight="1"/>
    <row r="167" s="1" customFormat="1" ht="15.75" customHeight="1"/>
    <row r="168" s="1" customFormat="1" ht="15.75" customHeight="1"/>
    <row r="169" s="1" customFormat="1" ht="15.75" customHeight="1"/>
    <row r="170" s="1" customFormat="1" ht="15.75" customHeight="1"/>
    <row r="171" s="1" customFormat="1" ht="15.75" customHeight="1"/>
    <row r="172" s="1" customFormat="1" ht="15.75" customHeight="1"/>
    <row r="173" s="1" customFormat="1" ht="15.75" customHeight="1"/>
    <row r="174" s="1" customFormat="1" ht="15.75" customHeight="1"/>
    <row r="175" s="1" customFormat="1" ht="15.75" customHeight="1"/>
    <row r="176" s="1" customFormat="1" ht="15.75" customHeight="1"/>
    <row r="177" s="1" customFormat="1" ht="15.75" customHeight="1"/>
    <row r="178" s="1" customFormat="1" ht="15.75" customHeight="1"/>
    <row r="179" s="1" customFormat="1" ht="15.75" customHeight="1"/>
    <row r="180" s="1" customFormat="1" ht="15.75" customHeight="1"/>
    <row r="181" s="1" customFormat="1" ht="15.75" customHeight="1"/>
    <row r="182" s="1" customFormat="1" ht="15.75" customHeight="1"/>
    <row r="183" s="1" customFormat="1" ht="15.75" customHeight="1"/>
    <row r="184" s="1" customFormat="1" ht="15.75" customHeight="1"/>
    <row r="185" s="1" customFormat="1" ht="15.75" customHeight="1"/>
    <row r="186" s="1" customFormat="1" ht="15.75" customHeight="1"/>
    <row r="187" s="1" customFormat="1" ht="15.75" customHeight="1"/>
    <row r="188" s="1" customFormat="1" ht="15.75" customHeight="1"/>
    <row r="189" s="1" customFormat="1" ht="15.75" customHeight="1"/>
    <row r="190" s="1" customFormat="1" ht="15.75" customHeight="1"/>
    <row r="191" s="1" customFormat="1" ht="15.75" customHeight="1"/>
    <row r="192" s="1" customFormat="1" ht="15.75" customHeight="1"/>
    <row r="193" s="1" customFormat="1" ht="15.75" customHeight="1"/>
    <row r="194" s="1" customFormat="1" ht="15.75" customHeight="1"/>
    <row r="195" s="1" customFormat="1" ht="15.75" customHeight="1"/>
    <row r="196" s="1" customFormat="1" ht="15.75" customHeight="1"/>
    <row r="197" s="1" customFormat="1" ht="15.75" customHeight="1"/>
    <row r="198" s="1" customFormat="1" ht="15.75" customHeight="1"/>
    <row r="199" s="1" customFormat="1" ht="15.75" customHeight="1"/>
    <row r="200" s="1" customFormat="1" ht="15.75" customHeight="1"/>
    <row r="201" s="1" customFormat="1" ht="15.75" customHeight="1"/>
    <row r="202" s="1" customFormat="1" ht="15.75" customHeight="1"/>
    <row r="203" s="1" customFormat="1" ht="15.75" customHeight="1"/>
    <row r="204" s="1" customFormat="1" ht="15.75" customHeight="1"/>
    <row r="205" s="1" customFormat="1" ht="15.75" customHeight="1"/>
    <row r="206" s="1" customFormat="1" ht="15.75" customHeight="1"/>
    <row r="207" s="1" customFormat="1" ht="15.75" customHeight="1"/>
    <row r="208" s="1" customFormat="1" ht="15.75" customHeight="1"/>
    <row r="209" s="1" customFormat="1" ht="15.75" customHeight="1"/>
    <row r="210" s="1" customFormat="1" ht="15.75" customHeight="1"/>
    <row r="211" s="1" customFormat="1" ht="15.75" customHeight="1"/>
    <row r="212" s="1" customFormat="1" ht="15.75" customHeight="1"/>
    <row r="213" s="1" customFormat="1" ht="15.75" customHeight="1"/>
    <row r="214" s="1" customFormat="1" ht="15.75" customHeight="1"/>
    <row r="215" s="1" customFormat="1" ht="15.75" customHeight="1"/>
    <row r="216" s="1" customFormat="1" ht="15.75" customHeight="1"/>
    <row r="217" s="1" customFormat="1" ht="15.75" customHeight="1"/>
    <row r="218" s="1" customFormat="1" ht="15.75" customHeight="1"/>
    <row r="219" s="1" customFormat="1" ht="15.75" customHeight="1"/>
    <row r="220" s="1" customFormat="1" ht="15.75" customHeight="1"/>
    <row r="221" s="1" customFormat="1" ht="15.75" customHeight="1"/>
    <row r="222" s="1" customFormat="1" ht="15.75" customHeight="1"/>
    <row r="223" s="1" customFormat="1" ht="15.75" customHeight="1"/>
    <row r="224" s="1" customFormat="1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</sheetData>
  <sortState ref="B3:M27">
    <sortCondition descending="1" ref="E3:E27"/>
  </sortState>
  <conditionalFormatting sqref="F1:F2 F28:F1048576">
    <cfRule type="cellIs" dxfId="23" priority="5" operator="equal">
      <formula>"Z"</formula>
    </cfRule>
    <cfRule type="cellIs" dxfId="22" priority="6" operator="equal">
      <formula>"C"</formula>
    </cfRule>
    <cfRule type="cellIs" dxfId="21" priority="7" operator="equal">
      <formula>"B"</formula>
    </cfRule>
    <cfRule type="cellIs" dxfId="20" priority="8" operator="equal">
      <formula>"A"</formula>
    </cfRule>
  </conditionalFormatting>
  <conditionalFormatting sqref="F3:F27">
    <cfRule type="cellIs" dxfId="19" priority="1" operator="equal">
      <formula>"B"</formula>
    </cfRule>
    <cfRule type="cellIs" dxfId="18" priority="2" operator="equal">
      <formula>"A"</formula>
    </cfRule>
    <cfRule type="cellIs" dxfId="17" priority="3" operator="equal">
      <formula>"Z"</formula>
    </cfRule>
    <cfRule type="cellIs" dxfId="16" priority="4" operator="equal">
      <formula>"C"</formula>
    </cfRule>
  </conditionalFormatting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34" sqref="D34"/>
    </sheetView>
  </sheetViews>
  <sheetFormatPr baseColWidth="10" defaultColWidth="14.42578125" defaultRowHeight="14.25"/>
  <cols>
    <col min="1" max="1" width="23.28515625" style="1" bestFit="1" customWidth="1"/>
    <col min="2" max="2" width="29.7109375" style="1" bestFit="1" customWidth="1"/>
    <col min="3" max="3" width="9.85546875" style="1" customWidth="1"/>
    <col min="4" max="4" width="22.42578125" style="1" customWidth="1"/>
    <col min="5" max="5" width="20.7109375" style="1" bestFit="1" customWidth="1"/>
    <col min="6" max="6" width="9.140625" style="1" customWidth="1"/>
    <col min="7" max="7" width="14.42578125" style="1" customWidth="1"/>
    <col min="8" max="8" width="23.42578125" style="1" bestFit="1" customWidth="1"/>
    <col min="9" max="9" width="28.7109375" style="1" bestFit="1" customWidth="1"/>
    <col min="10" max="16384" width="14.42578125" style="1"/>
  </cols>
  <sheetData>
    <row r="1" spans="1:5" ht="15" thickBot="1"/>
    <row r="2" spans="1:5" ht="15.75" thickBot="1">
      <c r="A2" s="4" t="s">
        <v>101</v>
      </c>
      <c r="B2" s="4" t="s">
        <v>0</v>
      </c>
      <c r="C2" s="4" t="s">
        <v>9</v>
      </c>
      <c r="D2" s="4" t="s">
        <v>10</v>
      </c>
      <c r="E2" s="4" t="s">
        <v>11</v>
      </c>
    </row>
    <row r="3" spans="1:5" ht="15">
      <c r="A3" s="33" t="s">
        <v>147</v>
      </c>
      <c r="B3" s="21" t="s">
        <v>17</v>
      </c>
      <c r="C3" s="72">
        <f>8+4+6</f>
        <v>18</v>
      </c>
      <c r="D3" s="72">
        <f>95+228+168</f>
        <v>491</v>
      </c>
      <c r="E3" s="72">
        <f>29+32+42</f>
        <v>103</v>
      </c>
    </row>
    <row r="4" spans="1:5" ht="15">
      <c r="A4" s="36" t="s">
        <v>119</v>
      </c>
      <c r="B4" s="15" t="s">
        <v>15</v>
      </c>
      <c r="C4" s="71">
        <f>7+9</f>
        <v>16</v>
      </c>
      <c r="D4" s="71">
        <f>360+321</f>
        <v>681</v>
      </c>
      <c r="E4" s="71">
        <f>47+65</f>
        <v>112</v>
      </c>
    </row>
    <row r="5" spans="1:5" ht="15">
      <c r="A5" s="36" t="s">
        <v>124</v>
      </c>
      <c r="B5" s="15" t="s">
        <v>21</v>
      </c>
      <c r="C5" s="71">
        <v>4</v>
      </c>
      <c r="D5" s="71">
        <v>110</v>
      </c>
      <c r="E5" s="71">
        <v>31</v>
      </c>
    </row>
    <row r="6" spans="1:5" ht="15">
      <c r="A6" s="36" t="s">
        <v>120</v>
      </c>
      <c r="B6" s="15" t="s">
        <v>14</v>
      </c>
      <c r="C6" s="71">
        <v>7</v>
      </c>
      <c r="D6" s="71">
        <v>337</v>
      </c>
      <c r="E6" s="71">
        <v>43</v>
      </c>
    </row>
    <row r="7" spans="1:5" ht="15">
      <c r="A7" s="36" t="s">
        <v>121</v>
      </c>
      <c r="B7" s="15" t="s">
        <v>20</v>
      </c>
      <c r="C7" s="71">
        <f>28+8+6</f>
        <v>42</v>
      </c>
      <c r="D7" s="71">
        <f>370+352+407+360+519+494+511+565</f>
        <v>3578</v>
      </c>
      <c r="E7" s="71">
        <f>191+79+55</f>
        <v>325</v>
      </c>
    </row>
    <row r="8" spans="1:5" ht="15">
      <c r="A8" s="36" t="s">
        <v>115</v>
      </c>
      <c r="B8" s="15" t="s">
        <v>19</v>
      </c>
      <c r="C8" s="71">
        <f>9+5</f>
        <v>14</v>
      </c>
      <c r="D8" s="71">
        <f>346+362</f>
        <v>708</v>
      </c>
      <c r="E8" s="71">
        <f>161+115</f>
        <v>276</v>
      </c>
    </row>
    <row r="9" spans="1:5" ht="15">
      <c r="A9" s="36" t="s">
        <v>123</v>
      </c>
      <c r="B9" s="15" t="s">
        <v>26</v>
      </c>
      <c r="C9" s="71">
        <v>21</v>
      </c>
      <c r="D9" s="71">
        <f>460+99+8+292+326+215+309</f>
        <v>1709</v>
      </c>
      <c r="E9" s="71">
        <f>232+38+38</f>
        <v>308</v>
      </c>
    </row>
    <row r="10" spans="1:5" ht="15">
      <c r="A10" s="36" t="s">
        <v>110</v>
      </c>
      <c r="B10" s="15" t="s">
        <v>22</v>
      </c>
      <c r="C10" s="71">
        <v>7</v>
      </c>
      <c r="D10" s="71">
        <v>323</v>
      </c>
      <c r="E10" s="71">
        <v>122</v>
      </c>
    </row>
    <row r="11" spans="1:5" ht="15">
      <c r="A11" s="36" t="s">
        <v>109</v>
      </c>
      <c r="B11" s="15" t="s">
        <v>24</v>
      </c>
      <c r="C11" s="9">
        <v>10</v>
      </c>
      <c r="D11" s="9">
        <v>609</v>
      </c>
      <c r="E11" s="9">
        <v>95</v>
      </c>
    </row>
    <row r="12" spans="1:5" ht="15">
      <c r="A12" s="36" t="s">
        <v>112</v>
      </c>
      <c r="B12" s="15" t="s">
        <v>23</v>
      </c>
      <c r="C12" s="9">
        <v>5</v>
      </c>
      <c r="D12" s="9">
        <v>376</v>
      </c>
      <c r="E12" s="9">
        <v>44</v>
      </c>
    </row>
    <row r="13" spans="1:5" ht="15.75" thickBot="1">
      <c r="A13" s="36" t="s">
        <v>108</v>
      </c>
      <c r="B13" s="15" t="s">
        <v>27</v>
      </c>
      <c r="C13" s="9">
        <v>15</v>
      </c>
      <c r="D13" s="9">
        <f>448+225+297+283</f>
        <v>1253</v>
      </c>
      <c r="E13" s="9">
        <f>135+50+29</f>
        <v>214</v>
      </c>
    </row>
    <row r="14" spans="1:5" ht="15">
      <c r="A14" s="6" t="s">
        <v>131</v>
      </c>
      <c r="B14" s="15" t="s">
        <v>30</v>
      </c>
      <c r="C14" s="9">
        <v>6</v>
      </c>
      <c r="D14" s="9">
        <v>253</v>
      </c>
      <c r="E14" s="9">
        <v>69</v>
      </c>
    </row>
    <row r="15" spans="1:5" ht="15">
      <c r="A15" s="36" t="s">
        <v>122</v>
      </c>
      <c r="B15" s="15" t="s">
        <v>38</v>
      </c>
      <c r="C15" s="9">
        <v>2</v>
      </c>
      <c r="D15" s="9">
        <v>270</v>
      </c>
      <c r="E15" s="9">
        <v>14</v>
      </c>
    </row>
    <row r="16" spans="1:5" ht="15">
      <c r="A16" s="36" t="s">
        <v>117</v>
      </c>
      <c r="B16" s="15" t="s">
        <v>36</v>
      </c>
      <c r="C16" s="9">
        <v>5</v>
      </c>
      <c r="D16" s="9">
        <v>427</v>
      </c>
      <c r="E16" s="9">
        <v>106</v>
      </c>
    </row>
    <row r="17" spans="1:5" ht="15">
      <c r="A17" s="36" t="s">
        <v>126</v>
      </c>
      <c r="B17" s="15" t="s">
        <v>16</v>
      </c>
      <c r="C17" s="9">
        <f>7+4</f>
        <v>11</v>
      </c>
      <c r="D17" s="9">
        <f>315+810</f>
        <v>1125</v>
      </c>
      <c r="E17" s="9">
        <f>41+110</f>
        <v>151</v>
      </c>
    </row>
    <row r="18" spans="1:5" ht="15">
      <c r="A18" s="36" t="s">
        <v>128</v>
      </c>
      <c r="B18" s="15" t="s">
        <v>25</v>
      </c>
      <c r="C18" s="9">
        <f>8+7</f>
        <v>15</v>
      </c>
      <c r="D18" s="9">
        <f>372+947+1208+1</f>
        <v>2528</v>
      </c>
      <c r="E18" s="9">
        <f>23+168+225</f>
        <v>416</v>
      </c>
    </row>
    <row r="19" spans="1:5" ht="15">
      <c r="A19" s="36" t="s">
        <v>114</v>
      </c>
      <c r="B19" s="15" t="s">
        <v>33</v>
      </c>
      <c r="C19" s="9">
        <v>11</v>
      </c>
      <c r="D19" s="9">
        <f>391+167+172+197+4+3</f>
        <v>934</v>
      </c>
      <c r="E19" s="9">
        <v>138</v>
      </c>
    </row>
    <row r="20" spans="1:5" ht="15">
      <c r="A20" s="9" t="s">
        <v>130</v>
      </c>
      <c r="B20" s="15" t="s">
        <v>34</v>
      </c>
      <c r="C20" s="9">
        <v>3</v>
      </c>
      <c r="D20" s="9">
        <v>325</v>
      </c>
      <c r="E20" s="9">
        <v>35</v>
      </c>
    </row>
    <row r="21" spans="1:5" ht="15">
      <c r="A21" s="36" t="s">
        <v>127</v>
      </c>
      <c r="B21" s="15" t="s">
        <v>12</v>
      </c>
      <c r="C21" s="9">
        <f>9+3</f>
        <v>12</v>
      </c>
      <c r="D21" s="9">
        <f>297+862+1093+2</f>
        <v>2254</v>
      </c>
      <c r="E21" s="9">
        <f>38+223+285</f>
        <v>546</v>
      </c>
    </row>
    <row r="22" spans="1:5" ht="15">
      <c r="A22" s="36" t="s">
        <v>129</v>
      </c>
      <c r="B22" s="15" t="s">
        <v>28</v>
      </c>
      <c r="C22" s="9">
        <v>4</v>
      </c>
      <c r="D22" s="9">
        <v>303</v>
      </c>
      <c r="E22" s="9">
        <v>142</v>
      </c>
    </row>
    <row r="23" spans="1:5" ht="15">
      <c r="A23" s="36" t="s">
        <v>113</v>
      </c>
      <c r="B23" s="15" t="s">
        <v>31</v>
      </c>
      <c r="C23" s="9">
        <v>3</v>
      </c>
      <c r="D23" s="9">
        <v>606</v>
      </c>
      <c r="E23" s="9">
        <v>165</v>
      </c>
    </row>
    <row r="24" spans="1:5" ht="15">
      <c r="A24" s="39" t="s">
        <v>116</v>
      </c>
      <c r="B24" s="15" t="s">
        <v>35</v>
      </c>
      <c r="C24" s="9">
        <v>2</v>
      </c>
      <c r="D24" s="9">
        <v>529</v>
      </c>
      <c r="E24" s="9">
        <v>139</v>
      </c>
    </row>
    <row r="25" spans="1:5" ht="15">
      <c r="A25" s="9" t="s">
        <v>111</v>
      </c>
      <c r="B25" s="15" t="s">
        <v>29</v>
      </c>
      <c r="C25" s="9">
        <v>0</v>
      </c>
      <c r="D25" s="9">
        <v>253</v>
      </c>
      <c r="E25" s="9">
        <v>6</v>
      </c>
    </row>
    <row r="26" spans="1:5" ht="15">
      <c r="A26" s="40"/>
      <c r="B26" s="15" t="s">
        <v>32</v>
      </c>
      <c r="C26" s="9">
        <v>0</v>
      </c>
      <c r="D26" s="9">
        <f>103+28</f>
        <v>131</v>
      </c>
      <c r="E26" s="9">
        <v>11</v>
      </c>
    </row>
    <row r="27" spans="1:5" ht="15.75" thickBot="1">
      <c r="A27" s="11" t="s">
        <v>107</v>
      </c>
      <c r="B27" s="16" t="s">
        <v>37</v>
      </c>
      <c r="C27" s="11">
        <v>0</v>
      </c>
      <c r="D27" s="11">
        <v>236</v>
      </c>
      <c r="E27" s="11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6"/>
  <sheetViews>
    <sheetView workbookViewId="0">
      <selection activeCell="B21" sqref="B21"/>
    </sheetView>
  </sheetViews>
  <sheetFormatPr baseColWidth="10" defaultColWidth="14.42578125" defaultRowHeight="15" customHeight="1"/>
  <cols>
    <col min="1" max="1" width="23.28515625" style="1" customWidth="1"/>
    <col min="2" max="2" width="29.7109375" style="1" bestFit="1" customWidth="1"/>
    <col min="3" max="3" width="9.85546875" style="1" bestFit="1" customWidth="1"/>
    <col min="4" max="4" width="22.42578125" style="1" bestFit="1" customWidth="1"/>
    <col min="5" max="5" width="20.7109375" style="1" bestFit="1" customWidth="1"/>
    <col min="6" max="6" width="15.140625" style="1" hidden="1" customWidth="1"/>
    <col min="7" max="7" width="27.85546875" style="1" hidden="1" customWidth="1"/>
    <col min="8" max="8" width="26.140625" style="1" hidden="1" customWidth="1"/>
    <col min="9" max="9" width="20.140625" style="1" hidden="1" customWidth="1"/>
    <col min="10" max="10" width="32.85546875" style="1" hidden="1" customWidth="1"/>
    <col min="11" max="11" width="31.140625" style="1" hidden="1" customWidth="1"/>
    <col min="12" max="12" width="13.85546875" style="1" hidden="1" customWidth="1"/>
    <col min="13" max="13" width="19.28515625" style="1" hidden="1" customWidth="1"/>
    <col min="14" max="14" width="9.140625" style="1" customWidth="1"/>
    <col min="15" max="15" width="14.42578125" style="1" customWidth="1"/>
    <col min="16" max="16384" width="14.42578125" style="1"/>
  </cols>
  <sheetData>
    <row r="1" spans="1:13" thickBot="1"/>
    <row r="2" spans="1:13" ht="15.75" thickBot="1">
      <c r="A2" s="4" t="s">
        <v>101</v>
      </c>
      <c r="B2" s="4" t="s">
        <v>0</v>
      </c>
      <c r="C2" s="4" t="s">
        <v>9</v>
      </c>
      <c r="D2" s="4" t="s">
        <v>10</v>
      </c>
      <c r="E2" s="4" t="s">
        <v>11</v>
      </c>
      <c r="F2" s="5" t="s">
        <v>40</v>
      </c>
      <c r="G2" s="3" t="s">
        <v>41</v>
      </c>
      <c r="H2" s="3" t="s">
        <v>42</v>
      </c>
      <c r="I2" s="3" t="s">
        <v>43</v>
      </c>
      <c r="J2" s="3" t="s">
        <v>44</v>
      </c>
      <c r="K2" s="3" t="s">
        <v>45</v>
      </c>
      <c r="L2" s="4" t="s">
        <v>133</v>
      </c>
      <c r="M2" s="4" t="s">
        <v>134</v>
      </c>
    </row>
    <row r="3" spans="1:13" ht="15.75" thickBot="1">
      <c r="A3" s="6" t="s">
        <v>131</v>
      </c>
      <c r="B3" s="27" t="s">
        <v>30</v>
      </c>
      <c r="C3" s="6">
        <f>133+26+33+15+32</f>
        <v>239</v>
      </c>
      <c r="D3" s="6">
        <f>1082+206+284+124+303</f>
        <v>1999</v>
      </c>
      <c r="E3" s="6">
        <f>268+103+168+74+94</f>
        <v>707</v>
      </c>
      <c r="F3" s="8">
        <f>IFERROR(VLOOKUP(A3,#REF!, 2,FALSE), 0)</f>
        <v>0</v>
      </c>
      <c r="G3" s="8">
        <f>IFERROR(VLOOKUP(A3,#REF!, 2,FALSE), 0)</f>
        <v>0</v>
      </c>
      <c r="H3" s="8">
        <f>IFERROR(VLOOKUP(B3,#REF!, 2,FALSE), 0)</f>
        <v>0</v>
      </c>
      <c r="I3" s="13">
        <f t="shared" ref="I3:K9" si="0">IF(ISNUMBER(C3), C3, 0) + IF(ISNUMBER(F3), F3, 0)</f>
        <v>239</v>
      </c>
      <c r="J3" s="13">
        <f t="shared" si="0"/>
        <v>1999</v>
      </c>
      <c r="K3" s="13">
        <f t="shared" si="0"/>
        <v>707</v>
      </c>
      <c r="L3" s="33">
        <f>IFERROR(VLOOKUP(A3,'[1]Horas Amazon'!$A$3:$AH$32, 24,FALSE), 0)</f>
        <v>8</v>
      </c>
      <c r="M3" s="33">
        <f>IF(ISNUMBER(#REF!),#REF!, 0) + IF(ISNUMBER(L3), L3, 0)</f>
        <v>8</v>
      </c>
    </row>
    <row r="4" spans="1:13" ht="15.75" thickBot="1">
      <c r="A4" s="9" t="s">
        <v>132</v>
      </c>
      <c r="B4" s="15" t="s">
        <v>21</v>
      </c>
      <c r="C4" s="9">
        <f>203+16</f>
        <v>219</v>
      </c>
      <c r="D4" s="9">
        <f>1492+151+151</f>
        <v>1794</v>
      </c>
      <c r="E4" s="9">
        <f>609+128</f>
        <v>737</v>
      </c>
      <c r="F4" s="8">
        <f>IFERROR(VLOOKUP(A4,#REF!, 2,FALSE), 0)</f>
        <v>0</v>
      </c>
      <c r="G4" s="8">
        <f>IFERROR(VLOOKUP(A4,#REF!, 2,FALSE), 0)</f>
        <v>0</v>
      </c>
      <c r="H4" s="8">
        <f>IFERROR(VLOOKUP(B4,#REF!, 2,FALSE), 0)</f>
        <v>0</v>
      </c>
      <c r="I4" s="13">
        <f t="shared" si="0"/>
        <v>219</v>
      </c>
      <c r="J4" s="13">
        <f t="shared" si="0"/>
        <v>1794</v>
      </c>
      <c r="K4" s="13">
        <f t="shared" si="0"/>
        <v>737</v>
      </c>
      <c r="L4" s="33">
        <f>IFERROR(VLOOKUP(A4,'[1]Horas Amazon'!$A$3:$AH$32, 24,FALSE), 0)</f>
        <v>8</v>
      </c>
      <c r="M4" s="33">
        <f>IF(ISNUMBER(#REF!),#REF!, 0) + IF(ISNUMBER(L4), L4, 0)</f>
        <v>8</v>
      </c>
    </row>
    <row r="5" spans="1:13" ht="15.75" thickBot="1">
      <c r="A5" s="9" t="s">
        <v>124</v>
      </c>
      <c r="B5" s="15" t="s">
        <v>27</v>
      </c>
      <c r="C5" s="9">
        <v>45</v>
      </c>
      <c r="D5" s="9">
        <v>282</v>
      </c>
      <c r="E5" s="9">
        <v>151</v>
      </c>
      <c r="F5" s="8">
        <f>IFERROR(VLOOKUP(A5,#REF!, 2,FALSE), 0)</f>
        <v>0</v>
      </c>
      <c r="G5" s="8">
        <f>IFERROR(VLOOKUP(A5,#REF!, 2,FALSE), 0)</f>
        <v>0</v>
      </c>
      <c r="H5" s="8">
        <f>IFERROR(VLOOKUP(B5,#REF!, 2,FALSE), 0)</f>
        <v>0</v>
      </c>
      <c r="I5" s="13">
        <f t="shared" si="0"/>
        <v>45</v>
      </c>
      <c r="J5" s="13">
        <f t="shared" si="0"/>
        <v>282</v>
      </c>
      <c r="K5" s="13">
        <f t="shared" si="0"/>
        <v>151</v>
      </c>
      <c r="L5" s="33">
        <f>IFERROR(VLOOKUP(A5,'[1]Horas Amazon'!$A$3:$AH$32, 24,FALSE), 0)</f>
        <v>6</v>
      </c>
      <c r="M5" s="33">
        <f>IF(ISNUMBER(#REF!),#REF!, 0) + IF(ISNUMBER(L5), L5, 0)</f>
        <v>6</v>
      </c>
    </row>
    <row r="6" spans="1:13" ht="15.75" thickBot="1">
      <c r="A6" s="9" t="s">
        <v>108</v>
      </c>
      <c r="B6" s="15" t="s">
        <v>24</v>
      </c>
      <c r="C6" s="9">
        <f>188+18+17+24</f>
        <v>247</v>
      </c>
      <c r="D6" s="9">
        <f>1500+224+340+338</f>
        <v>2402</v>
      </c>
      <c r="E6" s="9">
        <f>536+212+330+197</f>
        <v>1275</v>
      </c>
      <c r="F6" s="8">
        <f>IFERROR(VLOOKUP(A6,#REF!, 2,FALSE), 0)</f>
        <v>0</v>
      </c>
      <c r="G6" s="8">
        <f>IFERROR(VLOOKUP(A6,#REF!, 2,FALSE), 0)</f>
        <v>0</v>
      </c>
      <c r="H6" s="8">
        <f>IFERROR(VLOOKUP(B6,#REF!, 2,FALSE), 0)</f>
        <v>0</v>
      </c>
      <c r="I6" s="13">
        <f t="shared" si="0"/>
        <v>247</v>
      </c>
      <c r="J6" s="13">
        <f t="shared" si="0"/>
        <v>2402</v>
      </c>
      <c r="K6" s="13">
        <f t="shared" si="0"/>
        <v>1275</v>
      </c>
      <c r="L6" s="33" t="str">
        <f>IFERROR(VLOOKUP(A6,'[1]Horas Amazon'!$A$3:$AH$32, 24,FALSE), 0)</f>
        <v>VAC</v>
      </c>
      <c r="M6" s="33">
        <f>IF(ISNUMBER(#REF!),#REF!, 0) + IF(ISNUMBER(L6), L6, 0)</f>
        <v>0</v>
      </c>
    </row>
    <row r="7" spans="1:13" ht="15.75" thickBot="1">
      <c r="A7" s="9" t="s">
        <v>119</v>
      </c>
      <c r="B7" s="15" t="s">
        <v>15</v>
      </c>
      <c r="C7" s="9">
        <v>109</v>
      </c>
      <c r="D7" s="9">
        <v>629</v>
      </c>
      <c r="E7" s="9">
        <v>216</v>
      </c>
      <c r="F7" s="8">
        <f>IFERROR(VLOOKUP(A7,#REF!, 2,FALSE), 0)</f>
        <v>0</v>
      </c>
      <c r="G7" s="8">
        <f>IFERROR(VLOOKUP(A7,#REF!, 2,FALSE), 0)</f>
        <v>0</v>
      </c>
      <c r="H7" s="8">
        <f>IFERROR(VLOOKUP(B7,#REF!, 2,FALSE), 0)</f>
        <v>0</v>
      </c>
      <c r="I7" s="13">
        <f t="shared" si="0"/>
        <v>109</v>
      </c>
      <c r="J7" s="13">
        <f t="shared" si="0"/>
        <v>629</v>
      </c>
      <c r="K7" s="13">
        <f t="shared" si="0"/>
        <v>216</v>
      </c>
      <c r="L7" s="33" t="str">
        <f>IFERROR(VLOOKUP(A7,'[1]Horas Amazon'!$A$3:$AH$32, 24,FALSE), 0)</f>
        <v>X</v>
      </c>
      <c r="M7" s="33">
        <f>IF(ISNUMBER(#REF!),#REF!, 0) + IF(ISNUMBER(L7), L7, 0)</f>
        <v>0</v>
      </c>
    </row>
    <row r="8" spans="1:13" ht="15.75" thickBot="1">
      <c r="A8" s="9" t="s">
        <v>130</v>
      </c>
      <c r="B8" s="15" t="s">
        <v>46</v>
      </c>
      <c r="C8" s="9">
        <v>70</v>
      </c>
      <c r="D8" s="9">
        <v>659</v>
      </c>
      <c r="E8" s="9">
        <v>199</v>
      </c>
      <c r="F8" s="8">
        <f>IFERROR(VLOOKUP(A8,#REF!, 2,FALSE), 0)</f>
        <v>0</v>
      </c>
      <c r="G8" s="8">
        <f>IFERROR(VLOOKUP(A8,#REF!, 2,FALSE), 0)</f>
        <v>0</v>
      </c>
      <c r="H8" s="8">
        <f>IFERROR(VLOOKUP(B8,#REF!, 2,FALSE), 0)</f>
        <v>0</v>
      </c>
      <c r="I8" s="13">
        <f t="shared" si="0"/>
        <v>70</v>
      </c>
      <c r="J8" s="13">
        <f t="shared" si="0"/>
        <v>659</v>
      </c>
      <c r="K8" s="13">
        <f t="shared" si="0"/>
        <v>199</v>
      </c>
      <c r="L8" s="33">
        <f>IFERROR(VLOOKUP(A8,'[1]Horas Amazon'!$A$3:$AH$32, 24,FALSE), 0)</f>
        <v>0</v>
      </c>
      <c r="M8" s="33">
        <f>IF(ISNUMBER(#REF!),#REF!, 0) + IF(ISNUMBER(L8), L8, 0)</f>
        <v>0</v>
      </c>
    </row>
    <row r="9" spans="1:13" ht="15.75" customHeight="1" thickBot="1">
      <c r="A9" s="11" t="s">
        <v>120</v>
      </c>
      <c r="B9" s="16" t="s">
        <v>34</v>
      </c>
      <c r="C9" s="11">
        <f>104+14+13</f>
        <v>131</v>
      </c>
      <c r="D9" s="11">
        <f>1168+125+143</f>
        <v>1436</v>
      </c>
      <c r="E9" s="11">
        <f>328+39+32</f>
        <v>399</v>
      </c>
      <c r="F9" s="8">
        <f>IFERROR(VLOOKUP(A9,#REF!, 2,FALSE), 0)</f>
        <v>0</v>
      </c>
      <c r="G9" s="8">
        <f>IFERROR(VLOOKUP(A9,#REF!, 2,FALSE), 0)</f>
        <v>0</v>
      </c>
      <c r="H9" s="8">
        <f>IFERROR(VLOOKUP(B9,#REF!, 2,FALSE), 0)</f>
        <v>0</v>
      </c>
      <c r="I9" s="13">
        <f t="shared" si="0"/>
        <v>131</v>
      </c>
      <c r="J9" s="13">
        <f t="shared" si="0"/>
        <v>1436</v>
      </c>
      <c r="K9" s="13">
        <f t="shared" si="0"/>
        <v>399</v>
      </c>
      <c r="L9" s="33">
        <f>IFERROR(VLOOKUP(A9,'[1]Horas Amazon'!$A$3:$AH$32, 24,FALSE), 0)</f>
        <v>0</v>
      </c>
      <c r="M9" s="33">
        <f>IF(ISNUMBER(#REF!),#REF!, 0) + IF(ISNUMBER(L9), L9, 0)</f>
        <v>0</v>
      </c>
    </row>
    <row r="10" spans="1:13" ht="15.75" customHeight="1"/>
    <row r="11" spans="1:13" ht="15.75" customHeight="1"/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2"/>
  <sheetViews>
    <sheetView workbookViewId="0">
      <selection activeCell="A3" sqref="A3:A27"/>
    </sheetView>
  </sheetViews>
  <sheetFormatPr baseColWidth="10" defaultColWidth="14.42578125" defaultRowHeight="15" customHeight="1"/>
  <cols>
    <col min="1" max="1" width="23.42578125" style="1" bestFit="1" customWidth="1"/>
    <col min="2" max="2" width="28.42578125" style="1" bestFit="1" customWidth="1"/>
    <col min="3" max="3" width="17.85546875" style="1" bestFit="1" customWidth="1"/>
    <col min="4" max="4" width="13" style="1" bestFit="1" customWidth="1"/>
    <col min="5" max="5" width="23.140625" style="1" hidden="1" customWidth="1"/>
    <col min="6" max="6" width="18.5703125" style="1" hidden="1" customWidth="1"/>
    <col min="7" max="7" width="28.5703125" style="1" hidden="1" customWidth="1"/>
    <col min="8" max="8" width="24" style="1" hidden="1" customWidth="1"/>
    <col min="9" max="9" width="14.42578125" style="1" hidden="1" customWidth="1"/>
    <col min="10" max="10" width="18.7109375" style="1" hidden="1" customWidth="1"/>
    <col min="11" max="11" width="14.42578125" style="1" customWidth="1"/>
    <col min="12" max="16384" width="14.42578125" style="1"/>
  </cols>
  <sheetData>
    <row r="1" spans="1:10" ht="15.75" customHeight="1" thickBot="1"/>
    <row r="2" spans="1:10" ht="15.75" thickBot="1">
      <c r="A2" s="4" t="s">
        <v>101</v>
      </c>
      <c r="B2" s="30" t="s">
        <v>0</v>
      </c>
      <c r="C2" s="32" t="s">
        <v>48</v>
      </c>
      <c r="D2" s="4" t="s">
        <v>49</v>
      </c>
      <c r="E2" s="66" t="s">
        <v>51</v>
      </c>
      <c r="F2" s="67" t="s">
        <v>52</v>
      </c>
      <c r="G2" s="66" t="s">
        <v>53</v>
      </c>
      <c r="H2" s="67" t="s">
        <v>54</v>
      </c>
      <c r="I2" s="31" t="s">
        <v>133</v>
      </c>
      <c r="J2" s="31" t="s">
        <v>134</v>
      </c>
    </row>
    <row r="3" spans="1:10" ht="15.75" thickBot="1">
      <c r="A3" s="33" t="s">
        <v>108</v>
      </c>
      <c r="B3" s="27" t="s">
        <v>27</v>
      </c>
      <c r="C3" s="33">
        <f>21+73</f>
        <v>94</v>
      </c>
      <c r="D3" s="33">
        <f>21+73</f>
        <v>94</v>
      </c>
      <c r="E3" s="8">
        <f>IFERROR(VLOOKUP(A3,#REF!, 2,FALSE), 0)</f>
        <v>0</v>
      </c>
      <c r="F3" s="68">
        <f>IFERROR(VLOOKUP(A3,#REF!, 2,FALSE), 0)</f>
        <v>0</v>
      </c>
      <c r="G3" s="68">
        <f>E3+C3</f>
        <v>94</v>
      </c>
      <c r="H3" s="68">
        <f>D3+F3</f>
        <v>94</v>
      </c>
      <c r="I3" s="65" t="str">
        <f>IFERROR(VLOOKUP(A3,'[1]Horas Volte'!$A$3:$AH$32, 24,FALSE), 0)</f>
        <v>VAC</v>
      </c>
      <c r="J3" s="33">
        <f>IF(ISNUMBER(#REF!),#REF!, 0) + IF(ISNUMBER(I3), I3, 0)</f>
        <v>0</v>
      </c>
    </row>
    <row r="4" spans="1:10" ht="15.75" thickBot="1">
      <c r="A4" s="36" t="s">
        <v>109</v>
      </c>
      <c r="B4" s="15" t="s">
        <v>24</v>
      </c>
      <c r="C4" s="36">
        <v>101</v>
      </c>
      <c r="D4" s="36">
        <v>99</v>
      </c>
      <c r="E4" s="8">
        <f>IFERROR(VLOOKUP(A4,#REF!, 2,FALSE), 0)</f>
        <v>0</v>
      </c>
      <c r="F4" s="68">
        <f>IFERROR(VLOOKUP(A4,#REF!, 2,FALSE), 0)</f>
        <v>0</v>
      </c>
      <c r="G4" s="68">
        <f>E4+C4</f>
        <v>101</v>
      </c>
      <c r="H4" s="68">
        <f>D4+F4</f>
        <v>99</v>
      </c>
      <c r="I4" s="65">
        <f>IFERROR(VLOOKUP(A4,'[1]Horas Volte'!$A$3:$AH$32, 24,FALSE), 0)</f>
        <v>0</v>
      </c>
      <c r="J4" s="33">
        <f>IF(ISNUMBER(#REF!),#REF!, 0) + IF(ISNUMBER(I4), I4, 0)</f>
        <v>0</v>
      </c>
    </row>
    <row r="5" spans="1:10" ht="15.75" thickBot="1">
      <c r="A5" s="36" t="s">
        <v>124</v>
      </c>
      <c r="B5" s="15" t="s">
        <v>56</v>
      </c>
      <c r="C5" s="36">
        <v>65</v>
      </c>
      <c r="D5" s="36">
        <v>63</v>
      </c>
      <c r="E5" s="8">
        <f>IFERROR(VLOOKUP(A5,#REF!, 2,FALSE), 0)</f>
        <v>0</v>
      </c>
      <c r="F5" s="68">
        <f>IFERROR(VLOOKUP(A5,#REF!, 2,FALSE), 0)</f>
        <v>0</v>
      </c>
      <c r="G5" s="68">
        <f>E5+C5</f>
        <v>65</v>
      </c>
      <c r="H5" s="68">
        <f>D5+F5</f>
        <v>63</v>
      </c>
      <c r="I5" s="65">
        <f>IFERROR(VLOOKUP(A5,'[1]Horas Volte'!$A$3:$AH$32, 24,FALSE), 0)</f>
        <v>0</v>
      </c>
      <c r="J5" s="33">
        <f>IF(ISNUMBER(#REF!),#REF!, 0) + IF(ISNUMBER(I5), I5, 0)</f>
        <v>0</v>
      </c>
    </row>
    <row r="6" spans="1:10" ht="15.75" thickBot="1">
      <c r="A6" s="36" t="s">
        <v>121</v>
      </c>
      <c r="B6" s="15" t="s">
        <v>20</v>
      </c>
      <c r="C6" s="36">
        <f>796+229+312+322</f>
        <v>1659</v>
      </c>
      <c r="D6" s="36">
        <f>735+227+311+321</f>
        <v>1594</v>
      </c>
      <c r="E6" s="8">
        <f>IFERROR(VLOOKUP(A6,#REF!, 2,FALSE), 0)</f>
        <v>0</v>
      </c>
      <c r="F6" s="68">
        <f>IFERROR(VLOOKUP(A6,#REF!, 2,FALSE), 0)</f>
        <v>0</v>
      </c>
      <c r="G6" s="68">
        <f>E6+C6</f>
        <v>1659</v>
      </c>
      <c r="H6" s="68">
        <f>D6+F6</f>
        <v>1594</v>
      </c>
      <c r="I6" s="65">
        <f>IFERROR(VLOOKUP(A6,'[1]Horas Volte'!$A$3:$AH$32, 24,FALSE), 0)</f>
        <v>8</v>
      </c>
      <c r="J6" s="33">
        <f>IF(ISNUMBER(#REF!),#REF!, 0) + IF(ISNUMBER(I6), I6, 0)</f>
        <v>8</v>
      </c>
    </row>
    <row r="7" spans="1:10" ht="15.75" thickBot="1">
      <c r="A7" s="36" t="s">
        <v>119</v>
      </c>
      <c r="B7" s="15" t="s">
        <v>15</v>
      </c>
      <c r="C7" s="36">
        <f>503+127+285</f>
        <v>915</v>
      </c>
      <c r="D7" s="36">
        <f>439+122+284</f>
        <v>845</v>
      </c>
      <c r="E7" s="8">
        <f>IFERROR(VLOOKUP(A7,#REF!, 2,FALSE), 0)</f>
        <v>0</v>
      </c>
      <c r="F7" s="68">
        <f>IFERROR(VLOOKUP(A7,#REF!, 2,FALSE), 0)</f>
        <v>0</v>
      </c>
      <c r="G7" s="68">
        <f>E7+C7</f>
        <v>915</v>
      </c>
      <c r="H7" s="68">
        <f>D7+F7</f>
        <v>845</v>
      </c>
      <c r="I7" s="65">
        <f>IFERROR(VLOOKUP(A7,'[1]Horas Volte'!$A$3:$AH$32, 24,FALSE), 0)</f>
        <v>8</v>
      </c>
      <c r="J7" s="33">
        <f>IF(ISNUMBER(#REF!),#REF!, 0) + IF(ISNUMBER(I7), I7, 0)</f>
        <v>8</v>
      </c>
    </row>
    <row r="8" spans="1:10" ht="15.75" thickBot="1">
      <c r="A8" s="36" t="s">
        <v>122</v>
      </c>
      <c r="B8" s="15" t="s">
        <v>38</v>
      </c>
      <c r="C8" s="36">
        <f>688+161+193+145</f>
        <v>1187</v>
      </c>
      <c r="D8" s="36">
        <f>543+160+192+145</f>
        <v>1040</v>
      </c>
      <c r="E8" s="8">
        <f>IFERROR(VLOOKUP(A8,#REF!, 2,FALSE), 0)</f>
        <v>0</v>
      </c>
      <c r="F8" s="68">
        <f>IFERROR(VLOOKUP(A8,#REF!, 2,FALSE), 0)</f>
        <v>0</v>
      </c>
      <c r="G8" s="68">
        <f>E8+C8</f>
        <v>1187</v>
      </c>
      <c r="H8" s="68">
        <f>D8+F8</f>
        <v>1040</v>
      </c>
      <c r="I8" s="65">
        <f>IFERROR(VLOOKUP(A8,'[1]Horas Volte'!$A$3:$AH$32, 24,FALSE), 0)</f>
        <v>8</v>
      </c>
      <c r="J8" s="33">
        <f>IF(ISNUMBER(#REF!),#REF!, 0) + IF(ISNUMBER(I8), I8, 0)</f>
        <v>8</v>
      </c>
    </row>
    <row r="9" spans="1:10" ht="15.75" thickBot="1">
      <c r="A9" s="36" t="s">
        <v>125</v>
      </c>
      <c r="B9" s="15" t="s">
        <v>23</v>
      </c>
      <c r="C9" s="36">
        <f>1648+168+336+273</f>
        <v>2425</v>
      </c>
      <c r="D9" s="36">
        <f>1344+153+336+273</f>
        <v>2106</v>
      </c>
      <c r="E9" s="8">
        <f>IFERROR(VLOOKUP(A9,#REF!, 2,FALSE), 0)</f>
        <v>0</v>
      </c>
      <c r="F9" s="68">
        <f>IFERROR(VLOOKUP(A9,#REF!, 2,FALSE), 0)</f>
        <v>0</v>
      </c>
      <c r="G9" s="68">
        <f>E9+C9</f>
        <v>2425</v>
      </c>
      <c r="H9" s="68">
        <f>D9+F9</f>
        <v>2106</v>
      </c>
      <c r="I9" s="65">
        <f>IFERROR(VLOOKUP(A9,'[1]Horas Volte'!$A$3:$AH$32, 24,FALSE), 0)</f>
        <v>0</v>
      </c>
      <c r="J9" s="33">
        <f>IF(ISNUMBER(#REF!),#REF!, 0) + IF(ISNUMBER(I9), I9, 0)</f>
        <v>0</v>
      </c>
    </row>
    <row r="10" spans="1:10" ht="15.75" thickBot="1">
      <c r="A10" s="36" t="s">
        <v>112</v>
      </c>
      <c r="B10" s="15" t="s">
        <v>33</v>
      </c>
      <c r="C10" s="36">
        <f>1815+150+348+395</f>
        <v>2708</v>
      </c>
      <c r="D10" s="36">
        <f>1454+143+347+395</f>
        <v>2339</v>
      </c>
      <c r="E10" s="8">
        <f>IFERROR(VLOOKUP(A10,#REF!, 2,FALSE), 0)</f>
        <v>0</v>
      </c>
      <c r="F10" s="68">
        <f>IFERROR(VLOOKUP(A10,#REF!, 2,FALSE), 0)</f>
        <v>0</v>
      </c>
      <c r="G10" s="68">
        <f>E10+C10</f>
        <v>2708</v>
      </c>
      <c r="H10" s="68">
        <f>D10+F10</f>
        <v>2339</v>
      </c>
      <c r="I10" s="65">
        <f>IFERROR(VLOOKUP(A10,'[1]Horas Volte'!$A$3:$AH$32, 24,FALSE), 0)</f>
        <v>8</v>
      </c>
      <c r="J10" s="33">
        <f>IF(ISNUMBER(#REF!),#REF!, 0) + IF(ISNUMBER(I10), I10, 0)</f>
        <v>8</v>
      </c>
    </row>
    <row r="11" spans="1:10" ht="15.75" thickBot="1">
      <c r="A11" s="36" t="s">
        <v>114</v>
      </c>
      <c r="B11" s="15" t="s">
        <v>55</v>
      </c>
      <c r="C11" s="36">
        <f>742+148+252+226</f>
        <v>1368</v>
      </c>
      <c r="D11" s="36">
        <f>550+148+252+226</f>
        <v>1176</v>
      </c>
      <c r="E11" s="8">
        <f>IFERROR(VLOOKUP(A11,#REF!, 2,FALSE), 0)</f>
        <v>0</v>
      </c>
      <c r="F11" s="68">
        <f>IFERROR(VLOOKUP(A11,#REF!, 2,FALSE), 0)</f>
        <v>0</v>
      </c>
      <c r="G11" s="68">
        <f>E11+C11</f>
        <v>1368</v>
      </c>
      <c r="H11" s="68">
        <f>D11+F11</f>
        <v>1176</v>
      </c>
      <c r="I11" s="65">
        <f>IFERROR(VLOOKUP(A11,'[1]Horas Volte'!$A$3:$AH$32, 24,FALSE), 0)</f>
        <v>8</v>
      </c>
      <c r="J11" s="33">
        <f>IF(ISNUMBER(#REF!),#REF!, 0) + IF(ISNUMBER(I11), I11, 0)</f>
        <v>8</v>
      </c>
    </row>
    <row r="12" spans="1:10" ht="15.75" thickBot="1">
      <c r="A12" s="36" t="s">
        <v>115</v>
      </c>
      <c r="B12" s="15" t="s">
        <v>32</v>
      </c>
      <c r="C12" s="36">
        <v>28</v>
      </c>
      <c r="D12" s="36">
        <v>24</v>
      </c>
      <c r="E12" s="8">
        <f>IFERROR(VLOOKUP(A12,#REF!, 2,FALSE), 0)</f>
        <v>0</v>
      </c>
      <c r="F12" s="68">
        <f>IFERROR(VLOOKUP(A12,#REF!, 2,FALSE), 0)</f>
        <v>0</v>
      </c>
      <c r="G12" s="68">
        <f>E12+C12</f>
        <v>28</v>
      </c>
      <c r="H12" s="68">
        <f>D12+F12</f>
        <v>24</v>
      </c>
      <c r="I12" s="65">
        <f>IFERROR(VLOOKUP(A12,'[1]Horas Volte'!$A$3:$AH$32, 24,FALSE), 0)</f>
        <v>0</v>
      </c>
      <c r="J12" s="33">
        <f>IF(ISNUMBER(#REF!),#REF!, 0) + IF(ISNUMBER(I12), I12, 0)</f>
        <v>0</v>
      </c>
    </row>
    <row r="13" spans="1:10" ht="15.75" thickBot="1">
      <c r="A13" s="36" t="s">
        <v>118</v>
      </c>
      <c r="B13" s="15" t="s">
        <v>57</v>
      </c>
      <c r="C13" s="36">
        <f>1589+158+306</f>
        <v>2053</v>
      </c>
      <c r="D13" s="36">
        <f>1255+150+306</f>
        <v>1711</v>
      </c>
      <c r="E13" s="8">
        <f>IFERROR(VLOOKUP(A13,#REF!, 2,FALSE), 0)</f>
        <v>0</v>
      </c>
      <c r="F13" s="68">
        <f>IFERROR(VLOOKUP(A13,#REF!, 2,FALSE), 0)</f>
        <v>0</v>
      </c>
      <c r="G13" s="68">
        <f>E13+C13</f>
        <v>2053</v>
      </c>
      <c r="H13" s="68">
        <f>D13+F13</f>
        <v>1711</v>
      </c>
      <c r="I13" s="65">
        <f>IFERROR(VLOOKUP(A13,'[1]Horas Volte'!$A$3:$AH$32, 24,FALSE), 0)</f>
        <v>0</v>
      </c>
      <c r="J13" s="33">
        <f>IF(ISNUMBER(#REF!),#REF!, 0) + IF(ISNUMBER(I13), I13, 0)</f>
        <v>0</v>
      </c>
    </row>
    <row r="14" spans="1:10" ht="15.75" thickBot="1">
      <c r="A14" s="36" t="s">
        <v>123</v>
      </c>
      <c r="B14" s="15" t="s">
        <v>35</v>
      </c>
      <c r="C14" s="36">
        <f>1319+117+254+235</f>
        <v>1925</v>
      </c>
      <c r="D14" s="36">
        <f>989+99+254+235</f>
        <v>1577</v>
      </c>
      <c r="E14" s="8">
        <f>IFERROR(VLOOKUP(A14,#REF!, 2,FALSE), 0)</f>
        <v>0</v>
      </c>
      <c r="F14" s="68">
        <f>IFERROR(VLOOKUP(A14,#REF!, 2,FALSE), 0)</f>
        <v>0</v>
      </c>
      <c r="G14" s="68">
        <f>E14+C14</f>
        <v>1925</v>
      </c>
      <c r="H14" s="68">
        <f>D14+F14</f>
        <v>1577</v>
      </c>
      <c r="I14" s="65">
        <f>IFERROR(VLOOKUP(A14,'[1]Horas Volte'!$A$3:$AH$32, 24,FALSE), 0)</f>
        <v>8</v>
      </c>
      <c r="J14" s="33">
        <f>IF(ISNUMBER(#REF!),#REF!, 0) + IF(ISNUMBER(I14), I14, 0)</f>
        <v>8</v>
      </c>
    </row>
    <row r="15" spans="1:10" ht="15.75" thickBot="1">
      <c r="A15" s="36" t="s">
        <v>117</v>
      </c>
      <c r="B15" s="15" t="s">
        <v>26</v>
      </c>
      <c r="C15" s="36">
        <f>438+112</f>
        <v>550</v>
      </c>
      <c r="D15" s="36">
        <f>338+111</f>
        <v>449</v>
      </c>
      <c r="E15" s="8">
        <f>IFERROR(VLOOKUP(A15,#REF!, 2,FALSE), 0)</f>
        <v>0</v>
      </c>
      <c r="F15" s="68">
        <f>IFERROR(VLOOKUP(A15,#REF!, 2,FALSE), 0)</f>
        <v>0</v>
      </c>
      <c r="G15" s="68">
        <f>E15+C15</f>
        <v>550</v>
      </c>
      <c r="H15" s="68">
        <f>D15+F15</f>
        <v>449</v>
      </c>
      <c r="I15" s="65">
        <f>IFERROR(VLOOKUP(A15,'[1]Horas Volte'!$A$3:$AH$32, 24,FALSE), 0)</f>
        <v>8</v>
      </c>
      <c r="J15" s="33">
        <f>IF(ISNUMBER(#REF!),#REF!, 0) + IF(ISNUMBER(I15), I15, 0)</f>
        <v>8</v>
      </c>
    </row>
    <row r="16" spans="1:10" ht="15.75" thickBot="1">
      <c r="A16" s="36" t="s">
        <v>116</v>
      </c>
      <c r="B16" s="15" t="s">
        <v>36</v>
      </c>
      <c r="C16" s="36">
        <f>2060+162</f>
        <v>2222</v>
      </c>
      <c r="D16" s="36">
        <f>1657+150</f>
        <v>1807</v>
      </c>
      <c r="E16" s="8">
        <f>IFERROR(VLOOKUP(A16,#REF!, 2,FALSE), 0)</f>
        <v>0</v>
      </c>
      <c r="F16" s="68">
        <f>IFERROR(VLOOKUP(A16,#REF!, 2,FALSE), 0)</f>
        <v>0</v>
      </c>
      <c r="G16" s="68">
        <f>E16+C16</f>
        <v>2222</v>
      </c>
      <c r="H16" s="68">
        <f>D16+F16</f>
        <v>1807</v>
      </c>
      <c r="I16" s="65">
        <f>IFERROR(VLOOKUP(A16,'[1]Horas Volte'!$A$3:$AH$32, 24,FALSE), 0)</f>
        <v>5</v>
      </c>
      <c r="J16" s="33">
        <f>IF(ISNUMBER(#REF!),#REF!, 0) + IF(ISNUMBER(I16), I16, 0)</f>
        <v>5</v>
      </c>
    </row>
    <row r="17" spans="1:10" ht="15.75" thickBot="1">
      <c r="A17" s="36" t="s">
        <v>111</v>
      </c>
      <c r="B17" s="15" t="s">
        <v>14</v>
      </c>
      <c r="C17" s="36">
        <f>485+100+246+229</f>
        <v>1060</v>
      </c>
      <c r="D17" s="36">
        <f>314+73+246+229</f>
        <v>862</v>
      </c>
      <c r="E17" s="8">
        <f>IFERROR(VLOOKUP(A17,#REF!, 2,FALSE), 0)</f>
        <v>0</v>
      </c>
      <c r="F17" s="68">
        <f>IFERROR(VLOOKUP(A17,#REF!, 2,FALSE), 0)</f>
        <v>0</v>
      </c>
      <c r="G17" s="68">
        <f>E17+C17</f>
        <v>1060</v>
      </c>
      <c r="H17" s="68">
        <f>D17+F17</f>
        <v>862</v>
      </c>
      <c r="I17" s="65">
        <f>IFERROR(VLOOKUP(A17,'[1]Horas Volte'!$A$3:$AH$32, 24,FALSE), 0)</f>
        <v>5</v>
      </c>
      <c r="J17" s="33">
        <f>IF(ISNUMBER(#REF!),#REF!, 0) + IF(ISNUMBER(I17), I17, 0)</f>
        <v>5</v>
      </c>
    </row>
    <row r="18" spans="1:10" ht="15.75" thickBot="1">
      <c r="A18" s="36" t="s">
        <v>107</v>
      </c>
      <c r="B18" s="15" t="s">
        <v>29</v>
      </c>
      <c r="C18" s="36">
        <f>633+89+99+103</f>
        <v>924</v>
      </c>
      <c r="D18" s="36">
        <f>446+89+99+103</f>
        <v>737</v>
      </c>
      <c r="E18" s="8">
        <f>IFERROR(VLOOKUP(A18,#REF!, 2,FALSE), 0)</f>
        <v>0</v>
      </c>
      <c r="F18" s="68">
        <f>IFERROR(VLOOKUP(A18,#REF!, 2,FALSE), 0)</f>
        <v>0</v>
      </c>
      <c r="G18" s="68">
        <f>E18+C18</f>
        <v>924</v>
      </c>
      <c r="H18" s="68">
        <f>D18+F18</f>
        <v>737</v>
      </c>
      <c r="I18" s="65">
        <f>IFERROR(VLOOKUP(A18,'[1]Horas Volte'!$A$3:$AH$32, 24,FALSE), 0)</f>
        <v>5</v>
      </c>
      <c r="J18" s="33">
        <f>IF(ISNUMBER(#REF!),#REF!, 0) + IF(ISNUMBER(I18), I18, 0)</f>
        <v>5</v>
      </c>
    </row>
    <row r="19" spans="1:10" ht="15.75" thickBot="1">
      <c r="A19" s="36" t="s">
        <v>126</v>
      </c>
      <c r="B19" s="15" t="s">
        <v>37</v>
      </c>
      <c r="C19" s="36">
        <f>896+92+94+81</f>
        <v>1163</v>
      </c>
      <c r="D19" s="36">
        <f>643+92+94+81</f>
        <v>910</v>
      </c>
      <c r="E19" s="8">
        <f>IFERROR(VLOOKUP(A19,#REF!, 2,FALSE), 0)</f>
        <v>0</v>
      </c>
      <c r="F19" s="68">
        <f>IFERROR(VLOOKUP(A19,#REF!, 2,FALSE), 0)</f>
        <v>0</v>
      </c>
      <c r="G19" s="68">
        <f>E19+C19</f>
        <v>1163</v>
      </c>
      <c r="H19" s="68">
        <f>D19+F19</f>
        <v>910</v>
      </c>
      <c r="I19" s="65">
        <f>IFERROR(VLOOKUP(A19,'[1]Horas Volte'!$A$3:$AH$32, 24,FALSE), 0)</f>
        <v>0</v>
      </c>
      <c r="J19" s="33">
        <f>IF(ISNUMBER(#REF!),#REF!, 0) + IF(ISNUMBER(I19), I19, 0)</f>
        <v>0</v>
      </c>
    </row>
    <row r="20" spans="1:10" ht="15.75" thickBot="1">
      <c r="A20" s="36" t="s">
        <v>120</v>
      </c>
      <c r="B20" s="15" t="s">
        <v>12</v>
      </c>
      <c r="C20" s="36">
        <f>1134+206+159</f>
        <v>1499</v>
      </c>
      <c r="D20" s="36">
        <f>799+206+158</f>
        <v>1163</v>
      </c>
      <c r="E20" s="8">
        <f>IFERROR(VLOOKUP(A20,#REF!, 2,FALSE), 0)</f>
        <v>0</v>
      </c>
      <c r="F20" s="68">
        <f>IFERROR(VLOOKUP(A20,#REF!, 2,FALSE), 0)</f>
        <v>0</v>
      </c>
      <c r="G20" s="68">
        <f>E20+C20</f>
        <v>1499</v>
      </c>
      <c r="H20" s="68">
        <f>D20+F20</f>
        <v>1163</v>
      </c>
      <c r="I20" s="65">
        <f>IFERROR(VLOOKUP(A20,'[1]Horas Volte'!$A$3:$AH$32, 24,FALSE), 0)</f>
        <v>0</v>
      </c>
      <c r="J20" s="33">
        <f>IF(ISNUMBER(#REF!),#REF!, 0) + IF(ISNUMBER(I20), I20, 0)</f>
        <v>0</v>
      </c>
    </row>
    <row r="21" spans="1:10" ht="15.75" customHeight="1" thickBot="1">
      <c r="A21" s="36" t="s">
        <v>127</v>
      </c>
      <c r="B21" s="15" t="s">
        <v>59</v>
      </c>
      <c r="C21" s="36">
        <f>1118+137+310</f>
        <v>1565</v>
      </c>
      <c r="D21" s="36">
        <f>757+136+310</f>
        <v>1203</v>
      </c>
      <c r="E21" s="8">
        <f>IFERROR(VLOOKUP(A21,#REF!, 2,FALSE), 0)</f>
        <v>0</v>
      </c>
      <c r="F21" s="68">
        <f>IFERROR(VLOOKUP(A21,#REF!, 2,FALSE), 0)</f>
        <v>0</v>
      </c>
      <c r="G21" s="68">
        <f>E21+C21</f>
        <v>1565</v>
      </c>
      <c r="H21" s="68">
        <f>D21+F21</f>
        <v>1203</v>
      </c>
      <c r="I21" s="65" t="str">
        <f>IFERROR(VLOOKUP(A21,'[1]Horas Volte'!$A$3:$AH$32, 24,FALSE), 0)</f>
        <v>C.C</v>
      </c>
      <c r="J21" s="33">
        <f>IF(ISNUMBER(#REF!),#REF!, 0) + IF(ISNUMBER(I21), I21, 0)</f>
        <v>0</v>
      </c>
    </row>
    <row r="22" spans="1:10" ht="15.75" customHeight="1" thickBot="1">
      <c r="A22" s="36" t="s">
        <v>113</v>
      </c>
      <c r="B22" s="15" t="s">
        <v>60</v>
      </c>
      <c r="C22" s="36">
        <f>352+63+103</f>
        <v>518</v>
      </c>
      <c r="D22" s="36">
        <f>241+53+103</f>
        <v>397</v>
      </c>
      <c r="E22" s="8">
        <f>IFERROR(VLOOKUP(A22,#REF!, 2,FALSE), 0)</f>
        <v>0</v>
      </c>
      <c r="F22" s="68">
        <f>IFERROR(VLOOKUP(A22,#REF!, 2,FALSE), 0)</f>
        <v>0</v>
      </c>
      <c r="G22" s="68">
        <f>E22+C22</f>
        <v>518</v>
      </c>
      <c r="H22" s="68">
        <f>D22+F22</f>
        <v>397</v>
      </c>
      <c r="I22" s="65">
        <f>IFERROR(VLOOKUP(A22,'[1]Horas Volte'!$A$3:$AH$32, 24,FALSE), 0)</f>
        <v>7</v>
      </c>
      <c r="J22" s="33">
        <f>IF(ISNUMBER(#REF!),#REF!, 0) + IF(ISNUMBER(I22), I22, 0)</f>
        <v>7</v>
      </c>
    </row>
    <row r="23" spans="1:10" ht="15.75" customHeight="1" thickBot="1">
      <c r="A23" s="36" t="s">
        <v>110</v>
      </c>
      <c r="B23" s="15" t="s">
        <v>58</v>
      </c>
      <c r="C23" s="36">
        <v>1153</v>
      </c>
      <c r="D23" s="36">
        <v>879</v>
      </c>
      <c r="E23" s="8">
        <f>IFERROR(VLOOKUP(A23,#REF!, 2,FALSE), 0)</f>
        <v>0</v>
      </c>
      <c r="F23" s="68">
        <f>IFERROR(VLOOKUP(A23,#REF!, 2,FALSE), 0)</f>
        <v>0</v>
      </c>
      <c r="G23" s="68">
        <f>E23+C23</f>
        <v>1153</v>
      </c>
      <c r="H23" s="68">
        <f>D23+F23</f>
        <v>879</v>
      </c>
      <c r="I23" s="65">
        <f>IFERROR(VLOOKUP(A23,'[1]Horas Volte'!$A$3:$AH$32, 24,FALSE), 0)</f>
        <v>8</v>
      </c>
      <c r="J23" s="33">
        <f>IF(ISNUMBER(#REF!),#REF!, 0) + IF(ISNUMBER(I23), I23, 0)</f>
        <v>8</v>
      </c>
    </row>
    <row r="24" spans="1:10" ht="15.75" customHeight="1" thickBot="1">
      <c r="A24" s="39" t="s">
        <v>86</v>
      </c>
      <c r="B24" s="44" t="s">
        <v>31</v>
      </c>
      <c r="C24" s="36">
        <f>1141+112+184+141</f>
        <v>1578</v>
      </c>
      <c r="D24" s="36">
        <f>763+112+184+141</f>
        <v>1200</v>
      </c>
      <c r="E24" s="8">
        <f>IFERROR(VLOOKUP(A24,#REF!, 2,FALSE), 0)</f>
        <v>0</v>
      </c>
      <c r="F24" s="68">
        <f>IFERROR(VLOOKUP(A24,#REF!, 2,FALSE), 0)</f>
        <v>0</v>
      </c>
      <c r="G24" s="68">
        <f>E24+C24</f>
        <v>1578</v>
      </c>
      <c r="H24" s="68">
        <f>D24+F24</f>
        <v>1200</v>
      </c>
      <c r="I24" s="65">
        <f>IFERROR(VLOOKUP(A24,'[1]Horas Volte'!$A$3:$AH$32, 24,FALSE), 0)</f>
        <v>5</v>
      </c>
      <c r="J24" s="33">
        <f>IF(ISNUMBER(#REF!),#REF!, 0) + IF(ISNUMBER(I24), I24, 0)</f>
        <v>5</v>
      </c>
    </row>
    <row r="25" spans="1:10" ht="15.75" customHeight="1" thickBot="1">
      <c r="A25" s="9" t="s">
        <v>129</v>
      </c>
      <c r="B25" s="15" t="s">
        <v>28</v>
      </c>
      <c r="C25" s="36">
        <f>653+84+79</f>
        <v>816</v>
      </c>
      <c r="D25" s="36">
        <f>371+83+79</f>
        <v>533</v>
      </c>
      <c r="E25" s="8">
        <f>IFERROR(VLOOKUP(A25,#REF!, 2,FALSE), 0)</f>
        <v>0</v>
      </c>
      <c r="F25" s="68">
        <f>IFERROR(VLOOKUP(A25,#REF!, 2,FALSE), 0)</f>
        <v>0</v>
      </c>
      <c r="G25" s="68">
        <f>E25+C25</f>
        <v>816</v>
      </c>
      <c r="H25" s="68">
        <f>D25+F25</f>
        <v>533</v>
      </c>
      <c r="I25" s="65">
        <f>IFERROR(VLOOKUP(A25,'[1]Horas Volte'!$A$3:$AH$32, 24,FALSE), 0)</f>
        <v>0</v>
      </c>
      <c r="J25" s="33">
        <f>IF(ISNUMBER(#REF!),#REF!, 0) + IF(ISNUMBER(I25), I25, 0)</f>
        <v>0</v>
      </c>
    </row>
    <row r="26" spans="1:10" ht="15.75" customHeight="1" thickBot="1">
      <c r="A26" s="40" t="s">
        <v>128</v>
      </c>
      <c r="B26" s="15" t="s">
        <v>61</v>
      </c>
      <c r="C26" s="39">
        <f>1190+196</f>
        <v>1386</v>
      </c>
      <c r="D26" s="39">
        <f>708+193</f>
        <v>901</v>
      </c>
      <c r="E26" s="8">
        <f>IFERROR(VLOOKUP(A26,#REF!, 2,FALSE), 0)</f>
        <v>0</v>
      </c>
      <c r="F26" s="68">
        <f>IFERROR(VLOOKUP(A26,#REF!, 2,FALSE), 0)</f>
        <v>0</v>
      </c>
      <c r="G26" s="68">
        <f>E26+C26</f>
        <v>1386</v>
      </c>
      <c r="H26" s="68">
        <f>D26+F26</f>
        <v>901</v>
      </c>
      <c r="I26" s="65">
        <f>IFERROR(VLOOKUP(A26,'[1]Horas Volte'!$A$3:$AH$32, 24,FALSE), 0)</f>
        <v>0</v>
      </c>
      <c r="J26" s="33">
        <f>IF(ISNUMBER(#REF!),#REF!, 0) + IF(ISNUMBER(I26), I26, 0)</f>
        <v>0</v>
      </c>
    </row>
    <row r="27" spans="1:10" ht="15.75" customHeight="1" thickBot="1">
      <c r="A27" s="11" t="s">
        <v>130</v>
      </c>
      <c r="B27" s="16" t="s">
        <v>34</v>
      </c>
      <c r="C27" s="11">
        <v>221</v>
      </c>
      <c r="D27" s="11">
        <v>105</v>
      </c>
      <c r="E27" s="8">
        <f>IFERROR(VLOOKUP(A27,#REF!, 2,FALSE), 0)</f>
        <v>0</v>
      </c>
      <c r="F27" s="68">
        <f>IFERROR(VLOOKUP(A27,#REF!, 2,FALSE), 0)</f>
        <v>0</v>
      </c>
      <c r="G27" s="68">
        <f>E27+C27</f>
        <v>221</v>
      </c>
      <c r="H27" s="68">
        <f>D27+F27</f>
        <v>105</v>
      </c>
      <c r="I27" s="65">
        <f>IFERROR(VLOOKUP(A27,'[1]Horas Volte'!$A$3:$AH$32, 24,FALSE), 0)</f>
        <v>0</v>
      </c>
      <c r="J27" s="33">
        <f>IF(ISNUMBER(#REF!),#REF!, 0) + IF(ISNUMBER(I27), I27, 0)</f>
        <v>0</v>
      </c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U976"/>
  <sheetViews>
    <sheetView workbookViewId="0">
      <selection activeCell="A8" sqref="A8"/>
    </sheetView>
  </sheetViews>
  <sheetFormatPr baseColWidth="10" defaultColWidth="14.42578125" defaultRowHeight="15" customHeight="1"/>
  <cols>
    <col min="1" max="1" width="23.28515625" style="1" customWidth="1"/>
    <col min="2" max="2" width="29.7109375" style="1" bestFit="1" customWidth="1"/>
    <col min="3" max="3" width="8.85546875" style="1" bestFit="1" customWidth="1"/>
    <col min="4" max="4" width="9" style="1" bestFit="1" customWidth="1"/>
    <col min="5" max="5" width="17" style="1" bestFit="1" customWidth="1"/>
    <col min="6" max="6" width="29.85546875" style="1" customWidth="1"/>
    <col min="7" max="7" width="22.5703125" style="1" customWidth="1"/>
    <col min="8" max="8" width="20.85546875" style="1" customWidth="1"/>
    <col min="9" max="9" width="22.28515625" style="1" bestFit="1" customWidth="1"/>
    <col min="10" max="10" width="27.7109375" style="1" bestFit="1" customWidth="1"/>
    <col min="11" max="11" width="9.85546875" style="1" bestFit="1" customWidth="1"/>
    <col min="12" max="12" width="22.42578125" style="1" bestFit="1" customWidth="1"/>
    <col min="13" max="13" width="20.7109375" style="1" bestFit="1" customWidth="1"/>
    <col min="14" max="14" width="15.140625" style="1" hidden="1" customWidth="1"/>
    <col min="15" max="15" width="27.85546875" style="1" hidden="1" customWidth="1"/>
    <col min="16" max="16" width="26.140625" style="1" hidden="1" customWidth="1"/>
    <col min="17" max="17" width="20.140625" style="1" hidden="1" customWidth="1"/>
    <col min="18" max="18" width="32.85546875" style="1" hidden="1" customWidth="1"/>
    <col min="19" max="19" width="31.140625" style="1" hidden="1" customWidth="1"/>
    <col min="20" max="20" width="13.85546875" style="1" hidden="1" customWidth="1"/>
    <col min="21" max="21" width="19.28515625" style="1" hidden="1" customWidth="1"/>
    <col min="22" max="22" width="9.140625" style="1" customWidth="1"/>
    <col min="23" max="23" width="14.42578125" style="1" customWidth="1"/>
    <col min="24" max="16384" width="14.42578125" style="1"/>
  </cols>
  <sheetData>
    <row r="1" spans="1:21" thickBot="1"/>
    <row r="2" spans="1:21" ht="15.75" thickBot="1">
      <c r="A2" s="4" t="s">
        <v>101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39</v>
      </c>
      <c r="K2" s="4" t="s">
        <v>9</v>
      </c>
      <c r="L2" s="4" t="s">
        <v>10</v>
      </c>
      <c r="M2" s="4" t="s">
        <v>11</v>
      </c>
      <c r="N2" s="5" t="s">
        <v>40</v>
      </c>
      <c r="O2" s="3" t="s">
        <v>41</v>
      </c>
      <c r="P2" s="3" t="s">
        <v>42</v>
      </c>
      <c r="Q2" s="3" t="s">
        <v>43</v>
      </c>
      <c r="R2" s="3" t="s">
        <v>44</v>
      </c>
      <c r="S2" s="3" t="s">
        <v>45</v>
      </c>
      <c r="T2" s="4" t="s">
        <v>133</v>
      </c>
      <c r="U2" s="4" t="s">
        <v>134</v>
      </c>
    </row>
    <row r="3" spans="1:21" ht="15.75" thickBot="1">
      <c r="A3" s="6" t="s">
        <v>131</v>
      </c>
      <c r="B3" s="27" t="s">
        <v>30</v>
      </c>
      <c r="C3" s="6" t="s">
        <v>18</v>
      </c>
      <c r="D3" s="127">
        <f>'Horas Ordenadas'!J4</f>
        <v>56</v>
      </c>
      <c r="E3" s="7">
        <f t="shared" ref="E3:E9" si="0">(0.7*G3)+(0.3*H3)</f>
        <v>1.3959680391368101</v>
      </c>
      <c r="F3" s="28" t="str">
        <f t="shared" ref="F3:F9" si="1">IF(E3&gt;=1,"A",IF(E3&gt;=0.9,"B",IF(E3&gt;=0.8,"C","Z")))</f>
        <v>A</v>
      </c>
      <c r="G3" s="7">
        <f t="shared" ref="G3:G9" si="2">I3/2.5</f>
        <v>1.7071428571428573</v>
      </c>
      <c r="H3" s="7">
        <f t="shared" ref="H3:H9" si="3">J3/MAX($J$3:$J$8)</f>
        <v>0.66989346378936709</v>
      </c>
      <c r="I3" s="7">
        <f t="shared" ref="I3:I9" si="4">IFERROR((K3/D3), 0)</f>
        <v>4.2678571428571432</v>
      </c>
      <c r="J3" s="7">
        <f t="shared" ref="J3:J9" si="5">IFERROR((K3/M3), 0)</f>
        <v>0.33804809052333806</v>
      </c>
      <c r="K3" s="6">
        <f>133+26+33+15+32</f>
        <v>239</v>
      </c>
      <c r="L3" s="6">
        <f>1082+206+284+124+303</f>
        <v>1999</v>
      </c>
      <c r="M3" s="6">
        <f>268+103+168+74+94</f>
        <v>707</v>
      </c>
      <c r="N3" s="8">
        <f>IFERROR(VLOOKUP(A3,#REF!, 2,FALSE), 0)</f>
        <v>0</v>
      </c>
      <c r="O3" s="8">
        <f>IFERROR(VLOOKUP(A3,#REF!, 2,FALSE), 0)</f>
        <v>0</v>
      </c>
      <c r="P3" s="8">
        <f>IFERROR(VLOOKUP(B3,#REF!, 2,FALSE), 0)</f>
        <v>0</v>
      </c>
      <c r="Q3" s="13">
        <f t="shared" ref="Q3:S9" si="6">IF(ISNUMBER(K3), K3, 0) + IF(ISNUMBER(N3), N3, 0)</f>
        <v>239</v>
      </c>
      <c r="R3" s="13">
        <f t="shared" si="6"/>
        <v>1999</v>
      </c>
      <c r="S3" s="13">
        <f t="shared" si="6"/>
        <v>707</v>
      </c>
      <c r="T3" s="33">
        <f>IFERROR(VLOOKUP(A3,'[1]Horas Amazon'!$A$3:$AH$32, 24,FALSE), 0)</f>
        <v>8</v>
      </c>
      <c r="U3" s="33">
        <f>IF(ISNUMBER(D3), D3, 0) + IF(ISNUMBER(T3), T3, 0)</f>
        <v>64</v>
      </c>
    </row>
    <row r="4" spans="1:21" ht="15.75" thickBot="1">
      <c r="A4" s="9" t="s">
        <v>132</v>
      </c>
      <c r="B4" s="15" t="s">
        <v>21</v>
      </c>
      <c r="C4" s="9" t="s">
        <v>18</v>
      </c>
      <c r="D4" s="112">
        <f>'Horas Ordenadas'!J3</f>
        <v>71</v>
      </c>
      <c r="E4" s="10">
        <f t="shared" si="0"/>
        <v>1.0403166467466494</v>
      </c>
      <c r="F4" s="28" t="str">
        <f t="shared" si="1"/>
        <v>A</v>
      </c>
      <c r="G4" s="7">
        <f t="shared" si="2"/>
        <v>1.2338028169014084</v>
      </c>
      <c r="H4" s="10">
        <f t="shared" si="3"/>
        <v>0.58884891638554515</v>
      </c>
      <c r="I4" s="10">
        <f t="shared" si="4"/>
        <v>3.084507042253521</v>
      </c>
      <c r="J4" s="10">
        <f t="shared" si="5"/>
        <v>0.29715061058344638</v>
      </c>
      <c r="K4" s="9">
        <f>203+16</f>
        <v>219</v>
      </c>
      <c r="L4" s="9">
        <f>1492+151+151</f>
        <v>1794</v>
      </c>
      <c r="M4" s="9">
        <f>609+128</f>
        <v>737</v>
      </c>
      <c r="N4" s="8">
        <f>IFERROR(VLOOKUP(A4,#REF!, 2,FALSE), 0)</f>
        <v>0</v>
      </c>
      <c r="O4" s="8">
        <f>IFERROR(VLOOKUP(A4,#REF!, 2,FALSE), 0)</f>
        <v>0</v>
      </c>
      <c r="P4" s="8">
        <f>IFERROR(VLOOKUP(B4,#REF!, 2,FALSE), 0)</f>
        <v>0</v>
      </c>
      <c r="Q4" s="13">
        <f t="shared" si="6"/>
        <v>219</v>
      </c>
      <c r="R4" s="13">
        <f t="shared" si="6"/>
        <v>1794</v>
      </c>
      <c r="S4" s="13">
        <f t="shared" si="6"/>
        <v>737</v>
      </c>
      <c r="T4" s="33">
        <f>IFERROR(VLOOKUP(A4,'[1]Horas Amazon'!$A$3:$AH$32, 24,FALSE), 0)</f>
        <v>8</v>
      </c>
      <c r="U4" s="33">
        <f t="shared" ref="U4:U9" si="7">IF(ISNUMBER(D4), D4, 0) + IF(ISNUMBER(T4), T4, 0)</f>
        <v>79</v>
      </c>
    </row>
    <row r="5" spans="1:21" ht="15.75" thickBot="1">
      <c r="A5" s="9" t="s">
        <v>124</v>
      </c>
      <c r="B5" s="15" t="s">
        <v>27</v>
      </c>
      <c r="C5" s="9" t="s">
        <v>18</v>
      </c>
      <c r="D5" s="112">
        <f>'Horas Ordenadas'!J6</f>
        <v>15</v>
      </c>
      <c r="E5" s="10">
        <f t="shared" si="0"/>
        <v>1.0171675071389514</v>
      </c>
      <c r="F5" s="28" t="str">
        <f t="shared" si="1"/>
        <v>A</v>
      </c>
      <c r="G5" s="7">
        <f t="shared" si="2"/>
        <v>1.2</v>
      </c>
      <c r="H5" s="10">
        <f t="shared" si="3"/>
        <v>0.59055835712983784</v>
      </c>
      <c r="I5" s="10">
        <f t="shared" si="4"/>
        <v>3</v>
      </c>
      <c r="J5" s="10">
        <f t="shared" si="5"/>
        <v>0.29801324503311261</v>
      </c>
      <c r="K5" s="9">
        <v>45</v>
      </c>
      <c r="L5" s="9">
        <v>282</v>
      </c>
      <c r="M5" s="9">
        <v>151</v>
      </c>
      <c r="N5" s="8">
        <f>IFERROR(VLOOKUP(A5,#REF!, 2,FALSE), 0)</f>
        <v>0</v>
      </c>
      <c r="O5" s="8">
        <f>IFERROR(VLOOKUP(A5,#REF!, 2,FALSE), 0)</f>
        <v>0</v>
      </c>
      <c r="P5" s="8">
        <f>IFERROR(VLOOKUP(B5,#REF!, 2,FALSE), 0)</f>
        <v>0</v>
      </c>
      <c r="Q5" s="13">
        <f t="shared" si="6"/>
        <v>45</v>
      </c>
      <c r="R5" s="13">
        <f t="shared" si="6"/>
        <v>282</v>
      </c>
      <c r="S5" s="13">
        <f t="shared" si="6"/>
        <v>151</v>
      </c>
      <c r="T5" s="33">
        <f>IFERROR(VLOOKUP(A5,'[1]Horas Amazon'!$A$3:$AH$32, 24,FALSE), 0)</f>
        <v>6</v>
      </c>
      <c r="U5" s="33">
        <f t="shared" si="7"/>
        <v>21</v>
      </c>
    </row>
    <row r="6" spans="1:21" ht="15.75" thickBot="1">
      <c r="A6" s="9" t="s">
        <v>108</v>
      </c>
      <c r="B6" s="15" t="s">
        <v>24</v>
      </c>
      <c r="C6" s="9" t="s">
        <v>18</v>
      </c>
      <c r="D6" s="112">
        <f>'Horas Ordenadas'!J5</f>
        <v>79</v>
      </c>
      <c r="E6" s="10">
        <f t="shared" si="0"/>
        <v>0.99061195324721452</v>
      </c>
      <c r="F6" s="28" t="str">
        <f t="shared" si="1"/>
        <v>B</v>
      </c>
      <c r="G6" s="7">
        <f t="shared" si="2"/>
        <v>1.2506329113924051</v>
      </c>
      <c r="H6" s="10">
        <f t="shared" si="3"/>
        <v>0.38389638424177008</v>
      </c>
      <c r="I6" s="10">
        <f t="shared" si="4"/>
        <v>3.1265822784810124</v>
      </c>
      <c r="J6" s="10">
        <f t="shared" si="5"/>
        <v>0.19372549019607843</v>
      </c>
      <c r="K6" s="9">
        <f>188+18+17+24</f>
        <v>247</v>
      </c>
      <c r="L6" s="9">
        <f>1500+224+340+338</f>
        <v>2402</v>
      </c>
      <c r="M6" s="9">
        <f>536+212+330+197</f>
        <v>1275</v>
      </c>
      <c r="N6" s="8">
        <f>IFERROR(VLOOKUP(A6,#REF!, 2,FALSE), 0)</f>
        <v>0</v>
      </c>
      <c r="O6" s="8">
        <f>IFERROR(VLOOKUP(A6,#REF!, 2,FALSE), 0)</f>
        <v>0</v>
      </c>
      <c r="P6" s="8">
        <f>IFERROR(VLOOKUP(B6,#REF!, 2,FALSE), 0)</f>
        <v>0</v>
      </c>
      <c r="Q6" s="13">
        <f t="shared" si="6"/>
        <v>247</v>
      </c>
      <c r="R6" s="13">
        <f t="shared" si="6"/>
        <v>2402</v>
      </c>
      <c r="S6" s="13">
        <f t="shared" si="6"/>
        <v>1275</v>
      </c>
      <c r="T6" s="33" t="str">
        <f>IFERROR(VLOOKUP(A6,'[1]Horas Amazon'!$A$3:$AH$32, 24,FALSE), 0)</f>
        <v>VAC</v>
      </c>
      <c r="U6" s="33">
        <f t="shared" si="7"/>
        <v>79</v>
      </c>
    </row>
    <row r="7" spans="1:21" ht="15.75" thickBot="1">
      <c r="A7" s="9" t="s">
        <v>119</v>
      </c>
      <c r="B7" s="15" t="s">
        <v>15</v>
      </c>
      <c r="C7" s="9" t="s">
        <v>13</v>
      </c>
      <c r="D7" s="112">
        <f>'Horas Ordenadas'!J19</f>
        <v>47</v>
      </c>
      <c r="E7" s="10">
        <f t="shared" si="0"/>
        <v>0.94936170212765947</v>
      </c>
      <c r="F7" s="28" t="str">
        <f t="shared" si="1"/>
        <v>B</v>
      </c>
      <c r="G7" s="7">
        <f t="shared" si="2"/>
        <v>0.92765957446808511</v>
      </c>
      <c r="H7" s="10">
        <f t="shared" si="3"/>
        <v>1</v>
      </c>
      <c r="I7" s="10">
        <f t="shared" si="4"/>
        <v>2.3191489361702127</v>
      </c>
      <c r="J7" s="10">
        <f t="shared" si="5"/>
        <v>0.50462962962962965</v>
      </c>
      <c r="K7" s="9">
        <v>109</v>
      </c>
      <c r="L7" s="9">
        <v>629</v>
      </c>
      <c r="M7" s="9">
        <v>216</v>
      </c>
      <c r="N7" s="8">
        <f>IFERROR(VLOOKUP(A7,#REF!, 2,FALSE), 0)</f>
        <v>0</v>
      </c>
      <c r="O7" s="8">
        <f>IFERROR(VLOOKUP(A7,#REF!, 2,FALSE), 0)</f>
        <v>0</v>
      </c>
      <c r="P7" s="8">
        <f>IFERROR(VLOOKUP(B7,#REF!, 2,FALSE), 0)</f>
        <v>0</v>
      </c>
      <c r="Q7" s="13">
        <f t="shared" si="6"/>
        <v>109</v>
      </c>
      <c r="R7" s="13">
        <f t="shared" si="6"/>
        <v>629</v>
      </c>
      <c r="S7" s="13">
        <f t="shared" si="6"/>
        <v>216</v>
      </c>
      <c r="T7" s="33" t="str">
        <f>IFERROR(VLOOKUP(A7,'[1]Horas Amazon'!$A$3:$AH$32, 24,FALSE), 0)</f>
        <v>X</v>
      </c>
      <c r="U7" s="33">
        <f t="shared" si="7"/>
        <v>47</v>
      </c>
    </row>
    <row r="8" spans="1:21" ht="15.75" thickBot="1">
      <c r="A8" s="9" t="s">
        <v>130</v>
      </c>
      <c r="B8" s="15" t="s">
        <v>46</v>
      </c>
      <c r="C8" s="9" t="s">
        <v>13</v>
      </c>
      <c r="D8" s="112">
        <f>'Horas Ordenadas'!J12</f>
        <v>35</v>
      </c>
      <c r="E8" s="10">
        <f t="shared" si="0"/>
        <v>0.76911898944262591</v>
      </c>
      <c r="F8" s="28" t="str">
        <f t="shared" si="1"/>
        <v>Z</v>
      </c>
      <c r="G8" s="7">
        <f t="shared" si="2"/>
        <v>0.8</v>
      </c>
      <c r="H8" s="10">
        <f t="shared" si="3"/>
        <v>0.69706329814208656</v>
      </c>
      <c r="I8" s="10">
        <f t="shared" si="4"/>
        <v>2</v>
      </c>
      <c r="J8" s="10">
        <f t="shared" si="5"/>
        <v>0.35175879396984927</v>
      </c>
      <c r="K8" s="9">
        <v>70</v>
      </c>
      <c r="L8" s="9">
        <v>659</v>
      </c>
      <c r="M8" s="9">
        <v>199</v>
      </c>
      <c r="N8" s="8">
        <f>IFERROR(VLOOKUP(A8,#REF!, 2,FALSE), 0)</f>
        <v>0</v>
      </c>
      <c r="O8" s="8">
        <f>IFERROR(VLOOKUP(A8,#REF!, 2,FALSE), 0)</f>
        <v>0</v>
      </c>
      <c r="P8" s="8">
        <f>IFERROR(VLOOKUP(B8,#REF!, 2,FALSE), 0)</f>
        <v>0</v>
      </c>
      <c r="Q8" s="13">
        <f t="shared" si="6"/>
        <v>70</v>
      </c>
      <c r="R8" s="13">
        <f t="shared" si="6"/>
        <v>659</v>
      </c>
      <c r="S8" s="13">
        <f t="shared" si="6"/>
        <v>199</v>
      </c>
      <c r="T8" s="33">
        <f>IFERROR(VLOOKUP(A8,'[1]Horas Amazon'!$A$3:$AH$32, 24,FALSE), 0)</f>
        <v>0</v>
      </c>
      <c r="U8" s="33">
        <f t="shared" si="7"/>
        <v>35</v>
      </c>
    </row>
    <row r="9" spans="1:21" ht="15.75" customHeight="1" thickBot="1">
      <c r="A9" s="11" t="s">
        <v>120</v>
      </c>
      <c r="B9" s="16" t="s">
        <v>34</v>
      </c>
      <c r="C9" s="11" t="s">
        <v>13</v>
      </c>
      <c r="D9" s="126">
        <f>'Horas Ordenadas'!J8</f>
        <v>70</v>
      </c>
      <c r="E9" s="12">
        <f t="shared" si="0"/>
        <v>0.71918521073325503</v>
      </c>
      <c r="F9" s="29" t="str">
        <f t="shared" si="1"/>
        <v>Z</v>
      </c>
      <c r="G9" s="69">
        <f t="shared" si="2"/>
        <v>0.74857142857142855</v>
      </c>
      <c r="H9" s="12">
        <f t="shared" si="3"/>
        <v>0.65061736911085044</v>
      </c>
      <c r="I9" s="12">
        <f t="shared" si="4"/>
        <v>1.8714285714285714</v>
      </c>
      <c r="J9" s="12">
        <f t="shared" si="5"/>
        <v>0.32832080200501251</v>
      </c>
      <c r="K9" s="11">
        <f>104+14+13</f>
        <v>131</v>
      </c>
      <c r="L9" s="11">
        <f>1168+125+143</f>
        <v>1436</v>
      </c>
      <c r="M9" s="11">
        <f>328+39+32</f>
        <v>399</v>
      </c>
      <c r="N9" s="8">
        <f>IFERROR(VLOOKUP(A9,#REF!, 2,FALSE), 0)</f>
        <v>0</v>
      </c>
      <c r="O9" s="8">
        <f>IFERROR(VLOOKUP(A9,#REF!, 2,FALSE), 0)</f>
        <v>0</v>
      </c>
      <c r="P9" s="8">
        <f>IFERROR(VLOOKUP(B9,#REF!, 2,FALSE), 0)</f>
        <v>0</v>
      </c>
      <c r="Q9" s="13">
        <f t="shared" si="6"/>
        <v>131</v>
      </c>
      <c r="R9" s="13">
        <f t="shared" si="6"/>
        <v>1436</v>
      </c>
      <c r="S9" s="13">
        <f t="shared" si="6"/>
        <v>399</v>
      </c>
      <c r="T9" s="33">
        <f>IFERROR(VLOOKUP(A9,'[1]Horas Amazon'!$A$3:$AH$32, 24,FALSE), 0)</f>
        <v>0</v>
      </c>
      <c r="U9" s="33">
        <f t="shared" si="7"/>
        <v>70</v>
      </c>
    </row>
    <row r="10" spans="1:21" ht="15.75" customHeight="1"/>
    <row r="11" spans="1:21" ht="15.75" customHeight="1"/>
    <row r="12" spans="1:21" ht="15.75" customHeight="1"/>
    <row r="13" spans="1:21" ht="15.75" customHeight="1"/>
    <row r="14" spans="1:21" ht="15.75" customHeight="1"/>
    <row r="15" spans="1:21" ht="15.75" customHeight="1"/>
    <row r="16" spans="1:2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sortState ref="B3:M9">
    <sortCondition descending="1" ref="E3:E9"/>
  </sortState>
  <conditionalFormatting sqref="F1:F2 F10:F1048576">
    <cfRule type="cellIs" dxfId="15" priority="5" operator="equal">
      <formula>"Z"</formula>
    </cfRule>
    <cfRule type="cellIs" dxfId="14" priority="6" operator="equal">
      <formula>"C"</formula>
    </cfRule>
    <cfRule type="cellIs" dxfId="13" priority="7" operator="equal">
      <formula>"B"</formula>
    </cfRule>
    <cfRule type="cellIs" dxfId="12" priority="8" operator="equal">
      <formula>"A"</formula>
    </cfRule>
  </conditionalFormatting>
  <conditionalFormatting sqref="F3:F9">
    <cfRule type="cellIs" dxfId="11" priority="1" operator="equal">
      <formula>"B"</formula>
    </cfRule>
    <cfRule type="cellIs" dxfId="10" priority="2" operator="equal">
      <formula>"A"</formula>
    </cfRule>
    <cfRule type="cellIs" dxfId="9" priority="3" operator="equal">
      <formula>"Z"</formula>
    </cfRule>
    <cfRule type="cellIs" dxfId="8" priority="4" operator="equal">
      <formula>"C"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P992"/>
  <sheetViews>
    <sheetView topLeftCell="B1" workbookViewId="0">
      <selection activeCell="D28" sqref="D28"/>
    </sheetView>
  </sheetViews>
  <sheetFormatPr baseColWidth="10" defaultColWidth="14.42578125" defaultRowHeight="15" customHeight="1"/>
  <cols>
    <col min="1" max="1" width="25.28515625" style="1" hidden="1" customWidth="1"/>
    <col min="2" max="2" width="28.42578125" style="1" bestFit="1" customWidth="1"/>
    <col min="3" max="3" width="8.85546875" style="1" bestFit="1" customWidth="1"/>
    <col min="4" max="4" width="9" style="1" bestFit="1" customWidth="1"/>
    <col min="5" max="5" width="17" style="1" bestFit="1" customWidth="1"/>
    <col min="6" max="6" width="29.85546875" style="1" bestFit="1" customWidth="1"/>
    <col min="7" max="7" width="55.28515625" style="1" hidden="1" customWidth="1"/>
    <col min="8" max="8" width="17.85546875" style="1" bestFit="1" customWidth="1"/>
    <col min="9" max="9" width="13" style="1" bestFit="1" customWidth="1"/>
    <col min="10" max="10" width="26.140625" style="1" customWidth="1"/>
    <col min="11" max="11" width="23.140625" style="1" hidden="1" customWidth="1"/>
    <col min="12" max="12" width="18.5703125" style="1" hidden="1" customWidth="1"/>
    <col min="13" max="13" width="28.5703125" style="1" hidden="1" customWidth="1"/>
    <col min="14" max="14" width="24" style="1" hidden="1" customWidth="1"/>
    <col min="15" max="15" width="14.42578125" style="1" hidden="1" customWidth="1"/>
    <col min="16" max="16" width="18.7109375" style="1" hidden="1" customWidth="1"/>
    <col min="17" max="17" width="14.42578125" style="1" customWidth="1"/>
    <col min="18" max="16384" width="14.42578125" style="1"/>
  </cols>
  <sheetData>
    <row r="1" spans="1:16" ht="15.75" customHeight="1" thickBot="1"/>
    <row r="2" spans="1:16" ht="15.75" thickBot="1">
      <c r="A2" s="4" t="s">
        <v>101</v>
      </c>
      <c r="B2" s="30" t="s">
        <v>0</v>
      </c>
      <c r="C2" s="4" t="s">
        <v>1</v>
      </c>
      <c r="D2" s="31" t="s">
        <v>2</v>
      </c>
      <c r="E2" s="31" t="s">
        <v>3</v>
      </c>
      <c r="F2" s="31" t="s">
        <v>4</v>
      </c>
      <c r="G2" s="31" t="s">
        <v>47</v>
      </c>
      <c r="H2" s="32" t="s">
        <v>48</v>
      </c>
      <c r="I2" s="4" t="s">
        <v>49</v>
      </c>
      <c r="J2" s="4" t="s">
        <v>50</v>
      </c>
      <c r="K2" s="66" t="s">
        <v>51</v>
      </c>
      <c r="L2" s="67" t="s">
        <v>52</v>
      </c>
      <c r="M2" s="66" t="s">
        <v>53</v>
      </c>
      <c r="N2" s="67" t="s">
        <v>54</v>
      </c>
      <c r="O2" s="31" t="s">
        <v>133</v>
      </c>
      <c r="P2" s="31" t="s">
        <v>134</v>
      </c>
    </row>
    <row r="3" spans="1:16" ht="15.75" thickBot="1">
      <c r="A3" s="33" t="s">
        <v>108</v>
      </c>
      <c r="B3" s="27" t="s">
        <v>27</v>
      </c>
      <c r="C3" s="33" t="s">
        <v>18</v>
      </c>
      <c r="D3" s="128">
        <f>'Horas Ordenadas'!N13</f>
        <v>16</v>
      </c>
      <c r="E3" s="34">
        <f t="shared" ref="E3:E27" si="0">+I3/H3</f>
        <v>1</v>
      </c>
      <c r="F3" s="45" t="str">
        <f t="shared" ref="F3:F27" si="1">IF(E3&gt;=0.85,"A",IF(E3&gt;=0.75,"B",IF(E3&gt;=0.65,"C","Z")))</f>
        <v>A</v>
      </c>
      <c r="G3" s="35">
        <f t="shared" ref="G3:G27" si="2">J3/15</f>
        <v>0.39166666666666666</v>
      </c>
      <c r="H3" s="33">
        <f>21+73</f>
        <v>94</v>
      </c>
      <c r="I3" s="33">
        <f>21+73</f>
        <v>94</v>
      </c>
      <c r="J3" s="7">
        <f t="shared" ref="J3:J27" si="3">I3/D3</f>
        <v>5.875</v>
      </c>
      <c r="K3" s="8">
        <f>IFERROR(VLOOKUP(A3,#REF!, 2,FALSE), 0)</f>
        <v>0</v>
      </c>
      <c r="L3" s="68">
        <f>IFERROR(VLOOKUP(A3,#REF!, 2,FALSE), 0)</f>
        <v>0</v>
      </c>
      <c r="M3" s="68">
        <f t="shared" ref="M3:M27" si="4">K3+H3</f>
        <v>94</v>
      </c>
      <c r="N3" s="68">
        <f t="shared" ref="N3:N27" si="5">I3+L3</f>
        <v>94</v>
      </c>
      <c r="O3" s="65" t="str">
        <f>IFERROR(VLOOKUP(A3,'[1]Horas Volte'!$A$3:$AH$32, 24,FALSE), 0)</f>
        <v>VAC</v>
      </c>
      <c r="P3" s="33">
        <f t="shared" ref="P3:P27" si="6">IF(ISNUMBER(D3), D3, 0) + IF(ISNUMBER(O3), O3, 0)</f>
        <v>16</v>
      </c>
    </row>
    <row r="4" spans="1:16" ht="15.75" thickBot="1">
      <c r="A4" s="36" t="s">
        <v>109</v>
      </c>
      <c r="B4" s="15" t="s">
        <v>24</v>
      </c>
      <c r="C4" s="36" t="s">
        <v>18</v>
      </c>
      <c r="D4" s="129">
        <f>'Horas Ordenadas'!N10</f>
        <v>11</v>
      </c>
      <c r="E4" s="37">
        <f t="shared" si="0"/>
        <v>0.98019801980198018</v>
      </c>
      <c r="F4" s="45" t="str">
        <f t="shared" si="1"/>
        <v>A</v>
      </c>
      <c r="G4" s="38">
        <f t="shared" si="2"/>
        <v>0.6</v>
      </c>
      <c r="H4" s="36">
        <v>101</v>
      </c>
      <c r="I4" s="36">
        <v>99</v>
      </c>
      <c r="J4" s="10">
        <f t="shared" si="3"/>
        <v>9</v>
      </c>
      <c r="K4" s="8">
        <f>IFERROR(VLOOKUP(A4,#REF!, 2,FALSE), 0)</f>
        <v>0</v>
      </c>
      <c r="L4" s="68">
        <f>IFERROR(VLOOKUP(A4,#REF!, 2,FALSE), 0)</f>
        <v>0</v>
      </c>
      <c r="M4" s="68">
        <f t="shared" si="4"/>
        <v>101</v>
      </c>
      <c r="N4" s="68">
        <f t="shared" si="5"/>
        <v>99</v>
      </c>
      <c r="O4" s="65">
        <f>IFERROR(VLOOKUP(A4,'[1]Horas Volte'!$A$3:$AH$32, 24,FALSE), 0)</f>
        <v>0</v>
      </c>
      <c r="P4" s="33">
        <f t="shared" si="6"/>
        <v>11</v>
      </c>
    </row>
    <row r="5" spans="1:16" ht="15.75" thickBot="1">
      <c r="A5" s="36" t="s">
        <v>124</v>
      </c>
      <c r="B5" s="15" t="s">
        <v>56</v>
      </c>
      <c r="C5" s="36" t="s">
        <v>18</v>
      </c>
      <c r="D5" s="129">
        <f>'Horas Ordenadas'!N5</f>
        <v>7</v>
      </c>
      <c r="E5" s="37">
        <f t="shared" si="0"/>
        <v>0.96923076923076923</v>
      </c>
      <c r="F5" s="45" t="str">
        <f t="shared" si="1"/>
        <v>A</v>
      </c>
      <c r="G5" s="38">
        <f t="shared" si="2"/>
        <v>0.6</v>
      </c>
      <c r="H5" s="36">
        <v>65</v>
      </c>
      <c r="I5" s="36">
        <v>63</v>
      </c>
      <c r="J5" s="10">
        <f t="shared" si="3"/>
        <v>9</v>
      </c>
      <c r="K5" s="8">
        <f>IFERROR(VLOOKUP(A5,#REF!, 2,FALSE), 0)</f>
        <v>0</v>
      </c>
      <c r="L5" s="68">
        <f>IFERROR(VLOOKUP(A5,#REF!, 2,FALSE), 0)</f>
        <v>0</v>
      </c>
      <c r="M5" s="68">
        <f t="shared" si="4"/>
        <v>65</v>
      </c>
      <c r="N5" s="68">
        <f t="shared" si="5"/>
        <v>63</v>
      </c>
      <c r="O5" s="65">
        <f>IFERROR(VLOOKUP(A5,'[1]Horas Volte'!$A$3:$AH$32, 24,FALSE), 0)</f>
        <v>0</v>
      </c>
      <c r="P5" s="33">
        <f t="shared" si="6"/>
        <v>7</v>
      </c>
    </row>
    <row r="6" spans="1:16" ht="15.75" thickBot="1">
      <c r="A6" s="36" t="s">
        <v>121</v>
      </c>
      <c r="B6" s="15" t="s">
        <v>20</v>
      </c>
      <c r="C6" s="36" t="s">
        <v>18</v>
      </c>
      <c r="D6" s="129">
        <f>'Horas Ordenadas'!N21</f>
        <v>66</v>
      </c>
      <c r="E6" s="37">
        <f t="shared" si="0"/>
        <v>0.96081977094635318</v>
      </c>
      <c r="F6" s="45" t="str">
        <f t="shared" si="1"/>
        <v>A</v>
      </c>
      <c r="G6" s="38">
        <f t="shared" si="2"/>
        <v>1.6101010101010103</v>
      </c>
      <c r="H6" s="36">
        <f>796+229+312+322</f>
        <v>1659</v>
      </c>
      <c r="I6" s="36">
        <f>735+227+311+321</f>
        <v>1594</v>
      </c>
      <c r="J6" s="10">
        <f t="shared" si="3"/>
        <v>24.151515151515152</v>
      </c>
      <c r="K6" s="8">
        <f>IFERROR(VLOOKUP(A6,#REF!, 2,FALSE), 0)</f>
        <v>0</v>
      </c>
      <c r="L6" s="68">
        <f>IFERROR(VLOOKUP(A6,#REF!, 2,FALSE), 0)</f>
        <v>0</v>
      </c>
      <c r="M6" s="68">
        <f t="shared" si="4"/>
        <v>1659</v>
      </c>
      <c r="N6" s="68">
        <f t="shared" si="5"/>
        <v>1594</v>
      </c>
      <c r="O6" s="65">
        <f>IFERROR(VLOOKUP(A6,'[1]Horas Volte'!$A$3:$AH$32, 24,FALSE), 0)</f>
        <v>8</v>
      </c>
      <c r="P6" s="33">
        <f t="shared" si="6"/>
        <v>74</v>
      </c>
    </row>
    <row r="7" spans="1:16" ht="15.75" thickBot="1">
      <c r="A7" s="36" t="s">
        <v>119</v>
      </c>
      <c r="B7" s="15" t="s">
        <v>15</v>
      </c>
      <c r="C7" s="36" t="s">
        <v>13</v>
      </c>
      <c r="D7" s="70">
        <v>63</v>
      </c>
      <c r="E7" s="37">
        <f t="shared" si="0"/>
        <v>0.92349726775956287</v>
      </c>
      <c r="F7" s="45" t="str">
        <f t="shared" si="1"/>
        <v>A</v>
      </c>
      <c r="G7" s="38">
        <f t="shared" si="2"/>
        <v>0.89417989417989419</v>
      </c>
      <c r="H7" s="36">
        <f>503+127+285</f>
        <v>915</v>
      </c>
      <c r="I7" s="36">
        <f>439+122+284</f>
        <v>845</v>
      </c>
      <c r="J7" s="10">
        <f t="shared" si="3"/>
        <v>13.412698412698413</v>
      </c>
      <c r="K7" s="8">
        <f>IFERROR(VLOOKUP(A7,#REF!, 2,FALSE), 0)</f>
        <v>0</v>
      </c>
      <c r="L7" s="68">
        <f>IFERROR(VLOOKUP(A7,#REF!, 2,FALSE), 0)</f>
        <v>0</v>
      </c>
      <c r="M7" s="68">
        <f t="shared" si="4"/>
        <v>915</v>
      </c>
      <c r="N7" s="68">
        <f t="shared" si="5"/>
        <v>845</v>
      </c>
      <c r="O7" s="65">
        <f>IFERROR(VLOOKUP(A7,'[1]Horas Volte'!$A$3:$AH$32, 24,FALSE), 0)</f>
        <v>8</v>
      </c>
      <c r="P7" s="33">
        <f t="shared" si="6"/>
        <v>71</v>
      </c>
    </row>
    <row r="8" spans="1:16" ht="15.75" thickBot="1">
      <c r="A8" s="36" t="s">
        <v>122</v>
      </c>
      <c r="B8" s="15" t="s">
        <v>38</v>
      </c>
      <c r="C8" s="36" t="s">
        <v>18</v>
      </c>
      <c r="D8" s="129">
        <f>'Horas Ordenadas'!N12</f>
        <v>68</v>
      </c>
      <c r="E8" s="37">
        <f t="shared" si="0"/>
        <v>0.87615838247683231</v>
      </c>
      <c r="F8" s="45" t="str">
        <f t="shared" si="1"/>
        <v>A</v>
      </c>
      <c r="G8" s="38">
        <f t="shared" si="2"/>
        <v>1.0196078431372551</v>
      </c>
      <c r="H8" s="36">
        <f>688+161+193+145</f>
        <v>1187</v>
      </c>
      <c r="I8" s="36">
        <f>543+160+192+145</f>
        <v>1040</v>
      </c>
      <c r="J8" s="10">
        <f t="shared" si="3"/>
        <v>15.294117647058824</v>
      </c>
      <c r="K8" s="8">
        <f>IFERROR(VLOOKUP(A8,#REF!, 2,FALSE), 0)</f>
        <v>0</v>
      </c>
      <c r="L8" s="68">
        <f>IFERROR(VLOOKUP(A8,#REF!, 2,FALSE), 0)</f>
        <v>0</v>
      </c>
      <c r="M8" s="68">
        <f t="shared" si="4"/>
        <v>1187</v>
      </c>
      <c r="N8" s="68">
        <f t="shared" si="5"/>
        <v>1040</v>
      </c>
      <c r="O8" s="65">
        <f>IFERROR(VLOOKUP(A8,'[1]Horas Volte'!$A$3:$AH$32, 24,FALSE), 0)</f>
        <v>8</v>
      </c>
      <c r="P8" s="33">
        <f t="shared" si="6"/>
        <v>76</v>
      </c>
    </row>
    <row r="9" spans="1:16" ht="15.75" thickBot="1">
      <c r="A9" s="36" t="s">
        <v>125</v>
      </c>
      <c r="B9" s="15" t="s">
        <v>23</v>
      </c>
      <c r="C9" s="36" t="s">
        <v>13</v>
      </c>
      <c r="D9" s="129">
        <f>'Horas Ordenadas'!N25</f>
        <v>113</v>
      </c>
      <c r="E9" s="37">
        <f t="shared" si="0"/>
        <v>0.86845360824742268</v>
      </c>
      <c r="F9" s="45" t="str">
        <f t="shared" si="1"/>
        <v>A</v>
      </c>
      <c r="G9" s="38">
        <f t="shared" si="2"/>
        <v>1.2424778761061945</v>
      </c>
      <c r="H9" s="36">
        <f>1648+168+336+273</f>
        <v>2425</v>
      </c>
      <c r="I9" s="36">
        <f>1344+153+336+273</f>
        <v>2106</v>
      </c>
      <c r="J9" s="10">
        <f t="shared" si="3"/>
        <v>18.63716814159292</v>
      </c>
      <c r="K9" s="8">
        <f>IFERROR(VLOOKUP(A9,#REF!, 2,FALSE), 0)</f>
        <v>0</v>
      </c>
      <c r="L9" s="68">
        <f>IFERROR(VLOOKUP(A9,#REF!, 2,FALSE), 0)</f>
        <v>0</v>
      </c>
      <c r="M9" s="68">
        <f t="shared" si="4"/>
        <v>2425</v>
      </c>
      <c r="N9" s="68">
        <f t="shared" si="5"/>
        <v>2106</v>
      </c>
      <c r="O9" s="65">
        <f>IFERROR(VLOOKUP(A9,'[1]Horas Volte'!$A$3:$AH$32, 24,FALSE), 0)</f>
        <v>0</v>
      </c>
      <c r="P9" s="33">
        <f t="shared" si="6"/>
        <v>113</v>
      </c>
    </row>
    <row r="10" spans="1:16" ht="15.75" thickBot="1">
      <c r="A10" s="36" t="s">
        <v>112</v>
      </c>
      <c r="B10" s="15" t="s">
        <v>33</v>
      </c>
      <c r="C10" s="36" t="s">
        <v>13</v>
      </c>
      <c r="D10" s="129">
        <f>'Horas Ordenadas'!N27</f>
        <v>93</v>
      </c>
      <c r="E10" s="37">
        <f t="shared" si="0"/>
        <v>0.86373707533234856</v>
      </c>
      <c r="F10" s="45" t="str">
        <f t="shared" si="1"/>
        <v>A</v>
      </c>
      <c r="G10" s="38">
        <f t="shared" si="2"/>
        <v>1.6767025089605736</v>
      </c>
      <c r="H10" s="36">
        <f>1815+150+348+395</f>
        <v>2708</v>
      </c>
      <c r="I10" s="36">
        <f>1454+143+347+395</f>
        <v>2339</v>
      </c>
      <c r="J10" s="10">
        <f t="shared" si="3"/>
        <v>25.150537634408604</v>
      </c>
      <c r="K10" s="8">
        <f>IFERROR(VLOOKUP(A10,#REF!, 2,FALSE), 0)</f>
        <v>0</v>
      </c>
      <c r="L10" s="68">
        <f>IFERROR(VLOOKUP(A10,#REF!, 2,FALSE), 0)</f>
        <v>0</v>
      </c>
      <c r="M10" s="68">
        <f t="shared" si="4"/>
        <v>2708</v>
      </c>
      <c r="N10" s="68">
        <f t="shared" si="5"/>
        <v>2339</v>
      </c>
      <c r="O10" s="65">
        <f>IFERROR(VLOOKUP(A10,'[1]Horas Volte'!$A$3:$AH$32, 24,FALSE), 0)</f>
        <v>8</v>
      </c>
      <c r="P10" s="33">
        <f t="shared" si="6"/>
        <v>101</v>
      </c>
    </row>
    <row r="11" spans="1:16" ht="15.75" thickBot="1">
      <c r="A11" s="36" t="s">
        <v>114</v>
      </c>
      <c r="B11" s="15" t="s">
        <v>55</v>
      </c>
      <c r="C11" s="36" t="s">
        <v>18</v>
      </c>
      <c r="D11" s="129">
        <f>'Horas Ordenadas'!N6</f>
        <v>61</v>
      </c>
      <c r="E11" s="37">
        <f t="shared" si="0"/>
        <v>0.85964912280701755</v>
      </c>
      <c r="F11" s="45" t="str">
        <f t="shared" si="1"/>
        <v>A</v>
      </c>
      <c r="G11" s="38">
        <f t="shared" si="2"/>
        <v>1.285245901639344</v>
      </c>
      <c r="H11" s="36">
        <f>742+148+252+226</f>
        <v>1368</v>
      </c>
      <c r="I11" s="36">
        <f>550+148+252+226</f>
        <v>1176</v>
      </c>
      <c r="J11" s="10">
        <f t="shared" si="3"/>
        <v>19.278688524590162</v>
      </c>
      <c r="K11" s="8">
        <f>IFERROR(VLOOKUP(A11,#REF!, 2,FALSE), 0)</f>
        <v>0</v>
      </c>
      <c r="L11" s="68">
        <f>IFERROR(VLOOKUP(A11,#REF!, 2,FALSE), 0)</f>
        <v>0</v>
      </c>
      <c r="M11" s="68">
        <f t="shared" si="4"/>
        <v>1368</v>
      </c>
      <c r="N11" s="68">
        <f t="shared" si="5"/>
        <v>1176</v>
      </c>
      <c r="O11" s="65">
        <f>IFERROR(VLOOKUP(A11,'[1]Horas Volte'!$A$3:$AH$32, 24,FALSE), 0)</f>
        <v>8</v>
      </c>
      <c r="P11" s="33">
        <f t="shared" si="6"/>
        <v>69</v>
      </c>
    </row>
    <row r="12" spans="1:16" ht="15.75" thickBot="1">
      <c r="A12" s="36" t="s">
        <v>115</v>
      </c>
      <c r="B12" s="15" t="s">
        <v>32</v>
      </c>
      <c r="C12" s="36" t="s">
        <v>18</v>
      </c>
      <c r="D12" s="70">
        <v>5</v>
      </c>
      <c r="E12" s="37">
        <f t="shared" si="0"/>
        <v>0.8571428571428571</v>
      </c>
      <c r="F12" s="45" t="str">
        <f t="shared" si="1"/>
        <v>A</v>
      </c>
      <c r="G12" s="38">
        <f t="shared" si="2"/>
        <v>0.32</v>
      </c>
      <c r="H12" s="36">
        <v>28</v>
      </c>
      <c r="I12" s="36">
        <v>24</v>
      </c>
      <c r="J12" s="10">
        <f t="shared" si="3"/>
        <v>4.8</v>
      </c>
      <c r="K12" s="8">
        <f>IFERROR(VLOOKUP(A12,#REF!, 2,FALSE), 0)</f>
        <v>0</v>
      </c>
      <c r="L12" s="68">
        <f>IFERROR(VLOOKUP(A12,#REF!, 2,FALSE), 0)</f>
        <v>0</v>
      </c>
      <c r="M12" s="68">
        <f t="shared" si="4"/>
        <v>28</v>
      </c>
      <c r="N12" s="68">
        <f t="shared" si="5"/>
        <v>24</v>
      </c>
      <c r="O12" s="65">
        <f>IFERROR(VLOOKUP(A12,'[1]Horas Volte'!$A$3:$AH$32, 24,FALSE), 0)</f>
        <v>0</v>
      </c>
      <c r="P12" s="33">
        <f t="shared" si="6"/>
        <v>5</v>
      </c>
    </row>
    <row r="13" spans="1:16" ht="15.75" thickBot="1">
      <c r="A13" s="36" t="s">
        <v>118</v>
      </c>
      <c r="B13" s="15" t="s">
        <v>57</v>
      </c>
      <c r="C13" s="36" t="s">
        <v>13</v>
      </c>
      <c r="D13" s="129">
        <f>'Horas Ordenadas'!N28</f>
        <v>105</v>
      </c>
      <c r="E13" s="37">
        <f t="shared" si="0"/>
        <v>0.83341451534339994</v>
      </c>
      <c r="F13" s="45" t="str">
        <f t="shared" si="1"/>
        <v>B</v>
      </c>
      <c r="G13" s="38">
        <f t="shared" si="2"/>
        <v>1.0863492063492062</v>
      </c>
      <c r="H13" s="36">
        <f>1589+158+306</f>
        <v>2053</v>
      </c>
      <c r="I13" s="36">
        <f>1255+150+306</f>
        <v>1711</v>
      </c>
      <c r="J13" s="10">
        <f t="shared" si="3"/>
        <v>16.295238095238094</v>
      </c>
      <c r="K13" s="8">
        <f>IFERROR(VLOOKUP(A13,#REF!, 2,FALSE), 0)</f>
        <v>0</v>
      </c>
      <c r="L13" s="68">
        <f>IFERROR(VLOOKUP(A13,#REF!, 2,FALSE), 0)</f>
        <v>0</v>
      </c>
      <c r="M13" s="68">
        <f t="shared" si="4"/>
        <v>2053</v>
      </c>
      <c r="N13" s="68">
        <f t="shared" si="5"/>
        <v>1711</v>
      </c>
      <c r="O13" s="65">
        <f>IFERROR(VLOOKUP(A13,'[1]Horas Volte'!$A$3:$AH$32, 24,FALSE), 0)</f>
        <v>0</v>
      </c>
      <c r="P13" s="33">
        <f t="shared" si="6"/>
        <v>105</v>
      </c>
    </row>
    <row r="14" spans="1:16" ht="15.75" thickBot="1">
      <c r="A14" s="36" t="s">
        <v>123</v>
      </c>
      <c r="B14" s="15" t="s">
        <v>35</v>
      </c>
      <c r="C14" s="36" t="s">
        <v>13</v>
      </c>
      <c r="D14" s="129">
        <f>'Horas Ordenadas'!N29</f>
        <v>80</v>
      </c>
      <c r="E14" s="37">
        <f t="shared" si="0"/>
        <v>0.81922077922077918</v>
      </c>
      <c r="F14" s="45" t="str">
        <f t="shared" si="1"/>
        <v>B</v>
      </c>
      <c r="G14" s="38">
        <f t="shared" si="2"/>
        <v>1.3141666666666665</v>
      </c>
      <c r="H14" s="36">
        <f>1319+117+254+235</f>
        <v>1925</v>
      </c>
      <c r="I14" s="36">
        <f>989+99+254+235</f>
        <v>1577</v>
      </c>
      <c r="J14" s="10">
        <f t="shared" si="3"/>
        <v>19.712499999999999</v>
      </c>
      <c r="K14" s="8">
        <f>IFERROR(VLOOKUP(A14,#REF!, 2,FALSE), 0)</f>
        <v>0</v>
      </c>
      <c r="L14" s="68">
        <f>IFERROR(VLOOKUP(A14,#REF!, 2,FALSE), 0)</f>
        <v>0</v>
      </c>
      <c r="M14" s="68">
        <f t="shared" si="4"/>
        <v>1925</v>
      </c>
      <c r="N14" s="68">
        <f t="shared" si="5"/>
        <v>1577</v>
      </c>
      <c r="O14" s="65">
        <f>IFERROR(VLOOKUP(A14,'[1]Horas Volte'!$A$3:$AH$32, 24,FALSE), 0)</f>
        <v>8</v>
      </c>
      <c r="P14" s="33">
        <f t="shared" si="6"/>
        <v>88</v>
      </c>
    </row>
    <row r="15" spans="1:16" ht="15.75" thickBot="1">
      <c r="A15" s="36" t="s">
        <v>117</v>
      </c>
      <c r="B15" s="15" t="s">
        <v>26</v>
      </c>
      <c r="C15" s="36" t="s">
        <v>18</v>
      </c>
      <c r="D15" s="129">
        <f>'Horas Ordenadas'!N14</f>
        <v>46</v>
      </c>
      <c r="E15" s="37">
        <f t="shared" si="0"/>
        <v>0.8163636363636364</v>
      </c>
      <c r="F15" s="45" t="str">
        <f t="shared" si="1"/>
        <v>B</v>
      </c>
      <c r="G15" s="38">
        <f t="shared" si="2"/>
        <v>0.6507246376811594</v>
      </c>
      <c r="H15" s="36">
        <f>438+112</f>
        <v>550</v>
      </c>
      <c r="I15" s="36">
        <f>338+111</f>
        <v>449</v>
      </c>
      <c r="J15" s="10">
        <f t="shared" si="3"/>
        <v>9.7608695652173907</v>
      </c>
      <c r="K15" s="8">
        <f>IFERROR(VLOOKUP(A15,#REF!, 2,FALSE), 0)</f>
        <v>0</v>
      </c>
      <c r="L15" s="68">
        <f>IFERROR(VLOOKUP(A15,#REF!, 2,FALSE), 0)</f>
        <v>0</v>
      </c>
      <c r="M15" s="68">
        <f t="shared" si="4"/>
        <v>550</v>
      </c>
      <c r="N15" s="68">
        <f t="shared" si="5"/>
        <v>449</v>
      </c>
      <c r="O15" s="65">
        <f>IFERROR(VLOOKUP(A15,'[1]Horas Volte'!$A$3:$AH$32, 24,FALSE), 0)</f>
        <v>8</v>
      </c>
      <c r="P15" s="33">
        <f t="shared" si="6"/>
        <v>54</v>
      </c>
    </row>
    <row r="16" spans="1:16" ht="15.75" thickBot="1">
      <c r="A16" s="36" t="s">
        <v>116</v>
      </c>
      <c r="B16" s="15" t="s">
        <v>36</v>
      </c>
      <c r="C16" s="36" t="s">
        <v>13</v>
      </c>
      <c r="D16" s="129">
        <f>'Horas Ordenadas'!N24</f>
        <v>97</v>
      </c>
      <c r="E16" s="37">
        <f t="shared" si="0"/>
        <v>0.81323132313231328</v>
      </c>
      <c r="F16" s="45" t="str">
        <f t="shared" si="1"/>
        <v>B</v>
      </c>
      <c r="G16" s="38">
        <f t="shared" si="2"/>
        <v>1.2419243986254296</v>
      </c>
      <c r="H16" s="36">
        <f>2060+162</f>
        <v>2222</v>
      </c>
      <c r="I16" s="36">
        <f>1657+150</f>
        <v>1807</v>
      </c>
      <c r="J16" s="10">
        <f t="shared" si="3"/>
        <v>18.628865979381445</v>
      </c>
      <c r="K16" s="8">
        <f>IFERROR(VLOOKUP(A16,#REF!, 2,FALSE), 0)</f>
        <v>0</v>
      </c>
      <c r="L16" s="68">
        <f>IFERROR(VLOOKUP(A16,#REF!, 2,FALSE), 0)</f>
        <v>0</v>
      </c>
      <c r="M16" s="68">
        <f t="shared" si="4"/>
        <v>2222</v>
      </c>
      <c r="N16" s="68">
        <f t="shared" si="5"/>
        <v>1807</v>
      </c>
      <c r="O16" s="65">
        <f>IFERROR(VLOOKUP(A16,'[1]Horas Volte'!$A$3:$AH$32, 24,FALSE), 0)</f>
        <v>5</v>
      </c>
      <c r="P16" s="33">
        <f t="shared" si="6"/>
        <v>102</v>
      </c>
    </row>
    <row r="17" spans="1:16" ht="15.75" thickBot="1">
      <c r="A17" s="36" t="s">
        <v>111</v>
      </c>
      <c r="B17" s="15" t="s">
        <v>14</v>
      </c>
      <c r="C17" s="36" t="s">
        <v>13</v>
      </c>
      <c r="D17" s="129">
        <f>'Horas Ordenadas'!N23</f>
        <v>50</v>
      </c>
      <c r="E17" s="37">
        <f t="shared" si="0"/>
        <v>0.81320754716981136</v>
      </c>
      <c r="F17" s="45" t="str">
        <f t="shared" si="1"/>
        <v>B</v>
      </c>
      <c r="G17" s="38">
        <f t="shared" si="2"/>
        <v>1.1493333333333333</v>
      </c>
      <c r="H17" s="36">
        <f>485+100+246+229</f>
        <v>1060</v>
      </c>
      <c r="I17" s="36">
        <f>314+73+246+229</f>
        <v>862</v>
      </c>
      <c r="J17" s="10">
        <f t="shared" si="3"/>
        <v>17.239999999999998</v>
      </c>
      <c r="K17" s="8">
        <f>IFERROR(VLOOKUP(A17,#REF!, 2,FALSE), 0)</f>
        <v>0</v>
      </c>
      <c r="L17" s="68">
        <f>IFERROR(VLOOKUP(A17,#REF!, 2,FALSE), 0)</f>
        <v>0</v>
      </c>
      <c r="M17" s="68">
        <f t="shared" si="4"/>
        <v>1060</v>
      </c>
      <c r="N17" s="68">
        <f t="shared" si="5"/>
        <v>862</v>
      </c>
      <c r="O17" s="65">
        <f>IFERROR(VLOOKUP(A17,'[1]Horas Volte'!$A$3:$AH$32, 24,FALSE), 0)</f>
        <v>5</v>
      </c>
      <c r="P17" s="33">
        <f t="shared" si="6"/>
        <v>55</v>
      </c>
    </row>
    <row r="18" spans="1:16" ht="15.75" thickBot="1">
      <c r="A18" s="36" t="s">
        <v>107</v>
      </c>
      <c r="B18" s="15" t="s">
        <v>29</v>
      </c>
      <c r="C18" s="36" t="s">
        <v>18</v>
      </c>
      <c r="D18" s="129">
        <f>'Horas Ordenadas'!N3</f>
        <v>71</v>
      </c>
      <c r="E18" s="37">
        <f t="shared" si="0"/>
        <v>0.79761904761904767</v>
      </c>
      <c r="F18" s="45" t="str">
        <f t="shared" si="1"/>
        <v>B</v>
      </c>
      <c r="G18" s="38">
        <f t="shared" si="2"/>
        <v>0.69201877934272304</v>
      </c>
      <c r="H18" s="36">
        <f>633+89+99+103</f>
        <v>924</v>
      </c>
      <c r="I18" s="36">
        <f>446+89+99+103</f>
        <v>737</v>
      </c>
      <c r="J18" s="10">
        <f t="shared" si="3"/>
        <v>10.380281690140846</v>
      </c>
      <c r="K18" s="8">
        <f>IFERROR(VLOOKUP(A18,#REF!, 2,FALSE), 0)</f>
        <v>0</v>
      </c>
      <c r="L18" s="68">
        <f>IFERROR(VLOOKUP(A18,#REF!, 2,FALSE), 0)</f>
        <v>0</v>
      </c>
      <c r="M18" s="68">
        <f t="shared" si="4"/>
        <v>924</v>
      </c>
      <c r="N18" s="68">
        <f t="shared" si="5"/>
        <v>737</v>
      </c>
      <c r="O18" s="65">
        <f>IFERROR(VLOOKUP(A18,'[1]Horas Volte'!$A$3:$AH$32, 24,FALSE), 0)</f>
        <v>5</v>
      </c>
      <c r="P18" s="33">
        <f t="shared" si="6"/>
        <v>76</v>
      </c>
    </row>
    <row r="19" spans="1:16" ht="15.75" thickBot="1">
      <c r="A19" s="36" t="s">
        <v>126</v>
      </c>
      <c r="B19" s="15" t="s">
        <v>37</v>
      </c>
      <c r="C19" s="36" t="s">
        <v>18</v>
      </c>
      <c r="D19" s="129">
        <f>'Horas Ordenadas'!N9</f>
        <v>76</v>
      </c>
      <c r="E19" s="37">
        <f t="shared" si="0"/>
        <v>0.7824591573516767</v>
      </c>
      <c r="F19" s="45" t="str">
        <f t="shared" si="1"/>
        <v>B</v>
      </c>
      <c r="G19" s="38">
        <f t="shared" si="2"/>
        <v>0.79824561403508765</v>
      </c>
      <c r="H19" s="36">
        <f>896+92+94+81</f>
        <v>1163</v>
      </c>
      <c r="I19" s="36">
        <f>643+92+94+81</f>
        <v>910</v>
      </c>
      <c r="J19" s="10">
        <f t="shared" si="3"/>
        <v>11.973684210526315</v>
      </c>
      <c r="K19" s="8">
        <f>IFERROR(VLOOKUP(A19,#REF!, 2,FALSE), 0)</f>
        <v>0</v>
      </c>
      <c r="L19" s="68">
        <f>IFERROR(VLOOKUP(A19,#REF!, 2,FALSE), 0)</f>
        <v>0</v>
      </c>
      <c r="M19" s="68">
        <f t="shared" si="4"/>
        <v>1163</v>
      </c>
      <c r="N19" s="68">
        <f t="shared" si="5"/>
        <v>910</v>
      </c>
      <c r="O19" s="65">
        <f>IFERROR(VLOOKUP(A19,'[1]Horas Volte'!$A$3:$AH$32, 24,FALSE), 0)</f>
        <v>0</v>
      </c>
      <c r="P19" s="33">
        <f t="shared" si="6"/>
        <v>76</v>
      </c>
    </row>
    <row r="20" spans="1:16" ht="15.75" thickBot="1">
      <c r="A20" s="36" t="s">
        <v>120</v>
      </c>
      <c r="B20" s="15" t="s">
        <v>12</v>
      </c>
      <c r="C20" s="36" t="s">
        <v>13</v>
      </c>
      <c r="D20" s="129">
        <f>'Horas Ordenadas'!N20</f>
        <v>60</v>
      </c>
      <c r="E20" s="37">
        <f t="shared" si="0"/>
        <v>0.77585056704469646</v>
      </c>
      <c r="F20" s="45" t="str">
        <f t="shared" si="1"/>
        <v>B</v>
      </c>
      <c r="G20" s="38">
        <f t="shared" si="2"/>
        <v>1.2922222222222222</v>
      </c>
      <c r="H20" s="36">
        <f>1134+206+159</f>
        <v>1499</v>
      </c>
      <c r="I20" s="36">
        <f>799+206+158</f>
        <v>1163</v>
      </c>
      <c r="J20" s="10">
        <f t="shared" si="3"/>
        <v>19.383333333333333</v>
      </c>
      <c r="K20" s="8">
        <f>IFERROR(VLOOKUP(A20,#REF!, 2,FALSE), 0)</f>
        <v>0</v>
      </c>
      <c r="L20" s="68">
        <f>IFERROR(VLOOKUP(A20,#REF!, 2,FALSE), 0)</f>
        <v>0</v>
      </c>
      <c r="M20" s="68">
        <f t="shared" si="4"/>
        <v>1499</v>
      </c>
      <c r="N20" s="68">
        <f t="shared" si="5"/>
        <v>1163</v>
      </c>
      <c r="O20" s="65">
        <f>IFERROR(VLOOKUP(A20,'[1]Horas Volte'!$A$3:$AH$32, 24,FALSE), 0)</f>
        <v>0</v>
      </c>
      <c r="P20" s="33">
        <f t="shared" si="6"/>
        <v>60</v>
      </c>
    </row>
    <row r="21" spans="1:16" ht="15.75" customHeight="1" thickBot="1">
      <c r="A21" s="36" t="s">
        <v>127</v>
      </c>
      <c r="B21" s="15" t="s">
        <v>59</v>
      </c>
      <c r="C21" s="36" t="s">
        <v>18</v>
      </c>
      <c r="D21" s="129">
        <f>'Horas Ordenadas'!N15</f>
        <v>83</v>
      </c>
      <c r="E21" s="37">
        <f t="shared" si="0"/>
        <v>0.76869009584664538</v>
      </c>
      <c r="F21" s="45" t="str">
        <f t="shared" si="1"/>
        <v>B</v>
      </c>
      <c r="G21" s="38">
        <f t="shared" si="2"/>
        <v>0.96626506024096392</v>
      </c>
      <c r="H21" s="36">
        <f>1118+137+310</f>
        <v>1565</v>
      </c>
      <c r="I21" s="36">
        <f>757+136+310</f>
        <v>1203</v>
      </c>
      <c r="J21" s="10">
        <f t="shared" si="3"/>
        <v>14.493975903614459</v>
      </c>
      <c r="K21" s="8">
        <f>IFERROR(VLOOKUP(A21,#REF!, 2,FALSE), 0)</f>
        <v>0</v>
      </c>
      <c r="L21" s="68">
        <f>IFERROR(VLOOKUP(A21,#REF!, 2,FALSE), 0)</f>
        <v>0</v>
      </c>
      <c r="M21" s="68">
        <f t="shared" si="4"/>
        <v>1565</v>
      </c>
      <c r="N21" s="68">
        <f t="shared" si="5"/>
        <v>1203</v>
      </c>
      <c r="O21" s="65" t="str">
        <f>IFERROR(VLOOKUP(A21,'[1]Horas Volte'!$A$3:$AH$32, 24,FALSE), 0)</f>
        <v>C.C</v>
      </c>
      <c r="P21" s="33">
        <f t="shared" si="6"/>
        <v>83</v>
      </c>
    </row>
    <row r="22" spans="1:16" ht="15.75" customHeight="1" thickBot="1">
      <c r="A22" s="36" t="s">
        <v>113</v>
      </c>
      <c r="B22" s="15" t="s">
        <v>60</v>
      </c>
      <c r="C22" s="36" t="s">
        <v>18</v>
      </c>
      <c r="D22" s="129">
        <f>'Horas Ordenadas'!N16</f>
        <v>45</v>
      </c>
      <c r="E22" s="37">
        <f t="shared" si="0"/>
        <v>0.76640926640926643</v>
      </c>
      <c r="F22" s="45" t="str">
        <f t="shared" si="1"/>
        <v>B</v>
      </c>
      <c r="G22" s="38">
        <f t="shared" si="2"/>
        <v>0.5881481481481482</v>
      </c>
      <c r="H22" s="36">
        <f>352+63+103</f>
        <v>518</v>
      </c>
      <c r="I22" s="36">
        <f>241+53+103</f>
        <v>397</v>
      </c>
      <c r="J22" s="10">
        <f t="shared" si="3"/>
        <v>8.8222222222222229</v>
      </c>
      <c r="K22" s="8">
        <f>IFERROR(VLOOKUP(A22,#REF!, 2,FALSE), 0)</f>
        <v>0</v>
      </c>
      <c r="L22" s="68">
        <f>IFERROR(VLOOKUP(A22,#REF!, 2,FALSE), 0)</f>
        <v>0</v>
      </c>
      <c r="M22" s="68">
        <f t="shared" si="4"/>
        <v>518</v>
      </c>
      <c r="N22" s="68">
        <f t="shared" si="5"/>
        <v>397</v>
      </c>
      <c r="O22" s="65">
        <f>IFERROR(VLOOKUP(A22,'[1]Horas Volte'!$A$3:$AH$32, 24,FALSE), 0)</f>
        <v>7</v>
      </c>
      <c r="P22" s="33">
        <f t="shared" si="6"/>
        <v>52</v>
      </c>
    </row>
    <row r="23" spans="1:16" ht="15.75" customHeight="1" thickBot="1">
      <c r="A23" s="36" t="s">
        <v>110</v>
      </c>
      <c r="B23" s="15" t="s">
        <v>58</v>
      </c>
      <c r="C23" s="36" t="s">
        <v>13</v>
      </c>
      <c r="D23" s="129">
        <f>'Horas Ordenadas'!N26</f>
        <v>55</v>
      </c>
      <c r="E23" s="37">
        <f t="shared" si="0"/>
        <v>0.76235906331309622</v>
      </c>
      <c r="F23" s="45" t="str">
        <f t="shared" si="1"/>
        <v>B</v>
      </c>
      <c r="G23" s="38">
        <f t="shared" si="2"/>
        <v>1.0654545454545454</v>
      </c>
      <c r="H23" s="36">
        <v>1153</v>
      </c>
      <c r="I23" s="36">
        <v>879</v>
      </c>
      <c r="J23" s="10">
        <f t="shared" si="3"/>
        <v>15.981818181818182</v>
      </c>
      <c r="K23" s="8">
        <f>IFERROR(VLOOKUP(A23,#REF!, 2,FALSE), 0)</f>
        <v>0</v>
      </c>
      <c r="L23" s="68">
        <f>IFERROR(VLOOKUP(A23,#REF!, 2,FALSE), 0)</f>
        <v>0</v>
      </c>
      <c r="M23" s="68">
        <f t="shared" si="4"/>
        <v>1153</v>
      </c>
      <c r="N23" s="68">
        <f t="shared" si="5"/>
        <v>879</v>
      </c>
      <c r="O23" s="65">
        <f>IFERROR(VLOOKUP(A23,'[1]Horas Volte'!$A$3:$AH$32, 24,FALSE), 0)</f>
        <v>8</v>
      </c>
      <c r="P23" s="33">
        <f t="shared" si="6"/>
        <v>63</v>
      </c>
    </row>
    <row r="24" spans="1:16" ht="15.75" customHeight="1" thickBot="1">
      <c r="A24" s="39" t="s">
        <v>86</v>
      </c>
      <c r="B24" s="44" t="s">
        <v>31</v>
      </c>
      <c r="C24" s="39" t="s">
        <v>18</v>
      </c>
      <c r="D24" s="130">
        <f>'Horas Ordenadas'!N17</f>
        <v>79</v>
      </c>
      <c r="E24" s="37">
        <f t="shared" si="0"/>
        <v>0.76045627376425851</v>
      </c>
      <c r="F24" s="45" t="str">
        <f t="shared" si="1"/>
        <v>B</v>
      </c>
      <c r="G24" s="38">
        <f t="shared" si="2"/>
        <v>1.0126582278481011</v>
      </c>
      <c r="H24" s="36">
        <f>1141+112+184+141</f>
        <v>1578</v>
      </c>
      <c r="I24" s="36">
        <f>763+112+184+141</f>
        <v>1200</v>
      </c>
      <c r="J24" s="10">
        <f t="shared" si="3"/>
        <v>15.189873417721518</v>
      </c>
      <c r="K24" s="8">
        <f>IFERROR(VLOOKUP(A24,#REF!, 2,FALSE), 0)</f>
        <v>0</v>
      </c>
      <c r="L24" s="68">
        <f>IFERROR(VLOOKUP(A24,#REF!, 2,FALSE), 0)</f>
        <v>0</v>
      </c>
      <c r="M24" s="68">
        <f t="shared" si="4"/>
        <v>1578</v>
      </c>
      <c r="N24" s="68">
        <f t="shared" si="5"/>
        <v>1200</v>
      </c>
      <c r="O24" s="65">
        <f>IFERROR(VLOOKUP(A24,'[1]Horas Volte'!$A$3:$AH$32, 24,FALSE), 0)</f>
        <v>5</v>
      </c>
      <c r="P24" s="33">
        <f t="shared" si="6"/>
        <v>84</v>
      </c>
    </row>
    <row r="25" spans="1:16" ht="15.75" customHeight="1" thickBot="1">
      <c r="A25" s="9" t="s">
        <v>129</v>
      </c>
      <c r="B25" s="15" t="s">
        <v>28</v>
      </c>
      <c r="C25" s="9" t="s">
        <v>18</v>
      </c>
      <c r="D25" s="112">
        <f>'Horas Ordenadas'!N7</f>
        <v>51</v>
      </c>
      <c r="E25" s="37">
        <f t="shared" si="0"/>
        <v>0.65318627450980393</v>
      </c>
      <c r="F25" s="45" t="str">
        <f t="shared" si="1"/>
        <v>C</v>
      </c>
      <c r="G25" s="38">
        <f t="shared" si="2"/>
        <v>0.69673202614379082</v>
      </c>
      <c r="H25" s="36">
        <f>653+84+79</f>
        <v>816</v>
      </c>
      <c r="I25" s="36">
        <f>371+83+79</f>
        <v>533</v>
      </c>
      <c r="J25" s="10">
        <f t="shared" si="3"/>
        <v>10.450980392156863</v>
      </c>
      <c r="K25" s="8">
        <f>IFERROR(VLOOKUP(A25,#REF!, 2,FALSE), 0)</f>
        <v>0</v>
      </c>
      <c r="L25" s="68">
        <f>IFERROR(VLOOKUP(A25,#REF!, 2,FALSE), 0)</f>
        <v>0</v>
      </c>
      <c r="M25" s="68">
        <f t="shared" si="4"/>
        <v>816</v>
      </c>
      <c r="N25" s="68">
        <f t="shared" si="5"/>
        <v>533</v>
      </c>
      <c r="O25" s="65">
        <f>IFERROR(VLOOKUP(A25,'[1]Horas Volte'!$A$3:$AH$32, 24,FALSE), 0)</f>
        <v>0</v>
      </c>
      <c r="P25" s="33">
        <f t="shared" si="6"/>
        <v>51</v>
      </c>
    </row>
    <row r="26" spans="1:16" ht="15.75" customHeight="1" thickBot="1">
      <c r="A26" s="40" t="s">
        <v>128</v>
      </c>
      <c r="B26" s="15" t="s">
        <v>61</v>
      </c>
      <c r="C26" s="40" t="s">
        <v>13</v>
      </c>
      <c r="D26" s="131">
        <f>'Horas Ordenadas'!N22</f>
        <v>50</v>
      </c>
      <c r="E26" s="37">
        <f t="shared" si="0"/>
        <v>0.65007215007215002</v>
      </c>
      <c r="F26" s="45" t="str">
        <f t="shared" si="1"/>
        <v>C</v>
      </c>
      <c r="G26" s="41">
        <f t="shared" si="2"/>
        <v>1.2013333333333334</v>
      </c>
      <c r="H26" s="39">
        <f>1190+196</f>
        <v>1386</v>
      </c>
      <c r="I26" s="39">
        <f>708+193</f>
        <v>901</v>
      </c>
      <c r="J26" s="10">
        <f t="shared" si="3"/>
        <v>18.02</v>
      </c>
      <c r="K26" s="8">
        <f>IFERROR(VLOOKUP(A26,#REF!, 2,FALSE), 0)</f>
        <v>0</v>
      </c>
      <c r="L26" s="68">
        <f>IFERROR(VLOOKUP(A26,#REF!, 2,FALSE), 0)</f>
        <v>0</v>
      </c>
      <c r="M26" s="68">
        <f t="shared" si="4"/>
        <v>1386</v>
      </c>
      <c r="N26" s="68">
        <f t="shared" si="5"/>
        <v>901</v>
      </c>
      <c r="O26" s="65">
        <f>IFERROR(VLOOKUP(A26,'[1]Horas Volte'!$A$3:$AH$32, 24,FALSE), 0)</f>
        <v>0</v>
      </c>
      <c r="P26" s="33">
        <f t="shared" si="6"/>
        <v>50</v>
      </c>
    </row>
    <row r="27" spans="1:16" ht="15.75" customHeight="1" thickBot="1">
      <c r="A27" s="11" t="s">
        <v>130</v>
      </c>
      <c r="B27" s="16" t="s">
        <v>34</v>
      </c>
      <c r="C27" s="11" t="s">
        <v>13</v>
      </c>
      <c r="D27" s="126">
        <f>'Horas Ordenadas'!N19</f>
        <v>10</v>
      </c>
      <c r="E27" s="42">
        <f t="shared" si="0"/>
        <v>0.47511312217194568</v>
      </c>
      <c r="F27" s="46" t="str">
        <f t="shared" si="1"/>
        <v>Z</v>
      </c>
      <c r="G27" s="14">
        <f t="shared" si="2"/>
        <v>0.7</v>
      </c>
      <c r="H27" s="11">
        <v>221</v>
      </c>
      <c r="I27" s="11">
        <v>105</v>
      </c>
      <c r="J27" s="12">
        <f t="shared" si="3"/>
        <v>10.5</v>
      </c>
      <c r="K27" s="8">
        <f>IFERROR(VLOOKUP(A27,#REF!, 2,FALSE), 0)</f>
        <v>0</v>
      </c>
      <c r="L27" s="68">
        <f>IFERROR(VLOOKUP(A27,#REF!, 2,FALSE), 0)</f>
        <v>0</v>
      </c>
      <c r="M27" s="68">
        <f t="shared" si="4"/>
        <v>221</v>
      </c>
      <c r="N27" s="68">
        <f t="shared" si="5"/>
        <v>105</v>
      </c>
      <c r="O27" s="65">
        <f>IFERROR(VLOOKUP(A27,'[1]Horas Volte'!$A$3:$AH$32, 24,FALSE), 0)</f>
        <v>0</v>
      </c>
      <c r="P27" s="33">
        <f t="shared" si="6"/>
        <v>10</v>
      </c>
    </row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sortState ref="B3:J27">
    <sortCondition descending="1" ref="E3:E27"/>
  </sortState>
  <conditionalFormatting sqref="F3:F27">
    <cfRule type="cellIs" dxfId="7" priority="1" operator="equal">
      <formula>"B"</formula>
    </cfRule>
    <cfRule type="cellIs" dxfId="6" priority="2" operator="equal">
      <formula>"A"</formula>
    </cfRule>
    <cfRule type="cellIs" dxfId="5" priority="3" operator="equal">
      <formula>"Z"</formula>
    </cfRule>
    <cfRule type="cellIs" dxfId="4" priority="4" operator="equal">
      <formula>"C"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D995"/>
  <sheetViews>
    <sheetView topLeftCell="C1" workbookViewId="0">
      <selection activeCell="L21" sqref="L21"/>
    </sheetView>
  </sheetViews>
  <sheetFormatPr baseColWidth="10" defaultColWidth="12.5703125" defaultRowHeight="14.25"/>
  <cols>
    <col min="1" max="1" width="23.28515625" style="47" hidden="1" customWidth="1"/>
    <col min="2" max="2" width="40.28515625" style="47" hidden="1" customWidth="1"/>
    <col min="3" max="3" width="28.85546875" style="47" bestFit="1" customWidth="1"/>
    <col min="4" max="4" width="9.85546875" style="47" customWidth="1"/>
    <col min="5" max="5" width="10.7109375" style="47" customWidth="1"/>
    <col min="6" max="6" width="8.85546875" style="47" customWidth="1"/>
    <col min="7" max="7" width="9" style="47" customWidth="1"/>
    <col min="8" max="8" width="9.85546875" style="47" customWidth="1"/>
    <col min="9" max="9" width="22" style="47" customWidth="1"/>
    <col min="10" max="10" width="15.7109375" style="47" customWidth="1"/>
    <col min="11" max="11" width="10.7109375" style="47" bestFit="1" customWidth="1"/>
    <col min="12" max="12" width="22.42578125" style="47" bestFit="1" customWidth="1"/>
    <col min="13" max="13" width="20.7109375" style="47" bestFit="1" customWidth="1"/>
    <col min="14" max="14" width="10.7109375" style="47" customWidth="1"/>
    <col min="15" max="15" width="20.85546875" style="47" hidden="1" customWidth="1"/>
    <col min="16" max="16" width="22.5703125" style="47" hidden="1" customWidth="1"/>
    <col min="17" max="17" width="22" style="47" hidden="1" customWidth="1"/>
    <col min="18" max="18" width="20.140625" style="47" hidden="1" customWidth="1"/>
    <col min="19" max="19" width="15.140625" style="47" hidden="1" customWidth="1"/>
    <col min="20" max="20" width="13.42578125" style="47" hidden="1" customWidth="1"/>
    <col min="21" max="16384" width="12.5703125" style="47"/>
  </cols>
  <sheetData>
    <row r="1" spans="1:30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thickBot="1">
      <c r="A4" s="57" t="s">
        <v>101</v>
      </c>
      <c r="B4" s="57" t="s">
        <v>98</v>
      </c>
      <c r="C4" s="59" t="s">
        <v>0</v>
      </c>
      <c r="D4" s="57" t="s">
        <v>9</v>
      </c>
      <c r="E4" s="57" t="s">
        <v>62</v>
      </c>
      <c r="F4" s="57" t="s">
        <v>1</v>
      </c>
      <c r="G4" s="57" t="s">
        <v>2</v>
      </c>
      <c r="H4" s="57" t="s">
        <v>63</v>
      </c>
      <c r="I4" s="57" t="s">
        <v>64</v>
      </c>
      <c r="J4" s="57" t="s">
        <v>65</v>
      </c>
      <c r="K4" s="57" t="s">
        <v>66</v>
      </c>
      <c r="L4" s="57" t="s">
        <v>10</v>
      </c>
      <c r="M4" s="57" t="s">
        <v>11</v>
      </c>
      <c r="N4" s="57" t="s">
        <v>67</v>
      </c>
      <c r="O4" s="49" t="s">
        <v>6</v>
      </c>
      <c r="P4" s="49" t="s">
        <v>5</v>
      </c>
      <c r="Q4" s="64" t="s">
        <v>99</v>
      </c>
      <c r="R4" s="64" t="s">
        <v>100</v>
      </c>
      <c r="S4" s="64" t="s">
        <v>105</v>
      </c>
      <c r="T4" s="64" t="s">
        <v>106</v>
      </c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22.5" customHeight="1">
      <c r="A5" s="55" t="s">
        <v>70</v>
      </c>
      <c r="B5" s="55" t="s">
        <v>90</v>
      </c>
      <c r="C5" s="60" t="s">
        <v>74</v>
      </c>
      <c r="D5" s="58" t="str">
        <f t="shared" ref="D5:D14" si="0">IF(H5&gt;=0.24,"A",IF(H5&gt;=0.2,"B",IF(H5&gt;=0.1,"C","Z")))</f>
        <v>A</v>
      </c>
      <c r="E5" s="58" t="str">
        <f t="shared" ref="E5:E14" si="1">IF(N5&gt;=0.03,"A",IF(N5&gt;=0.02,"B",IF(N5&gt;=0.01,"C","Z")))</f>
        <v>A</v>
      </c>
      <c r="F5" s="55" t="s">
        <v>18</v>
      </c>
      <c r="G5" s="73">
        <f>28+6+6+6+6</f>
        <v>52</v>
      </c>
      <c r="H5" s="56">
        <f t="shared" ref="H5:H14" si="2">IFERROR(I5/G5,0)</f>
        <v>0.48076923076923078</v>
      </c>
      <c r="I5" s="72">
        <v>25</v>
      </c>
      <c r="J5" s="72">
        <v>5</v>
      </c>
      <c r="K5" s="72">
        <v>19</v>
      </c>
      <c r="L5" s="72">
        <f>656+121+176+139</f>
        <v>1092</v>
      </c>
      <c r="M5" s="72">
        <f>322+40+62+63</f>
        <v>487</v>
      </c>
      <c r="N5" s="23">
        <f t="shared" ref="N5:N14" si="3">IFERROR(I5/M5,0)</f>
        <v>5.1334702258726897E-2</v>
      </c>
      <c r="O5" s="10">
        <f t="shared" ref="O5:O14" si="4">+N5/MAX($N$5:$N$15)</f>
        <v>0.66735112936344965</v>
      </c>
      <c r="P5" s="10">
        <f t="shared" ref="P5:P14" si="5">+H5/0.24</f>
        <v>2.0032051282051282</v>
      </c>
      <c r="Q5" s="43">
        <f>IFERROR(VLOOKUP(A5,#REF!, 2,FALSE), 0)</f>
        <v>0</v>
      </c>
      <c r="R5" s="43">
        <f>IFERROR(VLOOKUP(A5,#REF!, 2,FALSE), 0)</f>
        <v>0</v>
      </c>
      <c r="S5" s="43">
        <f t="shared" ref="S5:S14" si="6">L5+Q5</f>
        <v>1092</v>
      </c>
      <c r="T5" s="43">
        <f t="shared" ref="T5:T14" si="7">M5+R5</f>
        <v>487</v>
      </c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1:30" ht="22.5" customHeight="1">
      <c r="A6" s="48" t="s">
        <v>68</v>
      </c>
      <c r="B6" s="48" t="s">
        <v>93</v>
      </c>
      <c r="C6" s="61" t="s">
        <v>80</v>
      </c>
      <c r="D6" s="28" t="str">
        <f t="shared" si="0"/>
        <v>A</v>
      </c>
      <c r="E6" s="28" t="str">
        <f t="shared" si="1"/>
        <v>A</v>
      </c>
      <c r="F6" s="48" t="s">
        <v>18</v>
      </c>
      <c r="G6" s="74">
        <f>58+5+5+5</f>
        <v>73</v>
      </c>
      <c r="H6" s="50">
        <f t="shared" si="2"/>
        <v>0.39726027397260272</v>
      </c>
      <c r="I6" s="72">
        <v>29</v>
      </c>
      <c r="J6" s="72">
        <v>7</v>
      </c>
      <c r="K6" s="72">
        <v>28</v>
      </c>
      <c r="L6" s="71">
        <f>745+110+76</f>
        <v>931</v>
      </c>
      <c r="M6" s="71">
        <f>613+76+63</f>
        <v>752</v>
      </c>
      <c r="N6" s="10">
        <f t="shared" si="3"/>
        <v>3.8563829787234043E-2</v>
      </c>
      <c r="O6" s="10">
        <f t="shared" si="4"/>
        <v>0.50132978723404253</v>
      </c>
      <c r="P6" s="10">
        <f t="shared" si="5"/>
        <v>1.6552511415525113</v>
      </c>
      <c r="Q6" s="43">
        <f>IFERROR(VLOOKUP(A6,#REF!, 2,FALSE), 0)</f>
        <v>0</v>
      </c>
      <c r="R6" s="43">
        <f>IFERROR(VLOOKUP(A6,#REF!, 2,FALSE), 0)</f>
        <v>0</v>
      </c>
      <c r="S6" s="43">
        <f t="shared" si="6"/>
        <v>931</v>
      </c>
      <c r="T6" s="43">
        <f t="shared" si="7"/>
        <v>752</v>
      </c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1:30" ht="22.5" customHeight="1">
      <c r="A7" s="48" t="s">
        <v>83</v>
      </c>
      <c r="B7" s="48" t="s">
        <v>91</v>
      </c>
      <c r="C7" s="61" t="s">
        <v>78</v>
      </c>
      <c r="D7" s="28" t="str">
        <f t="shared" si="0"/>
        <v>A</v>
      </c>
      <c r="E7" s="28" t="str">
        <f t="shared" si="1"/>
        <v>A</v>
      </c>
      <c r="F7" s="48" t="s">
        <v>18</v>
      </c>
      <c r="G7" s="74">
        <f>48+5+5</f>
        <v>58</v>
      </c>
      <c r="H7" s="50">
        <f t="shared" si="2"/>
        <v>0.36206896551724138</v>
      </c>
      <c r="I7" s="72">
        <v>21</v>
      </c>
      <c r="J7" s="72">
        <v>2</v>
      </c>
      <c r="K7" s="72">
        <v>17</v>
      </c>
      <c r="L7" s="71">
        <f>838+86+110</f>
        <v>1034</v>
      </c>
      <c r="M7" s="71">
        <f>439+38+75</f>
        <v>552</v>
      </c>
      <c r="N7" s="10">
        <f t="shared" si="3"/>
        <v>3.8043478260869568E-2</v>
      </c>
      <c r="O7" s="10">
        <f t="shared" si="4"/>
        <v>0.49456521739130438</v>
      </c>
      <c r="P7" s="10">
        <f t="shared" si="5"/>
        <v>1.5086206896551724</v>
      </c>
      <c r="Q7" s="43">
        <f>IFERROR(VLOOKUP(A7,#REF!, 2,FALSE), 0)</f>
        <v>0</v>
      </c>
      <c r="R7" s="43">
        <f>IFERROR(VLOOKUP(A7,#REF!, 2,FALSE), 0)</f>
        <v>0</v>
      </c>
      <c r="S7" s="43">
        <f t="shared" si="6"/>
        <v>1034</v>
      </c>
      <c r="T7" s="43">
        <f t="shared" si="7"/>
        <v>552</v>
      </c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1:30" ht="22.5" customHeight="1">
      <c r="A8" s="48" t="s">
        <v>75</v>
      </c>
      <c r="B8" s="48" t="s">
        <v>88</v>
      </c>
      <c r="C8" s="62" t="s">
        <v>85</v>
      </c>
      <c r="D8" s="28" t="str">
        <f t="shared" si="0"/>
        <v>A</v>
      </c>
      <c r="E8" s="28" t="str">
        <f t="shared" si="1"/>
        <v>C</v>
      </c>
      <c r="F8" s="9" t="s">
        <v>13</v>
      </c>
      <c r="G8" s="74">
        <f>35+5+5+5+5</f>
        <v>55</v>
      </c>
      <c r="H8" s="50">
        <f t="shared" si="2"/>
        <v>0.32727272727272727</v>
      </c>
      <c r="I8" s="72">
        <v>18</v>
      </c>
      <c r="J8" s="72">
        <v>3</v>
      </c>
      <c r="K8" s="72">
        <v>10</v>
      </c>
      <c r="L8" s="71">
        <f>1730+204+107+231</f>
        <v>2272</v>
      </c>
      <c r="M8" s="71">
        <f>843+51+32+103</f>
        <v>1029</v>
      </c>
      <c r="N8" s="10">
        <f t="shared" si="3"/>
        <v>1.7492711370262391E-2</v>
      </c>
      <c r="O8" s="10">
        <f t="shared" si="4"/>
        <v>0.22740524781341107</v>
      </c>
      <c r="P8" s="10">
        <f t="shared" si="5"/>
        <v>1.3636363636363638</v>
      </c>
      <c r="Q8" s="43">
        <f>IFERROR(VLOOKUP(A8,#REF!, 2,FALSE), 0)</f>
        <v>0</v>
      </c>
      <c r="R8" s="43">
        <f>IFERROR(VLOOKUP(A8,#REF!, 2,FALSE), 0)</f>
        <v>0</v>
      </c>
      <c r="S8" s="43">
        <f t="shared" si="6"/>
        <v>2272</v>
      </c>
      <c r="T8" s="43">
        <f t="shared" si="7"/>
        <v>1029</v>
      </c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1:30" ht="22.5" customHeight="1">
      <c r="A9" s="48" t="s">
        <v>77</v>
      </c>
      <c r="B9" s="48" t="s">
        <v>96</v>
      </c>
      <c r="C9" s="61" t="s">
        <v>71</v>
      </c>
      <c r="D9" s="28" t="str">
        <f t="shared" si="0"/>
        <v>A</v>
      </c>
      <c r="E9" s="28" t="str">
        <f t="shared" si="1"/>
        <v>C</v>
      </c>
      <c r="F9" s="52" t="s">
        <v>72</v>
      </c>
      <c r="G9" s="74">
        <f>58+5+5</f>
        <v>68</v>
      </c>
      <c r="H9" s="50">
        <f t="shared" si="2"/>
        <v>0.26470588235294118</v>
      </c>
      <c r="I9" s="72">
        <v>18</v>
      </c>
      <c r="J9" s="72">
        <v>2</v>
      </c>
      <c r="K9" s="72">
        <v>18</v>
      </c>
      <c r="L9" s="71">
        <f>1829+57</f>
        <v>1886</v>
      </c>
      <c r="M9" s="71">
        <f>1297+37</f>
        <v>1334</v>
      </c>
      <c r="N9" s="10">
        <f t="shared" si="3"/>
        <v>1.3493253373313344E-2</v>
      </c>
      <c r="O9" s="10">
        <f t="shared" si="4"/>
        <v>0.17541229385307347</v>
      </c>
      <c r="P9" s="10">
        <f t="shared" si="5"/>
        <v>1.1029411764705883</v>
      </c>
      <c r="Q9" s="43">
        <f>IFERROR(VLOOKUP(A9,#REF!, 2,FALSE), 0)</f>
        <v>0</v>
      </c>
      <c r="R9" s="43">
        <f>IFERROR(VLOOKUP(A9,#REF!, 2,FALSE), 0)</f>
        <v>0</v>
      </c>
      <c r="S9" s="43">
        <f t="shared" si="6"/>
        <v>1886</v>
      </c>
      <c r="T9" s="43">
        <f t="shared" si="7"/>
        <v>1334</v>
      </c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1:30" ht="22.5" customHeight="1">
      <c r="A10" s="48" t="s">
        <v>81</v>
      </c>
      <c r="B10" s="48" t="s">
        <v>89</v>
      </c>
      <c r="C10" s="61" t="s">
        <v>84</v>
      </c>
      <c r="D10" s="28" t="str">
        <f t="shared" si="0"/>
        <v>B</v>
      </c>
      <c r="E10" s="28" t="str">
        <f t="shared" si="1"/>
        <v>C</v>
      </c>
      <c r="F10" s="48" t="s">
        <v>18</v>
      </c>
      <c r="G10" s="74">
        <f>50+4+4+4+4</f>
        <v>66</v>
      </c>
      <c r="H10" s="50">
        <f t="shared" si="2"/>
        <v>0.21212121212121213</v>
      </c>
      <c r="I10" s="72">
        <v>14</v>
      </c>
      <c r="J10" s="72">
        <v>2</v>
      </c>
      <c r="K10" s="72">
        <v>11</v>
      </c>
      <c r="L10" s="71">
        <f>1457+60+68</f>
        <v>1585</v>
      </c>
      <c r="M10" s="71">
        <f>859+20+29</f>
        <v>908</v>
      </c>
      <c r="N10" s="10">
        <f t="shared" si="3"/>
        <v>1.5418502202643172E-2</v>
      </c>
      <c r="O10" s="10">
        <f t="shared" si="4"/>
        <v>0.20044052863436124</v>
      </c>
      <c r="P10" s="10">
        <f t="shared" si="5"/>
        <v>0.88383838383838387</v>
      </c>
      <c r="Q10" s="43">
        <f>IFERROR(VLOOKUP(A10,#REF!, 2,FALSE), 0)</f>
        <v>0</v>
      </c>
      <c r="R10" s="43">
        <f>IFERROR(VLOOKUP(A10,#REF!, 2,FALSE), 0)</f>
        <v>0</v>
      </c>
      <c r="S10" s="43">
        <f t="shared" si="6"/>
        <v>1585</v>
      </c>
      <c r="T10" s="43">
        <f t="shared" si="7"/>
        <v>908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1:30" ht="22.5" customHeight="1">
      <c r="A11" s="48" t="s">
        <v>79</v>
      </c>
      <c r="B11" s="48" t="s">
        <v>95</v>
      </c>
      <c r="C11" s="61" t="s">
        <v>69</v>
      </c>
      <c r="D11" s="28" t="str">
        <f t="shared" si="0"/>
        <v>B</v>
      </c>
      <c r="E11" s="28" t="str">
        <f t="shared" si="1"/>
        <v>B</v>
      </c>
      <c r="F11" s="48" t="s">
        <v>18</v>
      </c>
      <c r="G11" s="74">
        <f>33+5+5</f>
        <v>43</v>
      </c>
      <c r="H11" s="50">
        <f t="shared" si="2"/>
        <v>0.20930232558139536</v>
      </c>
      <c r="I11" s="72">
        <v>9</v>
      </c>
      <c r="J11" s="72">
        <v>1</v>
      </c>
      <c r="K11" s="72">
        <v>9</v>
      </c>
      <c r="L11" s="71">
        <f>405+85+98</f>
        <v>588</v>
      </c>
      <c r="M11" s="71">
        <f>281+11+30</f>
        <v>322</v>
      </c>
      <c r="N11" s="10">
        <f t="shared" si="3"/>
        <v>2.7950310559006212E-2</v>
      </c>
      <c r="O11" s="10">
        <f t="shared" si="4"/>
        <v>0.36335403726708071</v>
      </c>
      <c r="P11" s="10">
        <f t="shared" si="5"/>
        <v>0.87209302325581406</v>
      </c>
      <c r="Q11" s="43">
        <f>IFERROR(VLOOKUP(A11,#REF!, 2,FALSE), 0)</f>
        <v>0</v>
      </c>
      <c r="R11" s="43">
        <f>IFERROR(VLOOKUP(A11,#REF!, 2,FALSE), 0)</f>
        <v>0</v>
      </c>
      <c r="S11" s="43">
        <f t="shared" si="6"/>
        <v>588</v>
      </c>
      <c r="T11" s="43">
        <f t="shared" si="7"/>
        <v>322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1:30" ht="22.5" customHeight="1">
      <c r="A12" s="48" t="s">
        <v>104</v>
      </c>
      <c r="B12" s="48" t="s">
        <v>94</v>
      </c>
      <c r="C12" s="61" t="s">
        <v>73</v>
      </c>
      <c r="D12" s="28" t="str">
        <f t="shared" si="0"/>
        <v>C</v>
      </c>
      <c r="E12" s="28" t="str">
        <f t="shared" si="1"/>
        <v>Z</v>
      </c>
      <c r="F12" s="48" t="s">
        <v>18</v>
      </c>
      <c r="G12" s="74">
        <f>28+6+6+6+6</f>
        <v>52</v>
      </c>
      <c r="H12" s="50">
        <f t="shared" si="2"/>
        <v>0.15384615384615385</v>
      </c>
      <c r="I12" s="72">
        <v>8</v>
      </c>
      <c r="J12" s="72">
        <v>2</v>
      </c>
      <c r="K12" s="72">
        <v>7</v>
      </c>
      <c r="L12" s="71">
        <f>1127+175+367+255</f>
        <v>1924</v>
      </c>
      <c r="M12" s="71">
        <f>600+75+194+163</f>
        <v>1032</v>
      </c>
      <c r="N12" s="10">
        <f t="shared" si="3"/>
        <v>7.7519379844961239E-3</v>
      </c>
      <c r="O12" s="10">
        <f t="shared" si="4"/>
        <v>0.10077519379844961</v>
      </c>
      <c r="P12" s="10">
        <f t="shared" si="5"/>
        <v>0.64102564102564108</v>
      </c>
      <c r="Q12" s="43">
        <f>IFERROR(VLOOKUP(A12,#REF!, 2,FALSE), 0)</f>
        <v>0</v>
      </c>
      <c r="R12" s="43">
        <f>IFERROR(VLOOKUP(A12,#REF!, 2,FALSE), 0)</f>
        <v>0</v>
      </c>
      <c r="S12" s="43">
        <f t="shared" si="6"/>
        <v>1924</v>
      </c>
      <c r="T12" s="43">
        <f t="shared" si="7"/>
        <v>1032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</row>
    <row r="13" spans="1:30" ht="22.5" customHeight="1">
      <c r="A13" s="48" t="s">
        <v>103</v>
      </c>
      <c r="B13" s="48" t="s">
        <v>92</v>
      </c>
      <c r="C13" s="61" t="s">
        <v>76</v>
      </c>
      <c r="D13" s="28" t="str">
        <f t="shared" si="0"/>
        <v>C</v>
      </c>
      <c r="E13" s="28" t="str">
        <f t="shared" si="1"/>
        <v>Z</v>
      </c>
      <c r="F13" s="48" t="s">
        <v>18</v>
      </c>
      <c r="G13" s="74">
        <f>36+6</f>
        <v>42</v>
      </c>
      <c r="H13" s="50">
        <f t="shared" si="2"/>
        <v>0.14285714285714285</v>
      </c>
      <c r="I13" s="72">
        <v>6</v>
      </c>
      <c r="J13" s="72">
        <f>IFERROR(VLOOKUP(B13,#REF!, 10,FALSE), 0)</f>
        <v>0</v>
      </c>
      <c r="K13" s="72">
        <v>5</v>
      </c>
      <c r="L13" s="71">
        <v>1164</v>
      </c>
      <c r="M13" s="71">
        <v>942</v>
      </c>
      <c r="N13" s="10">
        <f t="shared" si="3"/>
        <v>6.369426751592357E-3</v>
      </c>
      <c r="O13" s="10">
        <f t="shared" si="4"/>
        <v>8.2802547770700632E-2</v>
      </c>
      <c r="P13" s="10">
        <f t="shared" si="5"/>
        <v>0.59523809523809523</v>
      </c>
      <c r="Q13" s="43">
        <f>IFERROR(VLOOKUP(A13,#REF!, 2,FALSE), 0)</f>
        <v>0</v>
      </c>
      <c r="R13" s="43">
        <f>IFERROR(VLOOKUP(A13,#REF!, 2,FALSE), 0)</f>
        <v>0</v>
      </c>
      <c r="S13" s="43">
        <f t="shared" si="6"/>
        <v>1164</v>
      </c>
      <c r="T13" s="43">
        <f t="shared" si="7"/>
        <v>942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1:30" ht="19.5" customHeight="1">
      <c r="A14" s="48" t="s">
        <v>102</v>
      </c>
      <c r="B14" s="48" t="s">
        <v>87</v>
      </c>
      <c r="C14" s="61" t="s">
        <v>82</v>
      </c>
      <c r="D14" s="28" t="str">
        <f t="shared" si="0"/>
        <v>C</v>
      </c>
      <c r="E14" s="28" t="str">
        <f t="shared" si="1"/>
        <v>Z</v>
      </c>
      <c r="F14" s="48" t="s">
        <v>18</v>
      </c>
      <c r="G14" s="74">
        <f>63+5+5+5+5</f>
        <v>83</v>
      </c>
      <c r="H14" s="50">
        <f t="shared" si="2"/>
        <v>0.13253012048192772</v>
      </c>
      <c r="I14" s="72">
        <v>11</v>
      </c>
      <c r="J14" s="72">
        <v>12</v>
      </c>
      <c r="K14" s="72">
        <v>9</v>
      </c>
      <c r="L14" s="71">
        <f>1198+169+143+108</f>
        <v>1618</v>
      </c>
      <c r="M14" s="71">
        <f>987+143+124+90</f>
        <v>1344</v>
      </c>
      <c r="N14" s="10">
        <f t="shared" si="3"/>
        <v>8.1845238095238099E-3</v>
      </c>
      <c r="O14" s="10">
        <f t="shared" si="4"/>
        <v>0.10639880952380952</v>
      </c>
      <c r="P14" s="10">
        <f t="shared" si="5"/>
        <v>0.55220883534136556</v>
      </c>
      <c r="Q14" s="43">
        <f>IFERROR(VLOOKUP(A14,#REF!, 2,FALSE), 0)</f>
        <v>0</v>
      </c>
      <c r="R14" s="43">
        <f>IFERROR(VLOOKUP(A14,#REF!, 2,FALSE), 0)</f>
        <v>0</v>
      </c>
      <c r="S14" s="43">
        <f t="shared" si="6"/>
        <v>1618</v>
      </c>
      <c r="T14" s="43">
        <f t="shared" si="7"/>
        <v>1344</v>
      </c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22.5" hidden="1" customHeight="1" thickBot="1">
      <c r="B15" s="53" t="s">
        <v>97</v>
      </c>
      <c r="C15" s="63" t="s">
        <v>86</v>
      </c>
      <c r="D15" s="29" t="str">
        <f t="shared" ref="D15" si="8">IF(H15&gt;=0.24,"A",IF(H15&gt;=0.2,"B",IF(H15&gt;=0.1,"C","Z")))</f>
        <v>A</v>
      </c>
      <c r="E15" s="29" t="str">
        <f t="shared" ref="E15" si="9">IF(N15&gt;=0.03,"A",IF(N15&gt;=0.02,"B",IF(N15&gt;=0.01,"C","Z")))</f>
        <v>A</v>
      </c>
      <c r="F15" s="53" t="s">
        <v>18</v>
      </c>
      <c r="G15" s="53">
        <v>10</v>
      </c>
      <c r="H15" s="54">
        <f t="shared" ref="H15" si="10">IFERROR(I15/G15,0)</f>
        <v>0.9</v>
      </c>
      <c r="I15" s="22">
        <v>9</v>
      </c>
      <c r="J15" s="22" t="e">
        <f>VLOOKUP(B15,#REF!,15,FALSE)</f>
        <v>#REF!</v>
      </c>
      <c r="K15" s="22" t="e">
        <f>VLOOKUP(B15,#REF!, 15,FALSE)</f>
        <v>#REF!</v>
      </c>
      <c r="L15" s="11">
        <v>265</v>
      </c>
      <c r="M15" s="11">
        <v>117</v>
      </c>
      <c r="N15" s="12">
        <f t="shared" ref="N15" si="11">IFERROR(I15/M15,0)</f>
        <v>7.6923076923076927E-2</v>
      </c>
      <c r="O15" s="12">
        <f t="shared" ref="O15" si="12">+N15/MAX($N$5:$N$15)</f>
        <v>1</v>
      </c>
      <c r="P15" s="12">
        <f t="shared" ref="P15" si="13">+H15/0.24</f>
        <v>3.7500000000000004</v>
      </c>
      <c r="Q15" s="1"/>
      <c r="R15" s="51">
        <f>IFERROR(VLOOKUP(A15,#REF!, 2,FALSE), 0)</f>
        <v>0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2:30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2:30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30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30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30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30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30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30">
      <c r="B25" s="1"/>
      <c r="D25" s="1"/>
      <c r="E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30">
      <c r="B26" s="1"/>
      <c r="C26" s="1"/>
      <c r="D26" s="1"/>
      <c r="E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30">
      <c r="B27" s="1"/>
      <c r="C27" s="1"/>
      <c r="D27" s="1"/>
      <c r="E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2:30">
      <c r="B28" s="1"/>
      <c r="C28" s="1"/>
      <c r="D28" s="1"/>
      <c r="E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2:30">
      <c r="B29" s="1"/>
      <c r="C29" s="1"/>
      <c r="D29" s="1"/>
      <c r="E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2:30">
      <c r="B30" s="1"/>
      <c r="C30" s="1"/>
      <c r="D30" s="1"/>
      <c r="E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2:30">
      <c r="B31" s="1"/>
      <c r="C31" s="1"/>
      <c r="D31" s="1"/>
      <c r="E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2:30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2:30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2:30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2:30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2:30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2:30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2:3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2:30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2:30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2:30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2:30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2:30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2:30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2:30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2:30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2:30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2:3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2:30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2:3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2:3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2:30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2:30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2:30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2:30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2:30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2:30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2:30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2:30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2:3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2:30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2:30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2:30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2:30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2:30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2:30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2:30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2:30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2:30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2:3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2:30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2:30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2:30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2:30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2:30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2:30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2:30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2:30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2:30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2:3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2:30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2:30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2:30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2:30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2:30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2:30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2:30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2:30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2:30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2:3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2:30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2:30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2:30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2:30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2:30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2:30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2:30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2:30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2:30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2:3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2:30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2:30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2:30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2:30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2:30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2:30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2:30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2:30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2:30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2:3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2:30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2:30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2:30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2:30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2:30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2:30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2:30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2:30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2:30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2: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2:30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2:30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2:30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2:30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2:30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2:30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2:30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2:30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2:30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2:3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2:30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2:30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2:30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2:30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2:30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2:30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2:30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2:30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2:30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2:3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2:30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2:30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2:30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2:30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2:30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2:30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2:30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2:30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2:30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2:3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2:30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2:30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2:30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2:30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2:30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2:30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2:30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2:30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2:30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2:3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2:30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2:30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2:30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2:30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2:30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2:30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2:30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2:30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2:30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2:3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2:30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2:30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2:30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2:30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2:30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2:30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2:30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2:30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2:30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2:3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2:30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2:30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2:30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2:30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2:30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2:30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2:30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2:30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2:30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2:3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2:30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2:30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2:30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2:30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2:30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2:30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2:30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2:30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2:30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2:3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2:30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2:30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2:30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2:30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2:30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2:30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2:30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2:30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2:30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2:3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2:30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2:30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2:30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2:30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2:30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2:30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2:30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2:30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2:30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2: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2:30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2:30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2:30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2:30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2:30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2:30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2:30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2:30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2:30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2:3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2:30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2:30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2:30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2:30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2:30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2:30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2:30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2:30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2:30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2:3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2:30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2:30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2:30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2:30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2:30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2:30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2:30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2:30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2:30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2:3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2:30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2:30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2:30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2:30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2:30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2:30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2:30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2:30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2:30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2:3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2:30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2:30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2:30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2:30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2:30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2:30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2:30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2:30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2:30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2:3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2:30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2:30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2:30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2:30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2:30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2:30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2:30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2:30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2:30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2:3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2:30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2:30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2:30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2:30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2:30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2:30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2:30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2:30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2:30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2:3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2:30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2:30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2:30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2:30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2:30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2:30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2:30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2:30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2:30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2:3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2:30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2:30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2:30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2:30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2:30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2:30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2:30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2:30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2:30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2:3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2:30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2:30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2:30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2:30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2:30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2:30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2:30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2:30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2:30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2: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2:30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2:30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2:30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2:30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2:30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2:30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2:30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2:30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2:30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2:3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2:30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2:30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2:30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2:30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2:30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2:30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2:30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2:30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2:30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2:3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2:30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2:30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2:30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2:30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2:30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2:30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2:30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2:30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2:30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2:3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2:30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2:30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2:30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2:30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2:30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2:30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2:30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2:30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2:30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2:3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2:30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2:30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2:30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2:30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2:30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2:30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2:30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2:30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2:30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2:3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2:30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2:30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2:30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2:30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2:30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2:30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2:30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2:30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2:30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2:3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2:30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2:30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2:30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2:30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2:30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2:30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2:30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2:30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2:30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2:3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2:30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2:30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2:30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2:30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2:30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2:30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2:30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2:30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2:30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2:3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2:30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2:30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2:30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2:30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2:30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2:30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2:30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2:30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2:30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2:3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2:30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2:30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2:30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2:30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2:30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2:30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2:30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2:30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2:30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2: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2:30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2:30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2:30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2:30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2:30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2:30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2:30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2:30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2:30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2:3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2:30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2:30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2:30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2:30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2:30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2:30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2:30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2:30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2:30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2:3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2:30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2:30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2:30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2:30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2:30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2:30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2:30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2:30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2:30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2:3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2:30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2:30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2:30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2:30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2:30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2:30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2:30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2:30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2:30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2:3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2:30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2:30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2:30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2:30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2:30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2:30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2:30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2:30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2:30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2:3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2:30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2:30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2:30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2:30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2:30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2:30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2:30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2:30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2:30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2:3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2:30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2:30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2:30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2:30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2:30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2:30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2:30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2:30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2:30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2:3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2:30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2:30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2:30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2:30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2:30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2:30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2:30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2:30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2:30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2:3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2:30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2:30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2:30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2:30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2:30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2:30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2:30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2:30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2:30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2:3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2:30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2:30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2:30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2:30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2:30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2:30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2:30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2:30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2:30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2: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2:30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2:30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2:30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2:30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2:30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2:30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2:30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2:30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2:30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2:3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2:30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2:30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2:30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2:30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2:30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2:30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2:30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2:30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2:30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2:3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2:30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2:30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2:30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2:30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2:30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2:30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2:30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2:30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2:30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2:3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2:30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2:30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2:30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2:30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2:30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2:30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2:30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2:30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2:30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2:3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2:30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2:30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2:30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2:30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2:30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2:30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2:30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2:30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2:30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2:3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2:30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2:30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2:30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2:30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2:30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2:30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2:30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2:30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2:30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2:3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2:30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2:30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2:30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2:30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2:30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2:30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2:30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2:30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2:30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2:3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2:30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2:30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2:30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2:30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2:30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2:30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2:30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2:30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2:30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2:3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2:30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2:30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2:30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2:30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2:30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2:30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2:30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2:30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2:30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2:3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2:30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2:30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2:30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2:30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2:30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2:30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2:30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2:30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2:30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2: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2:30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2:30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2:30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2:30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2:30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2:30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2:30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2:30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2:30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2:3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2:30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2:30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2:30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2:30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2:30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2:30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2:30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2:30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2:30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2:3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2:30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2:30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2:30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2:30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2:30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2:30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2:30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2:30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2:30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2:3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2:30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2:30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2:30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2:30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2:30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2:30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2:30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2:30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2:30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2:3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2:30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2:30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2:30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2:30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2:30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2:30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2:30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2:30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2:30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2:3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2:30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2:30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2:30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2:30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2:30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2:30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2:30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2:30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2:30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2:3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2:30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2:30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2:30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2:30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2:30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2:30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2:30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2:30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2:30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2:3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2:30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2:30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2:30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2:30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2:30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2:30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2:30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2:30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2:30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2:3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2:30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2:30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2:30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2:30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2:30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2:30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2:30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2:30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2:30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2:3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2:30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2:30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2:30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2:30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2:30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2:30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2:30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2:30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2:30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2: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2:30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2:30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2:30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2:30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2:30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2:30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2:30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2:30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2:30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2:3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2:30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2:30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2:30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2:30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2:30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2:30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2:30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2:30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2:30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2:3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2:30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2:30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2:30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2:30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2:30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2:30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2:30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2:30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2:30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2:3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2:30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2:30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2:30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2:30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2:30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2:30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2:30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2:30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2:30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2:3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2:30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2:30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2:30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2:30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2:30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2:30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2:30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2:30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2:30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2:3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2:30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2:30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2:30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2:30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2:30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2:30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2:30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2:30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2:30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2:3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2:30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2:30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2:30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2:30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2:30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2:30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2:30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2:30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2:30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2:3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2:30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2:30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2:30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2:30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2:30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2:30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2:30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2:30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2:30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2:3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2:30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2:30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2:30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2:30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2:30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2:30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2:30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2:30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2:30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2:3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2:30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2:30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2:30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2:30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2:30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2:30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2:30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2:30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2:30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2: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2:30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2:30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2:30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2:30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2:30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2:30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2:30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2:30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2:30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2:3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2:30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2:30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2:30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2:30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2:30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2:30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2:30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2:30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2:30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2:3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2:30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2:30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2:30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2:30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2:30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2:30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2:30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2:30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2:30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2:3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2:30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2:30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2:30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2:30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2:30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2:30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2:30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2:30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2:30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2:3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2:30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2:30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2:30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2:30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2:30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2:30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2:30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2:30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2:30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2:3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2:30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2:30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2:30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2:30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2:30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2:30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2:30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2:30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2:30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2:3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2:30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2:30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2:30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2:30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2:30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2:30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2:30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2:30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2:30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2:3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2:30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2:30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2:30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2:30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2:30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2:30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2:30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2:30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2:30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2:3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2:30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2:30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2:30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2:30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2:30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2:30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2:30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2:30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2:30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2:3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2:30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2:30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2:30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2:30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2:30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2:30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2:30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2:30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2:30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2: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2:30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2:30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2:30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2:30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2:30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2:30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2:30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2:30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2:30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2:3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2:30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2:30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2:30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2:30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2:30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2:30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2:30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2:30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2:30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2:3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2:30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2:30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2:30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2:30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2:30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2:30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2:30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2:30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2:30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2:3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2:30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2:30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2:30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2:30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2:30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2:30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2:30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2:30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2:30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2:3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2:30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2:30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2:30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2:30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2:30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2:30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2:30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2:30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2:30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2:30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2:30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2:30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2:30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2:30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2:30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2:30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2:30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2:30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2:30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2:30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2:30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2:30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2:30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2:30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2:30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</sheetData>
  <sortState ref="C5:N14">
    <sortCondition descending="1" ref="H5:H14"/>
    <sortCondition descending="1" ref="N5:N14"/>
  </sortState>
  <conditionalFormatting sqref="D1:E1048576">
    <cfRule type="cellIs" dxfId="3" priority="1" operator="equal">
      <formula>"B"</formula>
    </cfRule>
    <cfRule type="cellIs" dxfId="2" priority="2" operator="equal">
      <formula>"A"</formula>
    </cfRule>
  </conditionalFormatting>
  <conditionalFormatting sqref="D5:E15">
    <cfRule type="cellIs" dxfId="1" priority="3" operator="equal">
      <formula>"Z"</formula>
    </cfRule>
    <cfRule type="cellIs" dxfId="0" priority="4" operator="equal">
      <formula>"C"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9"/>
  <sheetViews>
    <sheetView topLeftCell="A13" workbookViewId="0">
      <selection activeCell="C21" sqref="C21:AC21"/>
    </sheetView>
  </sheetViews>
  <sheetFormatPr baseColWidth="10" defaultRowHeight="15"/>
  <cols>
    <col min="1" max="2" width="26.28515625" customWidth="1"/>
    <col min="3" max="3" width="5.140625" bestFit="1" customWidth="1"/>
    <col min="4" max="4" width="7.28515625" bestFit="1" customWidth="1"/>
    <col min="5" max="5" width="5.140625" customWidth="1"/>
    <col min="6" max="6" width="5" customWidth="1"/>
    <col min="7" max="7" width="5.7109375" customWidth="1"/>
    <col min="8" max="8" width="7.28515625" bestFit="1" customWidth="1"/>
    <col min="9" max="9" width="6" customWidth="1"/>
    <col min="10" max="10" width="7.28515625" bestFit="1" customWidth="1"/>
    <col min="11" max="11" width="6" customWidth="1"/>
    <col min="12" max="12" width="5.5703125" customWidth="1"/>
    <col min="13" max="13" width="6.28515625" customWidth="1"/>
    <col min="14" max="14" width="5.7109375" bestFit="1" customWidth="1"/>
    <col min="15" max="15" width="6.85546875" customWidth="1"/>
    <col min="16" max="16" width="6.140625" bestFit="1" customWidth="1"/>
    <col min="17" max="17" width="6.42578125" bestFit="1" customWidth="1"/>
    <col min="18" max="18" width="5.140625" bestFit="1" customWidth="1"/>
    <col min="19" max="21" width="7.28515625" bestFit="1" customWidth="1"/>
    <col min="22" max="22" width="5.85546875" customWidth="1"/>
    <col min="23" max="23" width="6.28515625" customWidth="1"/>
    <col min="24" max="24" width="9.7109375" customWidth="1"/>
    <col min="25" max="25" width="5.7109375" bestFit="1" customWidth="1"/>
    <col min="26" max="26" width="7.28515625" bestFit="1" customWidth="1"/>
    <col min="27" max="27" width="6.7109375" customWidth="1"/>
    <col min="28" max="28" width="6.85546875" customWidth="1"/>
    <col min="29" max="29" width="6" customWidth="1"/>
    <col min="30" max="30" width="7.140625" customWidth="1"/>
    <col min="31" max="31" width="5.42578125" customWidth="1"/>
    <col min="32" max="33" width="7.7109375" customWidth="1"/>
    <col min="34" max="34" width="16.42578125" customWidth="1"/>
  </cols>
  <sheetData>
    <row r="1" spans="1:34" ht="102.75" customHeight="1" thickBot="1">
      <c r="A1" s="75" t="s">
        <v>2</v>
      </c>
      <c r="B1" s="75" t="s">
        <v>135</v>
      </c>
      <c r="C1" s="76">
        <v>45505</v>
      </c>
      <c r="D1" s="76">
        <v>45506</v>
      </c>
      <c r="E1" s="76">
        <v>45507</v>
      </c>
      <c r="F1" s="76">
        <v>45508</v>
      </c>
      <c r="G1" s="76">
        <v>45509</v>
      </c>
      <c r="H1" s="76">
        <v>45510</v>
      </c>
      <c r="I1" s="76">
        <v>45511</v>
      </c>
      <c r="J1" s="76">
        <v>45512</v>
      </c>
      <c r="K1" s="76">
        <v>45513</v>
      </c>
      <c r="L1" s="76">
        <v>45514</v>
      </c>
      <c r="M1" s="76">
        <v>45515</v>
      </c>
      <c r="N1" s="76">
        <v>45516</v>
      </c>
      <c r="O1" s="76">
        <v>45517</v>
      </c>
      <c r="P1" s="76">
        <v>45518</v>
      </c>
      <c r="Q1" s="76">
        <v>45519</v>
      </c>
      <c r="R1" s="76">
        <v>45520</v>
      </c>
      <c r="S1" s="76">
        <v>45521</v>
      </c>
      <c r="T1" s="76">
        <v>45522</v>
      </c>
      <c r="U1" s="76">
        <v>45523</v>
      </c>
      <c r="V1" s="76">
        <v>45524</v>
      </c>
      <c r="W1" s="76">
        <v>45525</v>
      </c>
      <c r="X1" s="76">
        <v>45526</v>
      </c>
      <c r="Y1" s="76">
        <v>45527</v>
      </c>
      <c r="Z1" s="76">
        <v>45528</v>
      </c>
      <c r="AA1" s="76">
        <v>45529</v>
      </c>
      <c r="AB1" s="76">
        <v>45530</v>
      </c>
      <c r="AC1" s="76">
        <v>45531</v>
      </c>
      <c r="AD1" s="76">
        <v>45532</v>
      </c>
      <c r="AE1" s="76">
        <v>45533</v>
      </c>
      <c r="AF1" s="76">
        <v>45534</v>
      </c>
      <c r="AG1" s="76">
        <v>45535</v>
      </c>
      <c r="AH1" s="76" t="s">
        <v>136</v>
      </c>
    </row>
    <row r="2" spans="1:34" s="79" customFormat="1" ht="79.5" customHeight="1" thickBot="1">
      <c r="A2" s="77" t="s">
        <v>137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1:34" ht="27" customHeight="1" thickBot="1">
      <c r="A3" s="80" t="s">
        <v>111</v>
      </c>
      <c r="B3" s="81" t="s">
        <v>138</v>
      </c>
      <c r="C3" s="82" t="s">
        <v>139</v>
      </c>
      <c r="D3" s="82" t="s">
        <v>139</v>
      </c>
      <c r="E3" s="83" t="s">
        <v>140</v>
      </c>
      <c r="F3" s="83" t="s">
        <v>140</v>
      </c>
      <c r="G3" s="82">
        <v>4</v>
      </c>
      <c r="H3" s="82" t="s">
        <v>140</v>
      </c>
      <c r="I3" s="82" t="s">
        <v>140</v>
      </c>
      <c r="J3" s="82" t="s">
        <v>140</v>
      </c>
      <c r="K3" s="82" t="s">
        <v>140</v>
      </c>
      <c r="L3" s="83" t="s">
        <v>140</v>
      </c>
      <c r="M3" s="83" t="s">
        <v>140</v>
      </c>
      <c r="N3" s="82" t="s">
        <v>140</v>
      </c>
      <c r="O3" s="82" t="s">
        <v>140</v>
      </c>
      <c r="P3" s="82" t="s">
        <v>140</v>
      </c>
      <c r="Q3" s="84" t="s">
        <v>141</v>
      </c>
      <c r="R3" s="82" t="s">
        <v>140</v>
      </c>
      <c r="S3" s="83" t="s">
        <v>140</v>
      </c>
      <c r="T3" s="83" t="s">
        <v>140</v>
      </c>
      <c r="U3" s="82" t="s">
        <v>140</v>
      </c>
      <c r="V3" s="82" t="s">
        <v>140</v>
      </c>
      <c r="W3" s="82" t="s">
        <v>140</v>
      </c>
      <c r="X3" s="82" t="s">
        <v>140</v>
      </c>
      <c r="Y3" s="82" t="s">
        <v>140</v>
      </c>
      <c r="Z3" s="83" t="s">
        <v>140</v>
      </c>
      <c r="AA3" s="83" t="s">
        <v>140</v>
      </c>
      <c r="AB3" s="82" t="s">
        <v>140</v>
      </c>
      <c r="AC3" s="82" t="s">
        <v>140</v>
      </c>
      <c r="AD3" s="82" t="s">
        <v>140</v>
      </c>
      <c r="AE3" s="82"/>
      <c r="AF3" s="82"/>
      <c r="AG3" s="83" t="s">
        <v>140</v>
      </c>
      <c r="AH3" s="85">
        <f t="shared" ref="AH3:AH16" si="0">SUM(C3:AG3)</f>
        <v>4</v>
      </c>
    </row>
    <row r="4" spans="1:34" ht="27" customHeight="1" thickBot="1">
      <c r="A4" s="80" t="s">
        <v>142</v>
      </c>
      <c r="B4" s="81" t="s">
        <v>138</v>
      </c>
      <c r="C4" s="82" t="s">
        <v>139</v>
      </c>
      <c r="D4" s="82" t="s">
        <v>139</v>
      </c>
      <c r="E4" s="83" t="s">
        <v>140</v>
      </c>
      <c r="F4" s="83" t="s">
        <v>140</v>
      </c>
      <c r="G4" s="82" t="s">
        <v>139</v>
      </c>
      <c r="H4" s="82" t="s">
        <v>139</v>
      </c>
      <c r="I4" s="82" t="s">
        <v>139</v>
      </c>
      <c r="J4" s="82" t="s">
        <v>139</v>
      </c>
      <c r="K4" s="82" t="s">
        <v>139</v>
      </c>
      <c r="L4" s="83" t="s">
        <v>140</v>
      </c>
      <c r="M4" s="83" t="s">
        <v>140</v>
      </c>
      <c r="N4" s="82" t="s">
        <v>139</v>
      </c>
      <c r="O4" s="82" t="s">
        <v>139</v>
      </c>
      <c r="P4" s="82" t="s">
        <v>139</v>
      </c>
      <c r="Q4" s="82" t="s">
        <v>139</v>
      </c>
      <c r="R4" s="82" t="s">
        <v>140</v>
      </c>
      <c r="S4" s="83" t="s">
        <v>140</v>
      </c>
      <c r="T4" s="83" t="s">
        <v>140</v>
      </c>
      <c r="U4" s="82" t="s">
        <v>140</v>
      </c>
      <c r="V4" s="82" t="s">
        <v>140</v>
      </c>
      <c r="W4" s="82" t="s">
        <v>140</v>
      </c>
      <c r="X4" s="82" t="s">
        <v>140</v>
      </c>
      <c r="Y4" s="82" t="s">
        <v>140</v>
      </c>
      <c r="Z4" s="83" t="s">
        <v>140</v>
      </c>
      <c r="AA4" s="83" t="s">
        <v>140</v>
      </c>
      <c r="AB4" s="82" t="s">
        <v>140</v>
      </c>
      <c r="AC4" s="82" t="s">
        <v>140</v>
      </c>
      <c r="AD4" s="82" t="s">
        <v>140</v>
      </c>
      <c r="AE4" s="82"/>
      <c r="AF4" s="82"/>
      <c r="AG4" s="83" t="s">
        <v>140</v>
      </c>
      <c r="AH4" s="85">
        <f t="shared" si="0"/>
        <v>0</v>
      </c>
    </row>
    <row r="5" spans="1:34" ht="27" customHeight="1" thickBot="1">
      <c r="A5" s="80" t="s">
        <v>143</v>
      </c>
      <c r="B5" s="81" t="s">
        <v>138</v>
      </c>
      <c r="C5" s="82">
        <v>5</v>
      </c>
      <c r="D5" s="82" t="s">
        <v>139</v>
      </c>
      <c r="E5" s="83" t="s">
        <v>140</v>
      </c>
      <c r="F5" s="83" t="s">
        <v>140</v>
      </c>
      <c r="G5" s="82" t="s">
        <v>144</v>
      </c>
      <c r="H5" s="82" t="s">
        <v>140</v>
      </c>
      <c r="I5" s="82" t="s">
        <v>140</v>
      </c>
      <c r="J5" s="82" t="s">
        <v>140</v>
      </c>
      <c r="K5" s="82" t="s">
        <v>140</v>
      </c>
      <c r="L5" s="83" t="s">
        <v>140</v>
      </c>
      <c r="M5" s="83" t="s">
        <v>140</v>
      </c>
      <c r="N5" s="82" t="s">
        <v>140</v>
      </c>
      <c r="O5" s="82" t="s">
        <v>140</v>
      </c>
      <c r="P5" s="82" t="s">
        <v>140</v>
      </c>
      <c r="Q5" s="84" t="s">
        <v>141</v>
      </c>
      <c r="R5" s="82" t="s">
        <v>140</v>
      </c>
      <c r="S5" s="83" t="s">
        <v>140</v>
      </c>
      <c r="T5" s="83" t="s">
        <v>140</v>
      </c>
      <c r="U5" s="82" t="s">
        <v>140</v>
      </c>
      <c r="V5" s="82" t="s">
        <v>140</v>
      </c>
      <c r="W5" s="82" t="s">
        <v>140</v>
      </c>
      <c r="X5" s="82" t="s">
        <v>140</v>
      </c>
      <c r="Y5" s="82" t="s">
        <v>140</v>
      </c>
      <c r="Z5" s="83" t="s">
        <v>140</v>
      </c>
      <c r="AA5" s="83" t="s">
        <v>140</v>
      </c>
      <c r="AB5" s="82" t="s">
        <v>139</v>
      </c>
      <c r="AC5" s="82" t="s">
        <v>139</v>
      </c>
      <c r="AD5" s="82" t="s">
        <v>139</v>
      </c>
      <c r="AE5" s="82" t="s">
        <v>139</v>
      </c>
      <c r="AF5" s="82" t="s">
        <v>139</v>
      </c>
      <c r="AG5" s="83" t="s">
        <v>140</v>
      </c>
      <c r="AH5" s="85">
        <f t="shared" si="0"/>
        <v>5</v>
      </c>
    </row>
    <row r="6" spans="1:34" ht="27" customHeight="1" thickBot="1">
      <c r="A6" s="80" t="s">
        <v>145</v>
      </c>
      <c r="B6" s="81" t="s">
        <v>138</v>
      </c>
      <c r="C6" s="84" t="s">
        <v>139</v>
      </c>
      <c r="D6" s="84" t="s">
        <v>139</v>
      </c>
      <c r="E6" s="86" t="s">
        <v>140</v>
      </c>
      <c r="F6" s="86" t="s">
        <v>140</v>
      </c>
      <c r="G6" s="84" t="s">
        <v>139</v>
      </c>
      <c r="H6" s="84" t="s">
        <v>140</v>
      </c>
      <c r="I6" s="84" t="s">
        <v>139</v>
      </c>
      <c r="J6" s="84" t="s">
        <v>139</v>
      </c>
      <c r="K6" s="82" t="s">
        <v>139</v>
      </c>
      <c r="L6" s="83" t="s">
        <v>140</v>
      </c>
      <c r="M6" s="83" t="s">
        <v>140</v>
      </c>
      <c r="N6" s="84" t="s">
        <v>139</v>
      </c>
      <c r="O6" s="84" t="s">
        <v>139</v>
      </c>
      <c r="P6" s="84" t="s">
        <v>139</v>
      </c>
      <c r="Q6" s="84" t="s">
        <v>141</v>
      </c>
      <c r="R6" s="84" t="s">
        <v>140</v>
      </c>
      <c r="S6" s="83" t="s">
        <v>140</v>
      </c>
      <c r="T6" s="83" t="s">
        <v>140</v>
      </c>
      <c r="U6" s="84" t="s">
        <v>140</v>
      </c>
      <c r="V6" s="84" t="s">
        <v>140</v>
      </c>
      <c r="W6" s="84" t="s">
        <v>140</v>
      </c>
      <c r="X6" s="84" t="s">
        <v>140</v>
      </c>
      <c r="Y6" s="82" t="s">
        <v>140</v>
      </c>
      <c r="Z6" s="83" t="s">
        <v>140</v>
      </c>
      <c r="AA6" s="83" t="s">
        <v>140</v>
      </c>
      <c r="AB6" s="82" t="s">
        <v>140</v>
      </c>
      <c r="AC6" s="82" t="s">
        <v>140</v>
      </c>
      <c r="AD6" s="82" t="s">
        <v>140</v>
      </c>
      <c r="AE6" s="84"/>
      <c r="AF6" s="84"/>
      <c r="AG6" s="83" t="s">
        <v>140</v>
      </c>
      <c r="AH6" s="85">
        <f t="shared" si="0"/>
        <v>0</v>
      </c>
    </row>
    <row r="7" spans="1:34" ht="27" customHeight="1" thickBot="1">
      <c r="A7" s="80" t="s">
        <v>146</v>
      </c>
      <c r="B7" s="81" t="s">
        <v>138</v>
      </c>
      <c r="C7" s="82">
        <v>5</v>
      </c>
      <c r="D7" s="82">
        <v>2</v>
      </c>
      <c r="E7" s="83" t="s">
        <v>140</v>
      </c>
      <c r="F7" s="83" t="s">
        <v>140</v>
      </c>
      <c r="G7" s="82">
        <v>4</v>
      </c>
      <c r="H7" s="82" t="s">
        <v>140</v>
      </c>
      <c r="I7" s="82" t="s">
        <v>140</v>
      </c>
      <c r="J7" s="82" t="s">
        <v>140</v>
      </c>
      <c r="K7" s="82" t="s">
        <v>140</v>
      </c>
      <c r="L7" s="83" t="s">
        <v>140</v>
      </c>
      <c r="M7" s="83" t="s">
        <v>140</v>
      </c>
      <c r="N7" s="82" t="s">
        <v>140</v>
      </c>
      <c r="O7" s="82" t="s">
        <v>140</v>
      </c>
      <c r="P7" s="82" t="s">
        <v>140</v>
      </c>
      <c r="Q7" s="84" t="s">
        <v>141</v>
      </c>
      <c r="R7" s="82" t="s">
        <v>140</v>
      </c>
      <c r="S7" s="83" t="s">
        <v>140</v>
      </c>
      <c r="T7" s="83" t="s">
        <v>140</v>
      </c>
      <c r="U7" s="82" t="s">
        <v>140</v>
      </c>
      <c r="V7" s="82" t="s">
        <v>140</v>
      </c>
      <c r="W7" s="82" t="s">
        <v>140</v>
      </c>
      <c r="X7" s="82" t="s">
        <v>140</v>
      </c>
      <c r="Y7" s="82" t="s">
        <v>140</v>
      </c>
      <c r="Z7" s="83" t="s">
        <v>140</v>
      </c>
      <c r="AA7" s="83" t="s">
        <v>140</v>
      </c>
      <c r="AB7" s="82" t="s">
        <v>140</v>
      </c>
      <c r="AC7" s="82" t="s">
        <v>140</v>
      </c>
      <c r="AD7" s="82" t="s">
        <v>140</v>
      </c>
      <c r="AE7" s="82"/>
      <c r="AF7" s="82"/>
      <c r="AG7" s="83" t="s">
        <v>140</v>
      </c>
      <c r="AH7" s="85">
        <f t="shared" si="0"/>
        <v>11</v>
      </c>
    </row>
    <row r="8" spans="1:34" ht="27" customHeight="1" thickBot="1">
      <c r="A8" s="80" t="s">
        <v>147</v>
      </c>
      <c r="B8" s="81" t="s">
        <v>138</v>
      </c>
      <c r="C8" s="82">
        <v>5</v>
      </c>
      <c r="D8" s="82" t="s">
        <v>144</v>
      </c>
      <c r="E8" s="83" t="s">
        <v>140</v>
      </c>
      <c r="F8" s="83" t="s">
        <v>140</v>
      </c>
      <c r="G8" s="82" t="s">
        <v>139</v>
      </c>
      <c r="H8" s="82" t="s">
        <v>139</v>
      </c>
      <c r="I8" s="82" t="s">
        <v>139</v>
      </c>
      <c r="J8" s="82" t="s">
        <v>139</v>
      </c>
      <c r="K8" s="82" t="s">
        <v>139</v>
      </c>
      <c r="L8" s="83" t="s">
        <v>140</v>
      </c>
      <c r="M8" s="83" t="s">
        <v>140</v>
      </c>
      <c r="N8" s="82" t="s">
        <v>139</v>
      </c>
      <c r="O8" s="82" t="s">
        <v>139</v>
      </c>
      <c r="P8" s="82" t="s">
        <v>139</v>
      </c>
      <c r="Q8" s="82" t="s">
        <v>139</v>
      </c>
      <c r="R8" s="82" t="s">
        <v>139</v>
      </c>
      <c r="S8" s="83" t="s">
        <v>140</v>
      </c>
      <c r="T8" s="83" t="s">
        <v>140</v>
      </c>
      <c r="U8" s="82" t="s">
        <v>139</v>
      </c>
      <c r="V8" s="82" t="s">
        <v>139</v>
      </c>
      <c r="W8" s="82" t="s">
        <v>139</v>
      </c>
      <c r="X8" s="82" t="s">
        <v>139</v>
      </c>
      <c r="Y8" s="82" t="s">
        <v>139</v>
      </c>
      <c r="Z8" s="83" t="s">
        <v>140</v>
      </c>
      <c r="AA8" s="83" t="s">
        <v>140</v>
      </c>
      <c r="AB8" s="82">
        <v>5</v>
      </c>
      <c r="AC8" s="82">
        <v>5</v>
      </c>
      <c r="AD8" s="82">
        <v>5</v>
      </c>
      <c r="AE8" s="82"/>
      <c r="AF8" s="82"/>
      <c r="AG8" s="83" t="s">
        <v>140</v>
      </c>
      <c r="AH8" s="85">
        <f t="shared" si="0"/>
        <v>20</v>
      </c>
    </row>
    <row r="9" spans="1:34" ht="27" customHeight="1" thickBot="1">
      <c r="A9" s="80" t="s">
        <v>107</v>
      </c>
      <c r="B9" s="81" t="s">
        <v>138</v>
      </c>
      <c r="C9" s="82" t="s">
        <v>148</v>
      </c>
      <c r="D9" s="82" t="s">
        <v>148</v>
      </c>
      <c r="E9" s="83" t="s">
        <v>140</v>
      </c>
      <c r="F9" s="83" t="s">
        <v>140</v>
      </c>
      <c r="G9" s="82">
        <v>4</v>
      </c>
      <c r="H9" s="82" t="s">
        <v>140</v>
      </c>
      <c r="I9" s="82" t="s">
        <v>140</v>
      </c>
      <c r="J9" s="82" t="s">
        <v>140</v>
      </c>
      <c r="K9" s="82" t="s">
        <v>140</v>
      </c>
      <c r="L9" s="83" t="s">
        <v>140</v>
      </c>
      <c r="M9" s="83" t="s">
        <v>140</v>
      </c>
      <c r="N9" s="82" t="s">
        <v>140</v>
      </c>
      <c r="O9" s="82" t="s">
        <v>140</v>
      </c>
      <c r="P9" s="82" t="s">
        <v>140</v>
      </c>
      <c r="Q9" s="84" t="s">
        <v>141</v>
      </c>
      <c r="R9" s="82" t="s">
        <v>140</v>
      </c>
      <c r="S9" s="83" t="s">
        <v>140</v>
      </c>
      <c r="T9" s="83" t="s">
        <v>140</v>
      </c>
      <c r="U9" s="82" t="s">
        <v>140</v>
      </c>
      <c r="V9" s="82" t="s">
        <v>140</v>
      </c>
      <c r="W9" s="82" t="s">
        <v>140</v>
      </c>
      <c r="X9" s="82" t="s">
        <v>140</v>
      </c>
      <c r="Y9" s="82" t="s">
        <v>140</v>
      </c>
      <c r="Z9" s="83" t="s">
        <v>140</v>
      </c>
      <c r="AA9" s="83" t="s">
        <v>140</v>
      </c>
      <c r="AB9" s="82" t="s">
        <v>140</v>
      </c>
      <c r="AC9" s="82" t="s">
        <v>140</v>
      </c>
      <c r="AD9" s="82" t="s">
        <v>140</v>
      </c>
      <c r="AE9" s="82"/>
      <c r="AF9" s="82"/>
      <c r="AG9" s="83" t="s">
        <v>140</v>
      </c>
      <c r="AH9" s="85">
        <f t="shared" si="0"/>
        <v>4</v>
      </c>
    </row>
    <row r="10" spans="1:34" ht="27" customHeight="1" thickBot="1">
      <c r="A10" s="80" t="s">
        <v>132</v>
      </c>
      <c r="B10" s="81" t="s">
        <v>138</v>
      </c>
      <c r="C10" s="82">
        <v>8</v>
      </c>
      <c r="D10" s="82">
        <v>5</v>
      </c>
      <c r="E10" s="83" t="s">
        <v>140</v>
      </c>
      <c r="F10" s="83" t="s">
        <v>140</v>
      </c>
      <c r="G10" s="82">
        <v>6</v>
      </c>
      <c r="H10" s="82" t="s">
        <v>140</v>
      </c>
      <c r="I10" s="82" t="s">
        <v>140</v>
      </c>
      <c r="J10" s="82" t="s">
        <v>140</v>
      </c>
      <c r="K10" s="82" t="s">
        <v>140</v>
      </c>
      <c r="L10" s="83" t="s">
        <v>140</v>
      </c>
      <c r="M10" s="83" t="s">
        <v>140</v>
      </c>
      <c r="N10" s="82" t="s">
        <v>139</v>
      </c>
      <c r="O10" s="82" t="s">
        <v>139</v>
      </c>
      <c r="P10" s="82" t="s">
        <v>139</v>
      </c>
      <c r="Q10" s="82" t="s">
        <v>139</v>
      </c>
      <c r="R10" s="82" t="s">
        <v>139</v>
      </c>
      <c r="S10" s="83" t="s">
        <v>140</v>
      </c>
      <c r="T10" s="83" t="s">
        <v>140</v>
      </c>
      <c r="U10" s="82" t="s">
        <v>140</v>
      </c>
      <c r="V10" s="82" t="s">
        <v>140</v>
      </c>
      <c r="W10" s="82" t="s">
        <v>140</v>
      </c>
      <c r="X10" s="82" t="s">
        <v>140</v>
      </c>
      <c r="Y10" s="82" t="s">
        <v>140</v>
      </c>
      <c r="Z10" s="83" t="s">
        <v>140</v>
      </c>
      <c r="AA10" s="83" t="s">
        <v>140</v>
      </c>
      <c r="AB10" s="82" t="s">
        <v>140</v>
      </c>
      <c r="AC10" s="82" t="s">
        <v>140</v>
      </c>
      <c r="AD10" s="82" t="s">
        <v>140</v>
      </c>
      <c r="AE10" s="82"/>
      <c r="AF10" s="82"/>
      <c r="AG10" s="83" t="s">
        <v>140</v>
      </c>
      <c r="AH10" s="85">
        <f t="shared" si="0"/>
        <v>19</v>
      </c>
    </row>
    <row r="11" spans="1:34" ht="27" customHeight="1" thickBot="1">
      <c r="A11" s="80" t="s">
        <v>131</v>
      </c>
      <c r="B11" s="81" t="s">
        <v>138</v>
      </c>
      <c r="C11" s="82">
        <v>8</v>
      </c>
      <c r="D11" s="82">
        <v>5</v>
      </c>
      <c r="E11" s="83" t="s">
        <v>140</v>
      </c>
      <c r="F11" s="83" t="s">
        <v>140</v>
      </c>
      <c r="G11" s="82" t="s">
        <v>139</v>
      </c>
      <c r="H11" s="82" t="s">
        <v>139</v>
      </c>
      <c r="I11" s="82" t="s">
        <v>139</v>
      </c>
      <c r="J11" s="82" t="s">
        <v>139</v>
      </c>
      <c r="K11" s="82" t="s">
        <v>139</v>
      </c>
      <c r="L11" s="83" t="s">
        <v>140</v>
      </c>
      <c r="M11" s="83" t="s">
        <v>140</v>
      </c>
      <c r="N11" s="82" t="s">
        <v>139</v>
      </c>
      <c r="O11" s="82" t="s">
        <v>139</v>
      </c>
      <c r="P11" s="82" t="s">
        <v>139</v>
      </c>
      <c r="Q11" s="82" t="s">
        <v>139</v>
      </c>
      <c r="R11" s="82" t="s">
        <v>139</v>
      </c>
      <c r="S11" s="83" t="s">
        <v>140</v>
      </c>
      <c r="T11" s="83" t="s">
        <v>140</v>
      </c>
      <c r="U11" s="82" t="s">
        <v>140</v>
      </c>
      <c r="V11" s="82" t="s">
        <v>140</v>
      </c>
      <c r="W11" s="82" t="s">
        <v>140</v>
      </c>
      <c r="X11" s="82" t="s">
        <v>140</v>
      </c>
      <c r="Y11" s="82" t="s">
        <v>140</v>
      </c>
      <c r="Z11" s="83" t="s">
        <v>140</v>
      </c>
      <c r="AA11" s="83" t="s">
        <v>140</v>
      </c>
      <c r="AB11" s="82" t="s">
        <v>140</v>
      </c>
      <c r="AC11" s="82" t="s">
        <v>140</v>
      </c>
      <c r="AD11" s="82" t="s">
        <v>140</v>
      </c>
      <c r="AE11" s="82"/>
      <c r="AF11" s="82"/>
      <c r="AG11" s="83" t="s">
        <v>140</v>
      </c>
      <c r="AH11" s="85">
        <f t="shared" si="0"/>
        <v>13</v>
      </c>
    </row>
    <row r="12" spans="1:34" ht="27" customHeight="1" thickBot="1">
      <c r="A12" s="80" t="s">
        <v>122</v>
      </c>
      <c r="B12" s="81" t="s">
        <v>138</v>
      </c>
      <c r="C12" s="87" t="s">
        <v>148</v>
      </c>
      <c r="D12" s="87" t="s">
        <v>148</v>
      </c>
      <c r="E12" s="83" t="s">
        <v>140</v>
      </c>
      <c r="F12" s="83" t="s">
        <v>140</v>
      </c>
      <c r="G12" s="87">
        <v>6</v>
      </c>
      <c r="H12" s="87" t="s">
        <v>140</v>
      </c>
      <c r="I12" s="87" t="s">
        <v>140</v>
      </c>
      <c r="J12" s="82" t="s">
        <v>139</v>
      </c>
      <c r="K12" s="82" t="s">
        <v>139</v>
      </c>
      <c r="L12" s="83" t="s">
        <v>140</v>
      </c>
      <c r="M12" s="83" t="s">
        <v>140</v>
      </c>
      <c r="N12" s="82" t="s">
        <v>139</v>
      </c>
      <c r="O12" s="82" t="s">
        <v>139</v>
      </c>
      <c r="P12" s="82" t="s">
        <v>139</v>
      </c>
      <c r="Q12" s="82" t="s">
        <v>139</v>
      </c>
      <c r="R12" s="82" t="s">
        <v>139</v>
      </c>
      <c r="S12" s="83" t="s">
        <v>140</v>
      </c>
      <c r="T12" s="83" t="s">
        <v>140</v>
      </c>
      <c r="U12" s="82" t="s">
        <v>140</v>
      </c>
      <c r="V12" s="84" t="s">
        <v>140</v>
      </c>
      <c r="W12" s="82" t="s">
        <v>140</v>
      </c>
      <c r="X12" s="82" t="s">
        <v>140</v>
      </c>
      <c r="Y12" s="82" t="s">
        <v>140</v>
      </c>
      <c r="Z12" s="83" t="s">
        <v>140</v>
      </c>
      <c r="AA12" s="83" t="s">
        <v>140</v>
      </c>
      <c r="AB12" s="82" t="s">
        <v>140</v>
      </c>
      <c r="AC12" s="82" t="s">
        <v>140</v>
      </c>
      <c r="AD12" s="82" t="s">
        <v>140</v>
      </c>
      <c r="AE12" s="87"/>
      <c r="AF12" s="87"/>
      <c r="AG12" s="83" t="s">
        <v>140</v>
      </c>
      <c r="AH12" s="85">
        <f t="shared" si="0"/>
        <v>6</v>
      </c>
    </row>
    <row r="13" spans="1:34" ht="27" customHeight="1" thickBot="1">
      <c r="A13" s="80" t="s">
        <v>108</v>
      </c>
      <c r="B13" s="81" t="s">
        <v>138</v>
      </c>
      <c r="C13" s="88">
        <v>5</v>
      </c>
      <c r="D13" s="88">
        <v>2</v>
      </c>
      <c r="E13" s="86" t="s">
        <v>140</v>
      </c>
      <c r="F13" s="86" t="s">
        <v>140</v>
      </c>
      <c r="G13" s="88">
        <v>4</v>
      </c>
      <c r="H13" s="88" t="s">
        <v>140</v>
      </c>
      <c r="I13" s="88" t="s">
        <v>140</v>
      </c>
      <c r="J13" s="88" t="s">
        <v>140</v>
      </c>
      <c r="K13" s="88" t="s">
        <v>140</v>
      </c>
      <c r="L13" s="83" t="s">
        <v>140</v>
      </c>
      <c r="M13" s="83" t="s">
        <v>140</v>
      </c>
      <c r="N13" s="88">
        <v>5</v>
      </c>
      <c r="O13" s="88">
        <v>5</v>
      </c>
      <c r="P13" s="88" t="s">
        <v>148</v>
      </c>
      <c r="Q13" s="84" t="s">
        <v>141</v>
      </c>
      <c r="R13" s="88">
        <v>5</v>
      </c>
      <c r="S13" s="83" t="s">
        <v>140</v>
      </c>
      <c r="T13" s="83" t="s">
        <v>140</v>
      </c>
      <c r="U13" s="82" t="s">
        <v>139</v>
      </c>
      <c r="V13" s="82" t="s">
        <v>139</v>
      </c>
      <c r="W13" s="82" t="s">
        <v>139</v>
      </c>
      <c r="X13" s="82" t="s">
        <v>139</v>
      </c>
      <c r="Y13" s="82" t="s">
        <v>139</v>
      </c>
      <c r="Z13" s="83" t="s">
        <v>140</v>
      </c>
      <c r="AA13" s="83" t="s">
        <v>140</v>
      </c>
      <c r="AB13" s="82" t="s">
        <v>140</v>
      </c>
      <c r="AC13" s="82" t="s">
        <v>140</v>
      </c>
      <c r="AD13" s="82" t="s">
        <v>140</v>
      </c>
      <c r="AE13" s="88"/>
      <c r="AF13" s="88"/>
      <c r="AG13" s="83" t="s">
        <v>140</v>
      </c>
      <c r="AH13" s="85">
        <f t="shared" si="0"/>
        <v>26</v>
      </c>
    </row>
    <row r="14" spans="1:34" ht="27" customHeight="1" thickBot="1">
      <c r="A14" s="80" t="s">
        <v>123</v>
      </c>
      <c r="B14" s="81" t="s">
        <v>138</v>
      </c>
      <c r="C14" s="82">
        <v>5</v>
      </c>
      <c r="D14" s="82">
        <v>2</v>
      </c>
      <c r="E14" s="83" t="s">
        <v>140</v>
      </c>
      <c r="F14" s="83" t="s">
        <v>140</v>
      </c>
      <c r="G14" s="82">
        <v>4</v>
      </c>
      <c r="H14" s="82">
        <v>3</v>
      </c>
      <c r="I14" s="82" t="s">
        <v>140</v>
      </c>
      <c r="J14" s="82" t="s">
        <v>140</v>
      </c>
      <c r="K14" s="82" t="s">
        <v>140</v>
      </c>
      <c r="L14" s="83" t="s">
        <v>140</v>
      </c>
      <c r="M14" s="83" t="s">
        <v>140</v>
      </c>
      <c r="N14" s="88">
        <v>5</v>
      </c>
      <c r="O14" s="88">
        <v>5</v>
      </c>
      <c r="P14" s="88">
        <v>5</v>
      </c>
      <c r="Q14" s="84" t="s">
        <v>141</v>
      </c>
      <c r="R14" s="88">
        <v>5</v>
      </c>
      <c r="S14" s="83" t="s">
        <v>140</v>
      </c>
      <c r="T14" s="83" t="s">
        <v>140</v>
      </c>
      <c r="U14" s="82" t="s">
        <v>140</v>
      </c>
      <c r="V14" s="82" t="s">
        <v>140</v>
      </c>
      <c r="W14" s="82" t="s">
        <v>140</v>
      </c>
      <c r="X14" s="82" t="s">
        <v>140</v>
      </c>
      <c r="Y14" s="82" t="s">
        <v>140</v>
      </c>
      <c r="Z14" s="83" t="s">
        <v>140</v>
      </c>
      <c r="AA14" s="83" t="s">
        <v>140</v>
      </c>
      <c r="AB14" s="82" t="s">
        <v>140</v>
      </c>
      <c r="AC14" s="82" t="s">
        <v>140</v>
      </c>
      <c r="AD14" s="82" t="s">
        <v>140</v>
      </c>
      <c r="AE14" s="82"/>
      <c r="AF14" s="82"/>
      <c r="AG14" s="83" t="s">
        <v>140</v>
      </c>
      <c r="AH14" s="85">
        <f t="shared" si="0"/>
        <v>34</v>
      </c>
    </row>
    <row r="15" spans="1:34" ht="27" customHeight="1" thickBot="1">
      <c r="A15" s="80" t="s">
        <v>110</v>
      </c>
      <c r="B15" s="81" t="s">
        <v>138</v>
      </c>
      <c r="C15" s="82">
        <v>5</v>
      </c>
      <c r="D15" s="82">
        <v>2</v>
      </c>
      <c r="E15" s="83" t="s">
        <v>140</v>
      </c>
      <c r="F15" s="83" t="s">
        <v>140</v>
      </c>
      <c r="G15" s="82">
        <v>4</v>
      </c>
      <c r="H15" s="82" t="s">
        <v>140</v>
      </c>
      <c r="I15" s="82" t="s">
        <v>140</v>
      </c>
      <c r="J15" s="82" t="s">
        <v>140</v>
      </c>
      <c r="K15" s="82" t="s">
        <v>140</v>
      </c>
      <c r="L15" s="83" t="s">
        <v>140</v>
      </c>
      <c r="M15" s="83" t="s">
        <v>140</v>
      </c>
      <c r="N15" s="88" t="s">
        <v>140</v>
      </c>
      <c r="O15" s="88" t="s">
        <v>140</v>
      </c>
      <c r="P15" s="88" t="s">
        <v>140</v>
      </c>
      <c r="Q15" s="84" t="s">
        <v>141</v>
      </c>
      <c r="R15" s="88" t="s">
        <v>140</v>
      </c>
      <c r="S15" s="83" t="s">
        <v>140</v>
      </c>
      <c r="T15" s="83" t="s">
        <v>140</v>
      </c>
      <c r="U15" s="82" t="s">
        <v>140</v>
      </c>
      <c r="V15" s="82" t="s">
        <v>140</v>
      </c>
      <c r="W15" s="82" t="s">
        <v>140</v>
      </c>
      <c r="X15" s="82" t="s">
        <v>140</v>
      </c>
      <c r="Y15" s="82" t="s">
        <v>140</v>
      </c>
      <c r="Z15" s="83" t="s">
        <v>140</v>
      </c>
      <c r="AA15" s="83" t="s">
        <v>140</v>
      </c>
      <c r="AB15" s="82" t="s">
        <v>140</v>
      </c>
      <c r="AC15" s="82" t="s">
        <v>140</v>
      </c>
      <c r="AD15" s="82" t="s">
        <v>140</v>
      </c>
      <c r="AE15" s="82"/>
      <c r="AF15" s="82"/>
      <c r="AG15" s="83" t="s">
        <v>140</v>
      </c>
      <c r="AH15" s="85">
        <f t="shared" si="0"/>
        <v>11</v>
      </c>
    </row>
    <row r="16" spans="1:34" ht="27" customHeight="1" thickBot="1">
      <c r="A16" s="80" t="s">
        <v>113</v>
      </c>
      <c r="B16" s="81" t="s">
        <v>138</v>
      </c>
      <c r="C16" s="88">
        <v>5</v>
      </c>
      <c r="D16" s="88">
        <v>2</v>
      </c>
      <c r="E16" s="86" t="s">
        <v>140</v>
      </c>
      <c r="F16" s="86" t="s">
        <v>140</v>
      </c>
      <c r="G16" s="88">
        <v>4</v>
      </c>
      <c r="H16" s="88" t="s">
        <v>140</v>
      </c>
      <c r="I16" s="88" t="s">
        <v>140</v>
      </c>
      <c r="J16" s="88" t="s">
        <v>140</v>
      </c>
      <c r="K16" s="88" t="s">
        <v>140</v>
      </c>
      <c r="L16" s="83" t="s">
        <v>140</v>
      </c>
      <c r="M16" s="83" t="s">
        <v>140</v>
      </c>
      <c r="N16" s="88" t="s">
        <v>140</v>
      </c>
      <c r="O16" s="88" t="s">
        <v>140</v>
      </c>
      <c r="P16" s="88" t="s">
        <v>140</v>
      </c>
      <c r="Q16" s="84" t="s">
        <v>141</v>
      </c>
      <c r="R16" s="88" t="s">
        <v>140</v>
      </c>
      <c r="S16" s="83" t="s">
        <v>140</v>
      </c>
      <c r="T16" s="83" t="s">
        <v>140</v>
      </c>
      <c r="U16" s="88" t="s">
        <v>140</v>
      </c>
      <c r="V16" s="88" t="s">
        <v>140</v>
      </c>
      <c r="W16" s="88" t="s">
        <v>140</v>
      </c>
      <c r="X16" s="88" t="s">
        <v>140</v>
      </c>
      <c r="Y16" s="82" t="s">
        <v>140</v>
      </c>
      <c r="Z16" s="83" t="s">
        <v>140</v>
      </c>
      <c r="AA16" s="83" t="s">
        <v>140</v>
      </c>
      <c r="AB16" s="82" t="s">
        <v>140</v>
      </c>
      <c r="AC16" s="82" t="s">
        <v>140</v>
      </c>
      <c r="AD16" s="82" t="s">
        <v>140</v>
      </c>
      <c r="AE16" s="88"/>
      <c r="AF16" s="88"/>
      <c r="AG16" s="83" t="s">
        <v>140</v>
      </c>
      <c r="AH16" s="85">
        <f t="shared" si="0"/>
        <v>11</v>
      </c>
    </row>
    <row r="17" spans="1:34" ht="31.5" customHeight="1" thickBot="1">
      <c r="A17" s="89" t="s">
        <v>149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5">
        <f>SUM(AH3:AH16)</f>
        <v>164</v>
      </c>
    </row>
    <row r="18" spans="1:34" ht="71.25" customHeight="1" thickBot="1">
      <c r="A18" s="77" t="s">
        <v>150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spans="1:34" ht="27" customHeight="1" thickBot="1">
      <c r="A19" s="80" t="s">
        <v>151</v>
      </c>
      <c r="B19" s="81" t="s">
        <v>138</v>
      </c>
      <c r="C19" s="85">
        <v>5</v>
      </c>
      <c r="D19" s="85">
        <v>5</v>
      </c>
      <c r="E19" s="90" t="s">
        <v>140</v>
      </c>
      <c r="F19" s="90" t="s">
        <v>140</v>
      </c>
      <c r="G19" s="85" t="s">
        <v>152</v>
      </c>
      <c r="H19" s="85" t="s">
        <v>152</v>
      </c>
      <c r="I19" s="85" t="s">
        <v>152</v>
      </c>
      <c r="J19" s="85" t="s">
        <v>152</v>
      </c>
      <c r="K19" s="85" t="s">
        <v>152</v>
      </c>
      <c r="L19" s="90" t="s">
        <v>140</v>
      </c>
      <c r="M19" s="90" t="s">
        <v>140</v>
      </c>
      <c r="N19" s="85" t="s">
        <v>152</v>
      </c>
      <c r="O19" s="85" t="s">
        <v>152</v>
      </c>
      <c r="P19" s="85" t="s">
        <v>152</v>
      </c>
      <c r="Q19" s="84" t="s">
        <v>141</v>
      </c>
      <c r="R19" s="85" t="s">
        <v>153</v>
      </c>
      <c r="S19" s="90" t="s">
        <v>140</v>
      </c>
      <c r="T19" s="90" t="s">
        <v>140</v>
      </c>
      <c r="U19" s="85" t="s">
        <v>153</v>
      </c>
      <c r="V19" s="85" t="s">
        <v>153</v>
      </c>
      <c r="W19" s="85" t="s">
        <v>153</v>
      </c>
      <c r="X19" s="85" t="s">
        <v>153</v>
      </c>
      <c r="Y19" s="85" t="s">
        <v>153</v>
      </c>
      <c r="Z19" s="90" t="s">
        <v>140</v>
      </c>
      <c r="AA19" s="90" t="s">
        <v>140</v>
      </c>
      <c r="AB19" s="85" t="s">
        <v>152</v>
      </c>
      <c r="AC19" s="85" t="s">
        <v>152</v>
      </c>
      <c r="AD19" s="85" t="s">
        <v>152</v>
      </c>
      <c r="AE19" s="85" t="s">
        <v>152</v>
      </c>
      <c r="AF19" s="85" t="s">
        <v>152</v>
      </c>
      <c r="AG19" s="90" t="s">
        <v>140</v>
      </c>
      <c r="AH19" s="91">
        <f>SUM(C19:AG19)</f>
        <v>10</v>
      </c>
    </row>
    <row r="20" spans="1:34" ht="27" customHeight="1" thickBot="1">
      <c r="A20" s="80" t="s">
        <v>127</v>
      </c>
      <c r="B20" s="81" t="s">
        <v>138</v>
      </c>
      <c r="C20" s="85">
        <v>5</v>
      </c>
      <c r="D20" s="85">
        <v>5</v>
      </c>
      <c r="E20" s="90" t="s">
        <v>140</v>
      </c>
      <c r="F20" s="90" t="s">
        <v>140</v>
      </c>
      <c r="G20" s="85" t="s">
        <v>152</v>
      </c>
      <c r="H20" s="85" t="s">
        <v>152</v>
      </c>
      <c r="I20" s="85" t="s">
        <v>152</v>
      </c>
      <c r="J20" s="85" t="s">
        <v>152</v>
      </c>
      <c r="K20" s="85" t="s">
        <v>152</v>
      </c>
      <c r="L20" s="90" t="s">
        <v>140</v>
      </c>
      <c r="M20" s="90" t="s">
        <v>140</v>
      </c>
      <c r="N20" s="85" t="s">
        <v>152</v>
      </c>
      <c r="O20" s="85" t="s">
        <v>152</v>
      </c>
      <c r="P20" s="85" t="s">
        <v>152</v>
      </c>
      <c r="Q20" s="84" t="s">
        <v>141</v>
      </c>
      <c r="R20" s="85" t="s">
        <v>152</v>
      </c>
      <c r="S20" s="90" t="s">
        <v>140</v>
      </c>
      <c r="T20" s="90" t="s">
        <v>140</v>
      </c>
      <c r="U20" s="85" t="s">
        <v>153</v>
      </c>
      <c r="V20" s="85" t="s">
        <v>153</v>
      </c>
      <c r="W20" s="85">
        <v>5</v>
      </c>
      <c r="X20" s="85">
        <v>5</v>
      </c>
      <c r="Y20" s="85">
        <v>5</v>
      </c>
      <c r="Z20" s="90" t="s">
        <v>140</v>
      </c>
      <c r="AA20" s="90" t="s">
        <v>140</v>
      </c>
      <c r="AB20" s="85">
        <v>5</v>
      </c>
      <c r="AC20" s="85" t="s">
        <v>152</v>
      </c>
      <c r="AD20" s="85" t="s">
        <v>152</v>
      </c>
      <c r="AE20" s="85" t="s">
        <v>152</v>
      </c>
      <c r="AF20" s="85" t="s">
        <v>152</v>
      </c>
      <c r="AG20" s="90" t="s">
        <v>140</v>
      </c>
      <c r="AH20" s="91">
        <f t="shared" ref="AH20:AH30" si="1">SUM(C20:AG20)</f>
        <v>30</v>
      </c>
    </row>
    <row r="21" spans="1:34" ht="27" customHeight="1" thickBot="1">
      <c r="A21" s="80" t="s">
        <v>121</v>
      </c>
      <c r="B21" s="81" t="s">
        <v>138</v>
      </c>
      <c r="C21" s="92" t="s">
        <v>148</v>
      </c>
      <c r="D21" s="85">
        <v>5</v>
      </c>
      <c r="E21" s="93" t="s">
        <v>140</v>
      </c>
      <c r="F21" s="93" t="s">
        <v>140</v>
      </c>
      <c r="G21" s="85" t="s">
        <v>152</v>
      </c>
      <c r="H21" s="85" t="s">
        <v>152</v>
      </c>
      <c r="I21" s="92">
        <v>8</v>
      </c>
      <c r="J21" s="92">
        <v>8</v>
      </c>
      <c r="K21" s="92">
        <v>8</v>
      </c>
      <c r="L21" s="93" t="s">
        <v>140</v>
      </c>
      <c r="M21" s="93" t="s">
        <v>140</v>
      </c>
      <c r="N21" s="92">
        <v>8</v>
      </c>
      <c r="O21" s="92">
        <v>8</v>
      </c>
      <c r="P21" s="92">
        <v>8</v>
      </c>
      <c r="Q21" s="84" t="s">
        <v>141</v>
      </c>
      <c r="R21" s="92">
        <v>8</v>
      </c>
      <c r="S21" s="93" t="s">
        <v>140</v>
      </c>
      <c r="T21" s="94" t="s">
        <v>140</v>
      </c>
      <c r="U21" s="85" t="s">
        <v>153</v>
      </c>
      <c r="V21" s="85" t="s">
        <v>153</v>
      </c>
      <c r="W21" s="85" t="s">
        <v>153</v>
      </c>
      <c r="X21" s="85" t="s">
        <v>153</v>
      </c>
      <c r="Y21" s="85" t="s">
        <v>153</v>
      </c>
      <c r="Z21" s="92" t="s">
        <v>140</v>
      </c>
      <c r="AA21" s="92" t="s">
        <v>140</v>
      </c>
      <c r="AB21" s="85" t="s">
        <v>152</v>
      </c>
      <c r="AC21" s="85" t="s">
        <v>152</v>
      </c>
      <c r="AD21" s="85" t="s">
        <v>152</v>
      </c>
      <c r="AE21" s="85" t="s">
        <v>152</v>
      </c>
      <c r="AF21" s="85" t="s">
        <v>152</v>
      </c>
      <c r="AG21" s="94" t="s">
        <v>140</v>
      </c>
      <c r="AH21" s="91">
        <f t="shared" si="1"/>
        <v>61</v>
      </c>
    </row>
    <row r="22" spans="1:34" ht="27" customHeight="1" thickBot="1">
      <c r="A22" s="80" t="s">
        <v>154</v>
      </c>
      <c r="B22" s="81" t="s">
        <v>138</v>
      </c>
      <c r="C22" s="85">
        <v>5</v>
      </c>
      <c r="D22" s="85">
        <v>5</v>
      </c>
      <c r="E22" s="90" t="s">
        <v>140</v>
      </c>
      <c r="F22" s="90" t="s">
        <v>140</v>
      </c>
      <c r="G22" s="85" t="s">
        <v>152</v>
      </c>
      <c r="H22" s="85" t="s">
        <v>152</v>
      </c>
      <c r="I22" s="85" t="s">
        <v>152</v>
      </c>
      <c r="J22" s="85" t="s">
        <v>152</v>
      </c>
      <c r="K22" s="85" t="s">
        <v>152</v>
      </c>
      <c r="L22" s="90" t="s">
        <v>140</v>
      </c>
      <c r="M22" s="90" t="s">
        <v>140</v>
      </c>
      <c r="N22" s="85" t="s">
        <v>152</v>
      </c>
      <c r="O22" s="85" t="s">
        <v>152</v>
      </c>
      <c r="P22" s="85" t="s">
        <v>152</v>
      </c>
      <c r="Q22" s="84" t="s">
        <v>141</v>
      </c>
      <c r="R22" s="85" t="s">
        <v>152</v>
      </c>
      <c r="S22" s="90" t="s">
        <v>140</v>
      </c>
      <c r="T22" s="90" t="s">
        <v>140</v>
      </c>
      <c r="U22" s="85" t="s">
        <v>153</v>
      </c>
      <c r="V22" s="85" t="s">
        <v>153</v>
      </c>
      <c r="W22" s="85">
        <v>5</v>
      </c>
      <c r="X22" s="85">
        <v>5</v>
      </c>
      <c r="Y22" s="85">
        <v>5</v>
      </c>
      <c r="Z22" s="90" t="s">
        <v>140</v>
      </c>
      <c r="AA22" s="90" t="s">
        <v>140</v>
      </c>
      <c r="AB22" s="85">
        <v>5</v>
      </c>
      <c r="AC22" s="85" t="s">
        <v>152</v>
      </c>
      <c r="AD22" s="85" t="s">
        <v>152</v>
      </c>
      <c r="AE22" s="85" t="s">
        <v>152</v>
      </c>
      <c r="AF22" s="85" t="s">
        <v>152</v>
      </c>
      <c r="AG22" s="90" t="s">
        <v>140</v>
      </c>
      <c r="AH22" s="91">
        <f t="shared" si="1"/>
        <v>30</v>
      </c>
    </row>
    <row r="23" spans="1:34" ht="27" customHeight="1" thickBot="1">
      <c r="A23" s="80" t="s">
        <v>155</v>
      </c>
      <c r="B23" s="81" t="s">
        <v>138</v>
      </c>
      <c r="C23" s="85">
        <v>5</v>
      </c>
      <c r="D23" s="85">
        <v>5</v>
      </c>
      <c r="E23" s="90" t="s">
        <v>140</v>
      </c>
      <c r="F23" s="90" t="s">
        <v>140</v>
      </c>
      <c r="G23" s="85" t="s">
        <v>152</v>
      </c>
      <c r="H23" s="85" t="s">
        <v>152</v>
      </c>
      <c r="I23" s="85" t="s">
        <v>152</v>
      </c>
      <c r="J23" s="85" t="s">
        <v>152</v>
      </c>
      <c r="K23" s="85" t="s">
        <v>152</v>
      </c>
      <c r="L23" s="90" t="s">
        <v>140</v>
      </c>
      <c r="M23" s="90" t="s">
        <v>140</v>
      </c>
      <c r="N23" s="85" t="s">
        <v>152</v>
      </c>
      <c r="O23" s="85" t="s">
        <v>152</v>
      </c>
      <c r="P23" s="85" t="s">
        <v>152</v>
      </c>
      <c r="Q23" s="84" t="s">
        <v>141</v>
      </c>
      <c r="R23" s="85" t="s">
        <v>152</v>
      </c>
      <c r="S23" s="90" t="s">
        <v>140</v>
      </c>
      <c r="T23" s="90" t="s">
        <v>140</v>
      </c>
      <c r="U23" s="85" t="s">
        <v>153</v>
      </c>
      <c r="V23" s="85" t="s">
        <v>153</v>
      </c>
      <c r="W23" s="85" t="s">
        <v>153</v>
      </c>
      <c r="X23" s="85" t="s">
        <v>153</v>
      </c>
      <c r="Y23" s="85" t="s">
        <v>153</v>
      </c>
      <c r="Z23" s="90" t="s">
        <v>140</v>
      </c>
      <c r="AA23" s="90" t="s">
        <v>140</v>
      </c>
      <c r="AB23" s="85" t="s">
        <v>152</v>
      </c>
      <c r="AC23" s="85" t="s">
        <v>152</v>
      </c>
      <c r="AD23" s="85" t="s">
        <v>152</v>
      </c>
      <c r="AE23" s="85" t="s">
        <v>152</v>
      </c>
      <c r="AF23" s="85" t="s">
        <v>152</v>
      </c>
      <c r="AG23" s="90" t="s">
        <v>140</v>
      </c>
      <c r="AH23" s="91">
        <f t="shared" si="1"/>
        <v>10</v>
      </c>
    </row>
    <row r="24" spans="1:34" ht="27" customHeight="1" thickBot="1">
      <c r="A24" s="80" t="s">
        <v>117</v>
      </c>
      <c r="B24" s="81" t="s">
        <v>138</v>
      </c>
      <c r="C24" s="85">
        <v>5</v>
      </c>
      <c r="D24" s="85">
        <v>5</v>
      </c>
      <c r="E24" s="90" t="s">
        <v>140</v>
      </c>
      <c r="F24" s="90" t="s">
        <v>140</v>
      </c>
      <c r="G24" s="85" t="s">
        <v>152</v>
      </c>
      <c r="H24" s="85" t="s">
        <v>152</v>
      </c>
      <c r="I24" s="85" t="s">
        <v>152</v>
      </c>
      <c r="J24" s="85" t="s">
        <v>152</v>
      </c>
      <c r="K24" s="85" t="s">
        <v>152</v>
      </c>
      <c r="L24" s="90" t="s">
        <v>140</v>
      </c>
      <c r="M24" s="90" t="s">
        <v>140</v>
      </c>
      <c r="N24" s="85" t="s">
        <v>152</v>
      </c>
      <c r="O24" s="85" t="s">
        <v>152</v>
      </c>
      <c r="P24" s="85" t="s">
        <v>152</v>
      </c>
      <c r="Q24" s="84" t="s">
        <v>141</v>
      </c>
      <c r="R24" s="85" t="s">
        <v>152</v>
      </c>
      <c r="S24" s="90" t="s">
        <v>140</v>
      </c>
      <c r="T24" s="90" t="s">
        <v>140</v>
      </c>
      <c r="U24" s="85" t="s">
        <v>153</v>
      </c>
      <c r="V24" s="85" t="s">
        <v>153</v>
      </c>
      <c r="W24" s="85" t="s">
        <v>153</v>
      </c>
      <c r="X24" s="85" t="s">
        <v>153</v>
      </c>
      <c r="Y24" s="85" t="s">
        <v>153</v>
      </c>
      <c r="Z24" s="90" t="s">
        <v>140</v>
      </c>
      <c r="AA24" s="90" t="s">
        <v>140</v>
      </c>
      <c r="AB24" s="95"/>
      <c r="AC24" s="95"/>
      <c r="AD24" s="95"/>
      <c r="AE24" s="95"/>
      <c r="AF24" s="95"/>
      <c r="AG24" s="90" t="s">
        <v>140</v>
      </c>
      <c r="AH24" s="91">
        <f t="shared" si="1"/>
        <v>10</v>
      </c>
    </row>
    <row r="25" spans="1:34" ht="27" customHeight="1" thickBot="1">
      <c r="A25" s="80" t="s">
        <v>112</v>
      </c>
      <c r="B25" s="81" t="s">
        <v>138</v>
      </c>
      <c r="C25" s="85">
        <v>5</v>
      </c>
      <c r="D25" s="85">
        <v>5</v>
      </c>
      <c r="E25" s="90" t="s">
        <v>140</v>
      </c>
      <c r="F25" s="90" t="s">
        <v>140</v>
      </c>
      <c r="G25" s="85" t="s">
        <v>152</v>
      </c>
      <c r="H25" s="85" t="s">
        <v>152</v>
      </c>
      <c r="I25" s="85" t="s">
        <v>152</v>
      </c>
      <c r="J25" s="85" t="s">
        <v>152</v>
      </c>
      <c r="K25" s="85" t="s">
        <v>152</v>
      </c>
      <c r="L25" s="90" t="s">
        <v>140</v>
      </c>
      <c r="M25" s="90" t="s">
        <v>140</v>
      </c>
      <c r="N25" s="85" t="s">
        <v>152</v>
      </c>
      <c r="O25" s="85" t="s">
        <v>152</v>
      </c>
      <c r="P25" s="85" t="s">
        <v>152</v>
      </c>
      <c r="Q25" s="84" t="s">
        <v>141</v>
      </c>
      <c r="R25" s="85" t="s">
        <v>152</v>
      </c>
      <c r="S25" s="90" t="s">
        <v>140</v>
      </c>
      <c r="T25" s="90" t="s">
        <v>140</v>
      </c>
      <c r="U25" s="85" t="s">
        <v>153</v>
      </c>
      <c r="V25" s="85" t="s">
        <v>153</v>
      </c>
      <c r="W25" s="85" t="s">
        <v>153</v>
      </c>
      <c r="X25" s="85" t="s">
        <v>153</v>
      </c>
      <c r="Y25" s="85" t="s">
        <v>153</v>
      </c>
      <c r="Z25" s="90" t="s">
        <v>140</v>
      </c>
      <c r="AA25" s="90" t="s">
        <v>140</v>
      </c>
      <c r="AB25" s="85" t="s">
        <v>152</v>
      </c>
      <c r="AC25" s="85" t="s">
        <v>152</v>
      </c>
      <c r="AD25" s="85" t="s">
        <v>152</v>
      </c>
      <c r="AE25" s="85" t="s">
        <v>152</v>
      </c>
      <c r="AF25" s="85" t="s">
        <v>152</v>
      </c>
      <c r="AG25" s="90" t="s">
        <v>140</v>
      </c>
      <c r="AH25" s="91">
        <f t="shared" si="1"/>
        <v>10</v>
      </c>
    </row>
    <row r="26" spans="1:34" ht="27" customHeight="1" thickBot="1">
      <c r="A26" s="80" t="s">
        <v>156</v>
      </c>
      <c r="B26" s="81" t="s">
        <v>138</v>
      </c>
      <c r="C26" s="85">
        <v>5</v>
      </c>
      <c r="D26" s="85">
        <v>5</v>
      </c>
      <c r="E26" s="90" t="s">
        <v>140</v>
      </c>
      <c r="F26" s="90" t="s">
        <v>140</v>
      </c>
      <c r="G26" s="85" t="s">
        <v>152</v>
      </c>
      <c r="H26" s="85" t="s">
        <v>152</v>
      </c>
      <c r="I26" s="85" t="s">
        <v>152</v>
      </c>
      <c r="J26" s="85" t="s">
        <v>152</v>
      </c>
      <c r="K26" s="85" t="s">
        <v>152</v>
      </c>
      <c r="L26" s="90" t="s">
        <v>140</v>
      </c>
      <c r="M26" s="90" t="s">
        <v>140</v>
      </c>
      <c r="N26" s="85" t="s">
        <v>152</v>
      </c>
      <c r="O26" s="85" t="s">
        <v>152</v>
      </c>
      <c r="P26" s="85" t="s">
        <v>152</v>
      </c>
      <c r="Q26" s="84" t="s">
        <v>141</v>
      </c>
      <c r="R26" s="85" t="s">
        <v>152</v>
      </c>
      <c r="S26" s="90" t="s">
        <v>140</v>
      </c>
      <c r="T26" s="90" t="s">
        <v>140</v>
      </c>
      <c r="U26" s="85" t="s">
        <v>153</v>
      </c>
      <c r="V26" s="85" t="s">
        <v>153</v>
      </c>
      <c r="W26" s="85">
        <v>5</v>
      </c>
      <c r="X26" s="85">
        <v>5</v>
      </c>
      <c r="Y26" s="85">
        <v>5</v>
      </c>
      <c r="Z26" s="90" t="s">
        <v>140</v>
      </c>
      <c r="AA26" s="90" t="s">
        <v>140</v>
      </c>
      <c r="AB26" s="95"/>
      <c r="AC26" s="95"/>
      <c r="AD26" s="95"/>
      <c r="AE26" s="95"/>
      <c r="AF26" s="95"/>
      <c r="AG26" s="90" t="s">
        <v>140</v>
      </c>
      <c r="AH26" s="91">
        <f t="shared" si="1"/>
        <v>25</v>
      </c>
    </row>
    <row r="27" spans="1:34" ht="27" customHeight="1" thickBot="1">
      <c r="A27" s="80" t="s">
        <v>114</v>
      </c>
      <c r="B27" s="81" t="s">
        <v>138</v>
      </c>
      <c r="C27" s="85">
        <v>5</v>
      </c>
      <c r="D27" s="85">
        <v>5</v>
      </c>
      <c r="E27" s="90" t="s">
        <v>140</v>
      </c>
      <c r="F27" s="90" t="s">
        <v>140</v>
      </c>
      <c r="G27" s="85" t="s">
        <v>152</v>
      </c>
      <c r="H27" s="85">
        <v>5</v>
      </c>
      <c r="I27" s="85">
        <v>5</v>
      </c>
      <c r="J27" s="85">
        <v>5</v>
      </c>
      <c r="K27" s="85">
        <v>5</v>
      </c>
      <c r="L27" s="90" t="s">
        <v>140</v>
      </c>
      <c r="M27" s="90" t="s">
        <v>140</v>
      </c>
      <c r="N27" s="85" t="s">
        <v>152</v>
      </c>
      <c r="O27" s="85" t="s">
        <v>152</v>
      </c>
      <c r="P27" s="85" t="s">
        <v>152</v>
      </c>
      <c r="Q27" s="84" t="s">
        <v>141</v>
      </c>
      <c r="R27" s="85" t="s">
        <v>152</v>
      </c>
      <c r="S27" s="90" t="s">
        <v>140</v>
      </c>
      <c r="T27" s="90" t="s">
        <v>140</v>
      </c>
      <c r="U27" s="85" t="s">
        <v>153</v>
      </c>
      <c r="V27" s="85" t="s">
        <v>153</v>
      </c>
      <c r="W27" s="85" t="s">
        <v>153</v>
      </c>
      <c r="X27" s="85" t="s">
        <v>153</v>
      </c>
      <c r="Y27" s="85" t="s">
        <v>153</v>
      </c>
      <c r="Z27" s="90" t="s">
        <v>140</v>
      </c>
      <c r="AA27" s="90" t="s">
        <v>140</v>
      </c>
      <c r="AB27" s="85" t="s">
        <v>152</v>
      </c>
      <c r="AC27" s="85" t="s">
        <v>152</v>
      </c>
      <c r="AD27" s="85" t="s">
        <v>152</v>
      </c>
      <c r="AE27" s="85" t="s">
        <v>152</v>
      </c>
      <c r="AF27" s="85" t="s">
        <v>152</v>
      </c>
      <c r="AG27" s="90" t="s">
        <v>140</v>
      </c>
      <c r="AH27" s="91">
        <f t="shared" si="1"/>
        <v>30</v>
      </c>
    </row>
    <row r="28" spans="1:34" ht="27" customHeight="1" thickBot="1">
      <c r="A28" s="80" t="s">
        <v>157</v>
      </c>
      <c r="B28" s="81" t="s">
        <v>138</v>
      </c>
      <c r="C28" s="85">
        <v>5</v>
      </c>
      <c r="D28" s="85">
        <v>5</v>
      </c>
      <c r="E28" s="90" t="s">
        <v>140</v>
      </c>
      <c r="F28" s="90" t="s">
        <v>140</v>
      </c>
      <c r="G28" s="85" t="s">
        <v>152</v>
      </c>
      <c r="H28" s="85" t="s">
        <v>152</v>
      </c>
      <c r="I28" s="85" t="s">
        <v>152</v>
      </c>
      <c r="J28" s="85" t="s">
        <v>152</v>
      </c>
      <c r="K28" s="85" t="s">
        <v>152</v>
      </c>
      <c r="L28" s="90" t="s">
        <v>140</v>
      </c>
      <c r="M28" s="90" t="s">
        <v>140</v>
      </c>
      <c r="N28" s="85" t="s">
        <v>152</v>
      </c>
      <c r="O28" s="85" t="s">
        <v>152</v>
      </c>
      <c r="P28" s="85" t="s">
        <v>152</v>
      </c>
      <c r="Q28" s="84" t="s">
        <v>141</v>
      </c>
      <c r="R28" s="85" t="s">
        <v>152</v>
      </c>
      <c r="S28" s="90" t="s">
        <v>140</v>
      </c>
      <c r="T28" s="90" t="s">
        <v>140</v>
      </c>
      <c r="U28" s="85" t="s">
        <v>153</v>
      </c>
      <c r="V28" s="85" t="s">
        <v>153</v>
      </c>
      <c r="W28" s="85" t="s">
        <v>153</v>
      </c>
      <c r="X28" s="85" t="s">
        <v>153</v>
      </c>
      <c r="Y28" s="85" t="s">
        <v>153</v>
      </c>
      <c r="Z28" s="90" t="s">
        <v>140</v>
      </c>
      <c r="AA28" s="90" t="s">
        <v>140</v>
      </c>
      <c r="AB28" s="85" t="s">
        <v>152</v>
      </c>
      <c r="AC28" s="85">
        <v>8</v>
      </c>
      <c r="AD28" s="85">
        <v>8</v>
      </c>
      <c r="AE28" s="85">
        <v>8</v>
      </c>
      <c r="AF28" s="85">
        <v>8</v>
      </c>
      <c r="AG28" s="90" t="s">
        <v>140</v>
      </c>
      <c r="AH28" s="91">
        <f t="shared" si="1"/>
        <v>42</v>
      </c>
    </row>
    <row r="29" spans="1:34" ht="27" customHeight="1" thickBot="1">
      <c r="A29" s="80" t="s">
        <v>116</v>
      </c>
      <c r="B29" s="81" t="s">
        <v>138</v>
      </c>
      <c r="C29" s="85">
        <v>5</v>
      </c>
      <c r="D29" s="85">
        <v>5</v>
      </c>
      <c r="E29" s="90" t="s">
        <v>140</v>
      </c>
      <c r="F29" s="90" t="s">
        <v>140</v>
      </c>
      <c r="G29" s="85" t="s">
        <v>152</v>
      </c>
      <c r="H29" s="85" t="s">
        <v>152</v>
      </c>
      <c r="I29" s="85" t="s">
        <v>152</v>
      </c>
      <c r="J29" s="85" t="s">
        <v>152</v>
      </c>
      <c r="K29" s="85" t="s">
        <v>152</v>
      </c>
      <c r="L29" s="90" t="s">
        <v>140</v>
      </c>
      <c r="M29" s="90" t="s">
        <v>140</v>
      </c>
      <c r="N29" s="85" t="s">
        <v>152</v>
      </c>
      <c r="O29" s="85" t="s">
        <v>152</v>
      </c>
      <c r="P29" s="85" t="s">
        <v>152</v>
      </c>
      <c r="Q29" s="84" t="s">
        <v>141</v>
      </c>
      <c r="R29" s="85" t="s">
        <v>152</v>
      </c>
      <c r="S29" s="90" t="s">
        <v>140</v>
      </c>
      <c r="T29" s="90" t="s">
        <v>140</v>
      </c>
      <c r="U29" s="85" t="s">
        <v>153</v>
      </c>
      <c r="V29" s="85" t="s">
        <v>153</v>
      </c>
      <c r="W29" s="85" t="s">
        <v>153</v>
      </c>
      <c r="X29" s="85" t="s">
        <v>153</v>
      </c>
      <c r="Y29" s="85" t="s">
        <v>153</v>
      </c>
      <c r="Z29" s="90" t="s">
        <v>140</v>
      </c>
      <c r="AA29" s="90" t="s">
        <v>140</v>
      </c>
      <c r="AB29" s="85" t="s">
        <v>152</v>
      </c>
      <c r="AC29" s="85" t="s">
        <v>152</v>
      </c>
      <c r="AD29" s="85" t="s">
        <v>152</v>
      </c>
      <c r="AE29" s="85" t="s">
        <v>152</v>
      </c>
      <c r="AF29" s="85" t="s">
        <v>152</v>
      </c>
      <c r="AG29" s="90" t="s">
        <v>140</v>
      </c>
      <c r="AH29" s="91">
        <f t="shared" si="1"/>
        <v>10</v>
      </c>
    </row>
    <row r="30" spans="1:34" ht="27" customHeight="1" thickBot="1">
      <c r="A30" s="80" t="s">
        <v>119</v>
      </c>
      <c r="B30" s="81" t="s">
        <v>138</v>
      </c>
      <c r="C30" s="85">
        <v>5</v>
      </c>
      <c r="D30" s="85">
        <v>5</v>
      </c>
      <c r="E30" s="90" t="s">
        <v>140</v>
      </c>
      <c r="F30" s="90" t="s">
        <v>140</v>
      </c>
      <c r="G30" s="85" t="s">
        <v>152</v>
      </c>
      <c r="H30" s="85" t="s">
        <v>152</v>
      </c>
      <c r="I30" s="85" t="s">
        <v>152</v>
      </c>
      <c r="J30" s="85" t="s">
        <v>152</v>
      </c>
      <c r="K30" s="85" t="s">
        <v>152</v>
      </c>
      <c r="L30" s="90" t="s">
        <v>140</v>
      </c>
      <c r="M30" s="90" t="s">
        <v>140</v>
      </c>
      <c r="N30" s="85" t="s">
        <v>152</v>
      </c>
      <c r="O30" s="85" t="s">
        <v>152</v>
      </c>
      <c r="P30" s="85" t="s">
        <v>152</v>
      </c>
      <c r="Q30" s="84" t="s">
        <v>141</v>
      </c>
      <c r="R30" s="85" t="s">
        <v>152</v>
      </c>
      <c r="S30" s="90" t="s">
        <v>140</v>
      </c>
      <c r="T30" s="90" t="s">
        <v>140</v>
      </c>
      <c r="U30" s="85" t="s">
        <v>153</v>
      </c>
      <c r="V30" s="85" t="s">
        <v>153</v>
      </c>
      <c r="W30" s="85" t="s">
        <v>153</v>
      </c>
      <c r="X30" s="85" t="s">
        <v>153</v>
      </c>
      <c r="Y30" s="85" t="s">
        <v>153</v>
      </c>
      <c r="Z30" s="90" t="s">
        <v>140</v>
      </c>
      <c r="AA30" s="90" t="s">
        <v>140</v>
      </c>
      <c r="AB30" s="85" t="s">
        <v>152</v>
      </c>
      <c r="AC30" s="85">
        <v>8</v>
      </c>
      <c r="AD30" s="85">
        <v>8</v>
      </c>
      <c r="AE30" s="85">
        <v>8</v>
      </c>
      <c r="AF30" s="85">
        <v>8</v>
      </c>
      <c r="AG30" s="90" t="s">
        <v>140</v>
      </c>
      <c r="AH30" s="91">
        <f t="shared" si="1"/>
        <v>42</v>
      </c>
    </row>
    <row r="31" spans="1:34" ht="27.75" customHeight="1" thickBot="1">
      <c r="A31" s="96" t="s">
        <v>149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7">
        <f>SUM(AH19:AH30)</f>
        <v>310</v>
      </c>
    </row>
    <row r="32" spans="1:34" ht="30.75" thickBot="1">
      <c r="A32" s="98" t="s">
        <v>158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9">
        <f>AH31+AH17</f>
        <v>474</v>
      </c>
    </row>
    <row r="33" spans="1:34" ht="15.75" thickBo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5.75" thickBo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spans="1:34" ht="15.75" thickBo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</row>
    <row r="36" spans="1:34" ht="15.75" thickBo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</row>
    <row r="37" spans="1:34" ht="15.75" thickBo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</row>
    <row r="38" spans="1:34" ht="15.75" thickBot="1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</row>
    <row r="39" spans="1:34" ht="15.75" thickBo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</row>
    <row r="40" spans="1:34" ht="15.75" thickBo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</row>
    <row r="41" spans="1:34" ht="15.75" thickBo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spans="1:34" ht="15.75" thickBo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</row>
    <row r="43" spans="1:34" ht="15.75" thickBot="1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</row>
    <row r="44" spans="1:34" ht="15.75" thickBo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spans="1:34" ht="15.75" thickBo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</row>
    <row r="46" spans="1:34" ht="15.75" thickBo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spans="1:34" ht="15.75" thickBo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</row>
    <row r="48" spans="1:34" ht="15.75" thickBot="1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</row>
    <row r="50" spans="1:34" ht="15.75" thickBo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</row>
    <row r="51" spans="1:34" ht="15.75" thickBot="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spans="1:34" ht="15.75" thickBot="1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spans="1:34" ht="15.75" thickBo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</row>
    <row r="54" spans="1:34" ht="15.75" thickBot="1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</row>
    <row r="55" spans="1:34" ht="15.75" thickBot="1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</row>
    <row r="56" spans="1:34" ht="15.75" thickBot="1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</row>
    <row r="57" spans="1:34" ht="15.75" thickBot="1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spans="1:34" ht="15.75" thickBot="1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</row>
    <row r="59" spans="1:34" ht="15.75" thickBot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spans="1:34" ht="15.75" thickBo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spans="1:34" ht="15.75" thickBo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</row>
    <row r="62" spans="1:34" ht="15.75" thickBo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spans="1:34" ht="15.75" thickBo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spans="1:34" ht="15.75" thickBo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</row>
    <row r="65" spans="1:34" ht="15.75" thickBo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spans="1:34" ht="15.75" thickBo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</row>
    <row r="67" spans="1:34" ht="15.75" thickBo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spans="1:34" ht="15.75" thickBo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</row>
    <row r="69" spans="1:34" ht="15.75" thickBo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</row>
    <row r="70" spans="1:34" ht="15.75" thickBo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</row>
    <row r="71" spans="1:34" ht="15.75" thickBo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</row>
    <row r="72" spans="1:34" ht="15.75" thickBo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</row>
    <row r="73" spans="1:34" ht="15.75" thickBo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spans="1:34" ht="15.75" thickBo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</row>
    <row r="75" spans="1:34" ht="15.75" thickBo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</row>
    <row r="76" spans="1:34" ht="15.75" thickBo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</row>
    <row r="77" spans="1:34" ht="15.75" thickBo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</row>
    <row r="78" spans="1:34" ht="15.75" thickBo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</row>
    <row r="79" spans="1:34" ht="15.75" thickBo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</row>
    <row r="80" spans="1:34" ht="15.75" thickBo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spans="1:34" ht="15.75" thickBo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</row>
    <row r="82" spans="1:34" ht="15.75" thickBo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</row>
    <row r="83" spans="1:34" ht="15.75" thickBo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spans="1:34" ht="15.75" thickBo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spans="1:34" ht="15.75" thickBo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</row>
    <row r="86" spans="1:34" ht="15.75" thickBo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spans="1:34" ht="15.75" thickBo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</row>
    <row r="88" spans="1:34" ht="15.75" thickBo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</row>
    <row r="89" spans="1:34" ht="15.75" thickBo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spans="1:34" ht="15.75" thickBo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</row>
    <row r="91" spans="1:34" ht="15.75" thickBo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</row>
    <row r="92" spans="1:34" ht="15.75" thickBo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</row>
    <row r="93" spans="1:34" ht="15.75" thickBo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spans="1:34" ht="15.75" thickBo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</row>
    <row r="95" spans="1:34" ht="15.75" thickBo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</row>
    <row r="96" spans="1:34" ht="15.75" thickBo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spans="1:34" ht="15.75" thickBo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</row>
    <row r="98" spans="1:34" ht="15.75" thickBo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</row>
    <row r="99" spans="1:34" ht="15.75" thickBo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spans="1:34" ht="15.75" thickBo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</row>
    <row r="101" spans="1:34" ht="15.75" thickBo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</row>
    <row r="102" spans="1:34" ht="15.75" thickBo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</row>
    <row r="103" spans="1:34" ht="15.75" thickBo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</row>
    <row r="104" spans="1:34" ht="15.75" thickBo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spans="1:34" ht="15.75" thickBo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</row>
    <row r="106" spans="1:34" ht="15.75" thickBo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spans="1:34" ht="15.75" thickBo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</row>
    <row r="108" spans="1:34" ht="15.75" thickBo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spans="1:34" ht="15.75" thickBo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</row>
    <row r="110" spans="1:34" ht="15.75" thickBo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</row>
    <row r="111" spans="1:34" ht="15.75" thickBo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</row>
    <row r="112" spans="1:34" ht="15.75" thickBo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spans="1:34" ht="15.75" thickBo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spans="1:34" ht="15.75" thickBo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spans="1:34" ht="15.75" thickBo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</row>
    <row r="116" spans="1:34" ht="15.75" thickBo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</row>
    <row r="117" spans="1:34" ht="15.75" thickBo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spans="1:34" ht="15.75" thickBo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</row>
    <row r="119" spans="1:34" ht="15.75" thickBo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</row>
    <row r="120" spans="1:34" ht="15.75" thickBo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</row>
    <row r="121" spans="1:34" ht="15.75" thickBo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</row>
    <row r="122" spans="1:34" ht="15.75" thickBo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spans="1:34" ht="15.75" thickBo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</row>
    <row r="124" spans="1:34" ht="15.75" thickBo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spans="1:34" ht="15.75" thickBo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</row>
    <row r="126" spans="1:34" ht="15.75" thickBo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spans="1:34" ht="15.75" thickBo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</row>
    <row r="128" spans="1:34" ht="15.75" thickBo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</row>
    <row r="129" spans="1:34" ht="15.75" thickBo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spans="1:34" ht="15.75" thickBo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</row>
    <row r="131" spans="1:34" ht="15.75" thickBo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</row>
    <row r="132" spans="1:34" ht="15.75" thickBo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</row>
    <row r="133" spans="1:34" ht="15.75" thickBo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</row>
    <row r="134" spans="1:34" ht="15.75" thickBo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spans="1:34" ht="15.75" thickBo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</row>
    <row r="136" spans="1:34" ht="15.75" thickBo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</row>
    <row r="137" spans="1:34" ht="15.75" thickBo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</row>
    <row r="138" spans="1:34" ht="15.75" thickBo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spans="1:34" ht="15.75" thickBo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</row>
    <row r="140" spans="1:34" ht="15.75" thickBo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</row>
    <row r="141" spans="1:34" ht="15.75" thickBo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</row>
    <row r="142" spans="1:34" ht="15.75" thickBo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</row>
    <row r="143" spans="1:34" ht="15.75" thickBo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spans="1:34" ht="15.75" thickBo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spans="1:34" ht="15.75" thickBo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</row>
    <row r="146" spans="1:34" ht="15.75" thickBo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spans="1:34" ht="15.75" thickBo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</row>
    <row r="148" spans="1:34" ht="15.75" thickBo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</row>
    <row r="149" spans="1:34" ht="15.75" thickBo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spans="1:34" ht="15.75" thickBo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</row>
    <row r="151" spans="1:34" ht="15.75" thickBo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</row>
    <row r="152" spans="1:34" ht="15.75" thickBo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</row>
    <row r="153" spans="1:34" ht="15.75" thickBo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</row>
    <row r="154" spans="1:34" ht="15.75" thickBo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</row>
    <row r="155" spans="1:34" ht="15.75" thickBo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</row>
    <row r="156" spans="1:34" ht="15.75" thickBo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</row>
    <row r="157" spans="1:34" ht="15.75" thickBo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spans="1:34" ht="15.75" thickBo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spans="1:34" ht="15.75" thickBo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</row>
    <row r="160" spans="1:34" ht="15.75" thickBo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</row>
    <row r="161" spans="1:34" ht="15.75" thickBo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</row>
    <row r="162" spans="1:34" ht="15.75" thickBo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</row>
    <row r="163" spans="1:34" ht="15.75" thickBo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spans="1:34" ht="15.75" thickBo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spans="1:34" ht="15.75" thickBo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</row>
    <row r="166" spans="1:34" ht="15.75" thickBo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spans="1:34" ht="15.75" thickBo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</row>
    <row r="168" spans="1:34" ht="15.75" thickBo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spans="1:34" ht="15.75" thickBo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</row>
    <row r="170" spans="1:34" ht="15.75" thickBo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</row>
    <row r="171" spans="1:34" ht="15.75" thickBo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</row>
    <row r="172" spans="1:34" ht="15.75" thickBo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spans="1:34" ht="15.75" thickBo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</row>
    <row r="174" spans="1:34" ht="15.75" thickBo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</row>
    <row r="175" spans="1:34" ht="15.75" thickBo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</row>
    <row r="176" spans="1:34" ht="15.75" thickBo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</row>
    <row r="177" spans="1:34" ht="15.75" thickBo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spans="1:34" ht="15.75" thickBo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</row>
    <row r="179" spans="1:34" ht="15.75" thickBo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spans="1:34" ht="15.75" thickBo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spans="1:34" ht="15.75" thickBo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</row>
    <row r="182" spans="1:34" ht="15.75" thickBo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spans="1:34" ht="15.75" thickBo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spans="1:34" ht="15.75" thickBo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</row>
    <row r="185" spans="1:34" ht="15.75" thickBo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</row>
    <row r="186" spans="1:34" ht="15.75" thickBo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spans="1:34" ht="15.75" thickBo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</row>
    <row r="188" spans="1:34" ht="15.75" thickBo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</row>
    <row r="189" spans="1:34" ht="15.75" thickBo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</row>
    <row r="190" spans="1:34" ht="15.75" thickBo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spans="1:34" ht="15.75" thickBo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</row>
    <row r="192" spans="1:34" ht="15.75" thickBo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</row>
    <row r="193" spans="1:34" ht="15.75" thickBo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</row>
    <row r="194" spans="1:34" ht="15.75" thickBo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</row>
    <row r="195" spans="1:34" ht="15.75" thickBo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spans="1:34" ht="15.75" thickBo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</row>
    <row r="197" spans="1:34" ht="15.75" thickBo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</row>
    <row r="198" spans="1:34" ht="15.75" thickBo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spans="1:34" ht="15.75" thickBo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</row>
    <row r="200" spans="1:34" ht="15.75" thickBo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</row>
    <row r="201" spans="1:34" ht="15.75" thickBo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spans="1:34" ht="15.75" thickBo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spans="1:34" ht="15.75" thickBo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</row>
    <row r="204" spans="1:34" ht="15.75" thickBo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spans="1:34" ht="15.75" thickBo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</row>
    <row r="206" spans="1:34" ht="15.75" thickBo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spans="1:34" ht="15.75" thickBo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</row>
    <row r="208" spans="1:34" ht="15.75" thickBo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</row>
    <row r="209" spans="1:34" ht="15.75" thickBo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</row>
    <row r="210" spans="1:34" ht="15.75" thickBo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</row>
    <row r="211" spans="1:34" ht="15.75" thickBo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</row>
    <row r="212" spans="1:34" ht="15.75" thickBo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</row>
    <row r="213" spans="1:34" ht="15.75" thickBo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</row>
    <row r="214" spans="1:34" ht="15.75" thickBo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spans="1:34" ht="15.75" thickBo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</row>
    <row r="216" spans="1:34" ht="15.75" thickBo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</row>
    <row r="217" spans="1:34" ht="15.75" thickBo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spans="1:34" ht="15.75" thickBo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</row>
    <row r="219" spans="1:34" ht="15.75" thickBo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</row>
    <row r="220" spans="1:34" ht="15.75" thickBo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spans="1:34" ht="15.75" thickBo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</row>
    <row r="222" spans="1:34" ht="15.75" thickBo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</row>
    <row r="223" spans="1:34" ht="15.75" thickBo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spans="1:34" ht="15.75" thickBo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spans="1:34" ht="15.75" thickBo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</row>
    <row r="226" spans="1:34" ht="15.75" thickBo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</row>
    <row r="227" spans="1:34" ht="15.75" thickBo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</row>
    <row r="228" spans="1:34" ht="15.75" thickBo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</row>
    <row r="229" spans="1:34" ht="15.75" thickBo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</row>
    <row r="230" spans="1:34" ht="15.75" thickBo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</row>
    <row r="231" spans="1:34" ht="15.75" thickBo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</row>
    <row r="232" spans="1:34" ht="15.75" thickBo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</row>
    <row r="233" spans="1:34" ht="15.75" thickBo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</row>
    <row r="234" spans="1:34" ht="15.75" thickBo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</row>
    <row r="235" spans="1:34" ht="15.75" thickBo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</row>
    <row r="236" spans="1:34" ht="15.75" thickBo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</row>
    <row r="237" spans="1:34" ht="15.75" thickBo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</row>
    <row r="238" spans="1:34" ht="15.75" thickBo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</row>
    <row r="239" spans="1:34" ht="15.75" thickBo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</row>
    <row r="240" spans="1:34" ht="15.75" thickBo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</row>
    <row r="241" spans="1:34" ht="15.75" thickBo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</row>
    <row r="242" spans="1:34" ht="15.75" thickBo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</row>
    <row r="243" spans="1:34" ht="15.75" thickBo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</row>
    <row r="244" spans="1:34" ht="15.75" thickBo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</row>
    <row r="245" spans="1:34" ht="15.75" thickBo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</row>
    <row r="246" spans="1:34" ht="15.75" thickBo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</row>
    <row r="247" spans="1:34" ht="15.75" thickBo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</row>
    <row r="248" spans="1:34" ht="15.75" thickBo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</row>
    <row r="249" spans="1:34" ht="15.75" thickBo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</row>
    <row r="250" spans="1:34" ht="15.75" thickBo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</row>
    <row r="251" spans="1:34" ht="15.75" thickBo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</row>
    <row r="252" spans="1:34" ht="15.75" thickBo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</row>
    <row r="253" spans="1:34" ht="15.75" thickBo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</row>
    <row r="254" spans="1:34" ht="15.75" thickBo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</row>
    <row r="255" spans="1:34" ht="15.75" thickBo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</row>
    <row r="256" spans="1:34" ht="15.75" thickBo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</row>
    <row r="257" spans="1:34" ht="15.75" thickBo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</row>
    <row r="258" spans="1:34" ht="15.75" thickBo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</row>
    <row r="259" spans="1:34" ht="15.75" thickBo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</row>
    <row r="260" spans="1:34" ht="15.75" thickBo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</row>
    <row r="261" spans="1:34" ht="15.75" thickBo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</row>
    <row r="262" spans="1:34" ht="15.75" thickBo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</row>
    <row r="263" spans="1:34" ht="15.75" thickBo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</row>
    <row r="264" spans="1:34" ht="15.75" thickBo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</row>
    <row r="265" spans="1:34" ht="15.75" thickBo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</row>
    <row r="266" spans="1:34" ht="15.75" thickBo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</row>
    <row r="267" spans="1:34" ht="15.75" thickBo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</row>
    <row r="268" spans="1:34" ht="15.75" thickBo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</row>
    <row r="269" spans="1:34" ht="15.75" thickBo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</row>
    <row r="270" spans="1:34" ht="15.75" thickBo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</row>
    <row r="271" spans="1:34" ht="15.75" thickBo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</row>
    <row r="272" spans="1:34" ht="15.75" thickBo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</row>
    <row r="273" spans="1:34" ht="15.75" thickBo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</row>
    <row r="274" spans="1:34" ht="15.75" thickBo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</row>
    <row r="275" spans="1:34" ht="15.75" thickBo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</row>
    <row r="276" spans="1:34" ht="15.75" thickBo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</row>
    <row r="277" spans="1:34" ht="15.75" thickBo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</row>
    <row r="278" spans="1:34" ht="15.75" thickBo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</row>
    <row r="279" spans="1:34" ht="15.75" thickBo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</row>
    <row r="280" spans="1:34" ht="15.75" thickBo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</row>
    <row r="281" spans="1:34" ht="15.75" thickBo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</row>
    <row r="282" spans="1:34" ht="15.75" thickBo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</row>
    <row r="283" spans="1:34" ht="15.75" thickBo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</row>
    <row r="284" spans="1:34" ht="15.75" thickBo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</row>
    <row r="285" spans="1:34" ht="15.75" thickBo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</row>
    <row r="286" spans="1:34" ht="15.75" thickBo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</row>
    <row r="287" spans="1:34" ht="15.75" thickBo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</row>
    <row r="288" spans="1:34" ht="15.75" thickBo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</row>
    <row r="289" spans="1:34" ht="15.75" thickBo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</row>
    <row r="290" spans="1:34" ht="15.75" thickBo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</row>
    <row r="291" spans="1:34" ht="15.75" thickBo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</row>
    <row r="292" spans="1:34" ht="15.75" thickBo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</row>
    <row r="293" spans="1:34" ht="15.75" thickBo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</row>
    <row r="294" spans="1:34" ht="15.75" thickBo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</row>
    <row r="295" spans="1:34" ht="15.75" thickBo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</row>
    <row r="296" spans="1:34" ht="15.75" thickBo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</row>
    <row r="297" spans="1:34" ht="15.75" thickBo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</row>
    <row r="298" spans="1:34" ht="15.75" thickBo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</row>
    <row r="299" spans="1:34" ht="15.75" thickBo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</row>
    <row r="300" spans="1:34" ht="15.75" thickBo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</row>
    <row r="301" spans="1:34" ht="15.75" thickBo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</row>
    <row r="302" spans="1:34" ht="15.75" thickBo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</row>
    <row r="303" spans="1:34" ht="15.75" thickBo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</row>
    <row r="304" spans="1:34" ht="15.75" thickBo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</row>
    <row r="305" spans="1:34" ht="15.75" thickBo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</row>
    <row r="306" spans="1:34" ht="15.75" thickBo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</row>
    <row r="307" spans="1:34" ht="15.75" thickBo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</row>
    <row r="308" spans="1:34" ht="15.75" thickBo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</row>
    <row r="309" spans="1:34" ht="15.75" thickBo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</row>
    <row r="310" spans="1:34" ht="15.75" thickBo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</row>
    <row r="311" spans="1:34" ht="15.75" thickBo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</row>
    <row r="312" spans="1:34" ht="15.75" thickBo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</row>
    <row r="313" spans="1:34" ht="15.75" thickBo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</row>
    <row r="314" spans="1:34" ht="15.75" thickBo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</row>
    <row r="315" spans="1:34" ht="15.75" thickBo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</row>
    <row r="316" spans="1:34" ht="15.75" thickBo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</row>
    <row r="317" spans="1:34" ht="15.75" thickBo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</row>
    <row r="318" spans="1:34" ht="15.75" thickBo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</row>
    <row r="319" spans="1:34" ht="15.75" thickBo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</row>
    <row r="320" spans="1:34" ht="15.75" thickBo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</row>
    <row r="321" spans="1:34" ht="15.75" thickBo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</row>
    <row r="322" spans="1:34" ht="15.75" thickBo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</row>
    <row r="323" spans="1:34" ht="15.75" thickBo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</row>
    <row r="324" spans="1:34" ht="15.75" thickBo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</row>
    <row r="325" spans="1:34" ht="15.75" thickBo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</row>
    <row r="326" spans="1:34" ht="15.75" thickBo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</row>
    <row r="327" spans="1:34" ht="15.75" thickBo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</row>
    <row r="328" spans="1:34" ht="15.75" thickBo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</row>
    <row r="329" spans="1:34" ht="15.75" thickBo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</row>
    <row r="330" spans="1:34" ht="15.75" thickBo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</row>
    <row r="331" spans="1:34" ht="15.75" thickBo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</row>
    <row r="332" spans="1:34" ht="15.75" thickBo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</row>
    <row r="333" spans="1:34" ht="15.75" thickBo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</row>
    <row r="334" spans="1:34" ht="15.75" thickBo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</row>
    <row r="335" spans="1:34" ht="15.75" thickBo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</row>
    <row r="336" spans="1:34" ht="15.75" thickBo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</row>
    <row r="337" spans="1:34" ht="15.75" thickBo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</row>
    <row r="338" spans="1:34" ht="15.75" thickBo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</row>
    <row r="339" spans="1:34" ht="15.75" thickBo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</row>
    <row r="340" spans="1:34" ht="15.75" thickBo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</row>
    <row r="341" spans="1:34" ht="15.75" thickBo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</row>
    <row r="342" spans="1:34" ht="15.75" thickBo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</row>
    <row r="343" spans="1:34" ht="15.75" thickBo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</row>
    <row r="344" spans="1:34" ht="15.75" thickBo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</row>
    <row r="345" spans="1:34" ht="15.75" thickBo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</row>
    <row r="346" spans="1:34" ht="15.75" thickBo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</row>
    <row r="347" spans="1:34" ht="15.75" thickBo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</row>
    <row r="348" spans="1:34" ht="15.75" thickBo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</row>
    <row r="349" spans="1:34" ht="15.75" thickBo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</row>
    <row r="350" spans="1:34" ht="15.75" thickBo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</row>
    <row r="351" spans="1:34" ht="15.75" thickBo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</row>
    <row r="352" spans="1:34" ht="15.75" thickBo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</row>
    <row r="353" spans="1:34" ht="15.75" thickBo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</row>
    <row r="354" spans="1:34" ht="15.75" thickBo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</row>
    <row r="355" spans="1:34" ht="15.75" thickBo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</row>
    <row r="356" spans="1:34" ht="15.75" thickBo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</row>
    <row r="357" spans="1:34" ht="15.75" thickBo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</row>
    <row r="358" spans="1:34" ht="15.75" thickBo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</row>
    <row r="359" spans="1:34" ht="15.75" thickBo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</row>
    <row r="360" spans="1:34" ht="15.75" thickBo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</row>
    <row r="361" spans="1:34" ht="15.75" thickBo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</row>
    <row r="362" spans="1:34" ht="15.75" thickBo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</row>
    <row r="363" spans="1:34" ht="15.75" thickBo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</row>
    <row r="364" spans="1:34" ht="15.75" thickBo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</row>
    <row r="365" spans="1:34" ht="15.75" thickBo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</row>
    <row r="366" spans="1:34" ht="15.75" thickBo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</row>
    <row r="367" spans="1:34" ht="15.75" thickBo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</row>
    <row r="368" spans="1:34" ht="15.75" thickBo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</row>
    <row r="369" spans="1:34" ht="15.75" thickBo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</row>
    <row r="370" spans="1:34" ht="15.75" thickBo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</row>
    <row r="371" spans="1:34" ht="15.75" thickBo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</row>
    <row r="372" spans="1:34" ht="15.75" thickBo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</row>
    <row r="373" spans="1:34" ht="15.75" thickBo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</row>
    <row r="374" spans="1:34" ht="15.75" thickBo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</row>
    <row r="375" spans="1:34" ht="15.75" thickBo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</row>
    <row r="376" spans="1:34" ht="15.75" thickBo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</row>
    <row r="377" spans="1:34" ht="15.75" thickBo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</row>
    <row r="378" spans="1:34" ht="15.75" thickBo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</row>
    <row r="379" spans="1:34" ht="15.75" thickBo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</row>
    <row r="380" spans="1:34" ht="15.75" thickBo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</row>
    <row r="381" spans="1:34" ht="15.75" thickBo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</row>
    <row r="382" spans="1:34" ht="15.75" thickBo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</row>
    <row r="383" spans="1:34" ht="15.75" thickBo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</row>
    <row r="384" spans="1:34" ht="15.75" thickBo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</row>
    <row r="385" spans="1:34" ht="15.75" thickBo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</row>
    <row r="386" spans="1:34" ht="15.75" thickBo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</row>
    <row r="387" spans="1:34" ht="15.75" thickBo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</row>
    <row r="388" spans="1:34" ht="15.75" thickBo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</row>
    <row r="389" spans="1:34" ht="15.75" thickBo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</row>
    <row r="390" spans="1:34" ht="15.75" thickBo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</row>
    <row r="391" spans="1:34" ht="15.75" thickBo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</row>
    <row r="392" spans="1:34" ht="15.75" thickBo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</row>
    <row r="393" spans="1:34" ht="15.75" thickBo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</row>
    <row r="394" spans="1:34" ht="15.75" thickBo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</row>
    <row r="395" spans="1:34" ht="15.75" thickBo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</row>
    <row r="396" spans="1:34" ht="15.75" thickBo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</row>
    <row r="397" spans="1:34" ht="15.75" thickBo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</row>
    <row r="398" spans="1:34" ht="15.75" thickBo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</row>
    <row r="399" spans="1:34" ht="15.75" thickBo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</row>
    <row r="400" spans="1:34" ht="15.75" thickBo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</row>
    <row r="401" spans="1:34" ht="15.75" thickBo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</row>
    <row r="402" spans="1:34" ht="15.75" thickBo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</row>
    <row r="403" spans="1:34" ht="15.75" thickBo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</row>
    <row r="404" spans="1:34" ht="15.75" thickBo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</row>
    <row r="405" spans="1:34" ht="15.75" thickBo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</row>
    <row r="406" spans="1:34" ht="15.75" thickBo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</row>
    <row r="407" spans="1:34" ht="15.75" thickBo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</row>
    <row r="408" spans="1:34" ht="15.75" thickBo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</row>
    <row r="409" spans="1:34" ht="15.75" thickBo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</row>
    <row r="410" spans="1:34" ht="15.75" thickBo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</row>
    <row r="411" spans="1:34" ht="15.75" thickBo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</row>
    <row r="412" spans="1:34" ht="15.75" thickBo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</row>
    <row r="413" spans="1:34" ht="15.75" thickBo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</row>
    <row r="414" spans="1:34" ht="15.75" thickBo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</row>
    <row r="415" spans="1:34" ht="15.75" thickBo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</row>
    <row r="416" spans="1:34" ht="15.75" thickBo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</row>
    <row r="417" spans="1:34" ht="15.75" thickBo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</row>
    <row r="418" spans="1:34" ht="15.75" thickBo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</row>
    <row r="419" spans="1:34" ht="15.75" thickBo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</row>
    <row r="420" spans="1:34" ht="15.75" thickBo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</row>
    <row r="421" spans="1:34" ht="15.75" thickBo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</row>
    <row r="422" spans="1:34" ht="15.75" thickBo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</row>
    <row r="423" spans="1:34" ht="15.75" thickBo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</row>
    <row r="424" spans="1:34" ht="15.75" thickBo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</row>
    <row r="425" spans="1:34" ht="15.75" thickBo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</row>
    <row r="426" spans="1:34" ht="15.75" thickBo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</row>
    <row r="427" spans="1:34" ht="15.75" thickBo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</row>
    <row r="428" spans="1:34" ht="15.75" thickBo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</row>
    <row r="429" spans="1:34" ht="15.75" thickBo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</row>
    <row r="430" spans="1:34" ht="15.75" thickBo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</row>
    <row r="431" spans="1:34" ht="15.75" thickBo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</row>
    <row r="432" spans="1:34" ht="15.75" thickBo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</row>
    <row r="433" spans="1:34" ht="15.75" thickBo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</row>
    <row r="434" spans="1:34" ht="15.75" thickBo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</row>
    <row r="435" spans="1:34" ht="15.75" thickBo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</row>
    <row r="436" spans="1:34" ht="15.75" thickBo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</row>
    <row r="437" spans="1:34" ht="15.75" thickBo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</row>
    <row r="438" spans="1:34" ht="15.75" thickBo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</row>
    <row r="439" spans="1:34" ht="15.75" thickBo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</row>
    <row r="440" spans="1:34" ht="15.75" thickBo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</row>
    <row r="441" spans="1:34" ht="15.75" thickBo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</row>
    <row r="442" spans="1:34" ht="15.75" thickBo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</row>
    <row r="443" spans="1:34" ht="15.75" thickBo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</row>
    <row r="444" spans="1:34" ht="15.75" thickBo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</row>
    <row r="445" spans="1:34" ht="15.75" thickBo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</row>
    <row r="446" spans="1:34" ht="15.75" thickBo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</row>
    <row r="447" spans="1:34" ht="15.75" thickBo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</row>
    <row r="448" spans="1:34" ht="15.75" thickBo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</row>
    <row r="449" spans="1:34" ht="15.75" thickBo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</row>
    <row r="450" spans="1:34" ht="15.75" thickBo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</row>
    <row r="451" spans="1:34" ht="15.75" thickBo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</row>
    <row r="452" spans="1:34" ht="15.75" thickBo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</row>
    <row r="453" spans="1:34" ht="15.75" thickBo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</row>
    <row r="454" spans="1:34" ht="15.75" thickBo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</row>
    <row r="455" spans="1:34" ht="15.75" thickBo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</row>
    <row r="456" spans="1:34" ht="15.75" thickBo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</row>
    <row r="457" spans="1:34" ht="15.75" thickBo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</row>
    <row r="458" spans="1:34" ht="15.75" thickBo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</row>
    <row r="459" spans="1:34" ht="15.75" thickBo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</row>
    <row r="460" spans="1:34" ht="15.75" thickBo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</row>
    <row r="461" spans="1:34" ht="15.75" thickBo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</row>
    <row r="462" spans="1:34" ht="15.75" thickBo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</row>
    <row r="463" spans="1:34" ht="15.75" thickBo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</row>
    <row r="464" spans="1:34" ht="15.75" thickBo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</row>
    <row r="465" spans="1:34" ht="15.75" thickBo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</row>
    <row r="466" spans="1:34" ht="15.75" thickBo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</row>
    <row r="467" spans="1:34" ht="15.75" thickBo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</row>
    <row r="468" spans="1:34" ht="15.75" thickBo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</row>
    <row r="469" spans="1:34" ht="15.75" thickBo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</row>
    <row r="470" spans="1:34" ht="15.75" thickBo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</row>
    <row r="471" spans="1:34" ht="15.75" thickBo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</row>
    <row r="472" spans="1:34" ht="15.75" thickBo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</row>
    <row r="473" spans="1:34" ht="15.75" thickBo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</row>
    <row r="474" spans="1:34" ht="15.75" thickBo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</row>
    <row r="475" spans="1:34" ht="15.75" thickBo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</row>
    <row r="476" spans="1:34" ht="15.75" thickBo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</row>
    <row r="477" spans="1:34" ht="15.75" thickBo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</row>
    <row r="478" spans="1:34" ht="15.75" thickBo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</row>
    <row r="479" spans="1:34" ht="15.75" thickBo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</row>
    <row r="480" spans="1:34" ht="15.75" thickBo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</row>
    <row r="481" spans="1:34" ht="15.75" thickBo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</row>
    <row r="482" spans="1:34" ht="15.75" thickBo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</row>
    <row r="483" spans="1:34" ht="15.75" thickBo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</row>
    <row r="484" spans="1:34" ht="15.75" thickBo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</row>
    <row r="485" spans="1:34" ht="15.75" thickBo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</row>
    <row r="486" spans="1:34" ht="15.75" thickBo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</row>
    <row r="487" spans="1:34" ht="15.75" thickBo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</row>
    <row r="488" spans="1:34" ht="15.75" thickBo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</row>
    <row r="489" spans="1:34" ht="15.75" thickBo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</row>
    <row r="490" spans="1:34" ht="15.75" thickBo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</row>
    <row r="491" spans="1:34" ht="15.75" thickBo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</row>
    <row r="492" spans="1:34" ht="15.75" thickBo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</row>
    <row r="493" spans="1:34" ht="15.75" thickBo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</row>
    <row r="494" spans="1:34" ht="15.75" thickBo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</row>
    <row r="495" spans="1:34" ht="15.75" thickBo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</row>
    <row r="496" spans="1:34" ht="15.75" thickBo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</row>
    <row r="497" spans="1:34" ht="15.75" thickBo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</row>
    <row r="498" spans="1:34" ht="15.75" thickBo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</row>
    <row r="499" spans="1:34" ht="15.75" thickBo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</row>
    <row r="500" spans="1:34" ht="15.75" thickBo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</row>
    <row r="501" spans="1:34" ht="15.75" thickBo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</row>
    <row r="502" spans="1:34" ht="15.75" thickBo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</row>
    <row r="503" spans="1:34" ht="15.75" thickBo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</row>
    <row r="504" spans="1:34" ht="15.75" thickBo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</row>
    <row r="505" spans="1:34" ht="15.75" thickBo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</row>
    <row r="506" spans="1:34" ht="15.75" thickBo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</row>
    <row r="507" spans="1:34" ht="15.75" thickBo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</row>
    <row r="508" spans="1:34" ht="15.75" thickBo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</row>
    <row r="509" spans="1:34" ht="15.75" thickBo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</row>
    <row r="510" spans="1:34" ht="15.75" thickBo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</row>
    <row r="511" spans="1:34" ht="15.75" thickBo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</row>
    <row r="512" spans="1:34" ht="15.75" thickBo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</row>
    <row r="513" spans="1:34" ht="15.75" thickBo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</row>
    <row r="514" spans="1:34" ht="15.75" thickBo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</row>
    <row r="515" spans="1:34" ht="15.75" thickBo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</row>
    <row r="516" spans="1:34" ht="15.75" thickBo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</row>
    <row r="517" spans="1:34" ht="15.75" thickBo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</row>
    <row r="518" spans="1:34" ht="15.75" thickBo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</row>
    <row r="519" spans="1:34" ht="15.75" thickBo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</row>
    <row r="520" spans="1:34" ht="15.75" thickBo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</row>
    <row r="521" spans="1:34" ht="15.75" thickBo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</row>
    <row r="522" spans="1:34" ht="15.75" thickBo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</row>
    <row r="523" spans="1:34" ht="15.75" thickBo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</row>
    <row r="524" spans="1:34" ht="15.75" thickBo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</row>
    <row r="525" spans="1:34" ht="15.75" thickBo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</row>
    <row r="526" spans="1:34" ht="15.75" thickBo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</row>
    <row r="527" spans="1:34" ht="15.75" thickBo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</row>
    <row r="528" spans="1:34" ht="15.75" thickBo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</row>
    <row r="529" spans="1:34" ht="15.75" thickBo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</row>
    <row r="530" spans="1:34" ht="15.75" thickBo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</row>
    <row r="531" spans="1:34" ht="15.75" thickBo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</row>
    <row r="532" spans="1:34" ht="15.75" thickBo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</row>
    <row r="533" spans="1:34" ht="15.75" thickBo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</row>
    <row r="534" spans="1:34" ht="15.75" thickBo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</row>
    <row r="535" spans="1:34" ht="15.75" thickBo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</row>
    <row r="536" spans="1:34" ht="15.75" thickBo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</row>
    <row r="537" spans="1:34" ht="15.75" thickBo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</row>
    <row r="538" spans="1:34" ht="15.75" thickBo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</row>
    <row r="539" spans="1:34" ht="15.75" thickBo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</row>
    <row r="540" spans="1:34" ht="15.75" thickBo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</row>
    <row r="541" spans="1:34" ht="15.75" thickBo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</row>
    <row r="542" spans="1:34" ht="15.75" thickBo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</row>
    <row r="543" spans="1:34" ht="15.75" thickBo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</row>
    <row r="544" spans="1:34" ht="15.75" thickBo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</row>
    <row r="545" spans="1:34" ht="15.75" thickBo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</row>
    <row r="546" spans="1:34" ht="15.75" thickBo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</row>
    <row r="547" spans="1:34" ht="15.75" thickBo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</row>
    <row r="548" spans="1:34" ht="15.75" thickBo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</row>
    <row r="549" spans="1:34" ht="15.75" thickBo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</row>
    <row r="550" spans="1:34" ht="15.75" thickBo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</row>
    <row r="551" spans="1:34" ht="15.75" thickBo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</row>
    <row r="552" spans="1:34" ht="15.75" thickBo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</row>
    <row r="553" spans="1:34" ht="15.75" thickBo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</row>
    <row r="554" spans="1:34" ht="15.75" thickBo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</row>
    <row r="555" spans="1:34" ht="15.75" thickBo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</row>
    <row r="556" spans="1:34" ht="15.75" thickBo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</row>
    <row r="557" spans="1:34" ht="15.75" thickBo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</row>
    <row r="558" spans="1:34" ht="15.75" thickBo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</row>
    <row r="559" spans="1:34" ht="15.75" thickBo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</row>
    <row r="560" spans="1:34" ht="15.75" thickBo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</row>
    <row r="561" spans="1:34" ht="15.75" thickBo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</row>
    <row r="562" spans="1:34" ht="15.75" thickBo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</row>
    <row r="563" spans="1:34" ht="15.75" thickBo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</row>
    <row r="564" spans="1:34" ht="15.75" thickBo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</row>
    <row r="565" spans="1:34" ht="15.75" thickBo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</row>
    <row r="566" spans="1:34" ht="15.75" thickBo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</row>
    <row r="567" spans="1:34" ht="15.75" thickBo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</row>
    <row r="568" spans="1:34" ht="15.75" thickBo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</row>
    <row r="569" spans="1:34" ht="15.75" thickBo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</row>
    <row r="570" spans="1:34" ht="15.75" thickBo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</row>
    <row r="571" spans="1:34" ht="15.75" thickBo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</row>
    <row r="572" spans="1:34" ht="15.75" thickBo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</row>
    <row r="573" spans="1:34" ht="15.75" thickBo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</row>
    <row r="574" spans="1:34" ht="15.75" thickBo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</row>
    <row r="575" spans="1:34" ht="15.75" thickBo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</row>
    <row r="576" spans="1:34" ht="15.75" thickBo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</row>
    <row r="577" spans="1:34" ht="15.75" thickBo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</row>
    <row r="578" spans="1:34" ht="15.75" thickBo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</row>
    <row r="579" spans="1:34" ht="15.75" thickBo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</row>
    <row r="580" spans="1:34" ht="15.75" thickBo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</row>
    <row r="581" spans="1:34" ht="15.75" thickBo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</row>
    <row r="582" spans="1:34" ht="15.75" thickBo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</row>
    <row r="583" spans="1:34" ht="15.75" thickBo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</row>
    <row r="584" spans="1:34" ht="15.75" thickBo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</row>
    <row r="585" spans="1:34" ht="15.75" thickBo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</row>
    <row r="586" spans="1:34" ht="15.75" thickBo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</row>
    <row r="587" spans="1:34" ht="15.75" thickBo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</row>
    <row r="588" spans="1:34" ht="15.75" thickBo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</row>
    <row r="589" spans="1:34" ht="15.75" thickBo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</row>
    <row r="590" spans="1:34" ht="15.75" thickBo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</row>
    <row r="591" spans="1:34" ht="15.75" thickBo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</row>
    <row r="592" spans="1:34" ht="15.75" thickBo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</row>
    <row r="593" spans="1:34" ht="15.75" thickBo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</row>
    <row r="594" spans="1:34" ht="15.75" thickBo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</row>
    <row r="595" spans="1:34" ht="15.75" thickBo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</row>
    <row r="596" spans="1:34" ht="15.75" thickBo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</row>
    <row r="597" spans="1:34" ht="15.75" thickBo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</row>
    <row r="598" spans="1:34" ht="15.75" thickBo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  <c r="AE598" s="100"/>
      <c r="AF598" s="100"/>
      <c r="AG598" s="100"/>
      <c r="AH598" s="100"/>
    </row>
    <row r="599" spans="1:34" ht="15.75" thickBo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  <c r="AF599" s="100"/>
      <c r="AG599" s="100"/>
      <c r="AH599" s="100"/>
    </row>
    <row r="600" spans="1:34" ht="15.75" thickBo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  <c r="AF600" s="100"/>
      <c r="AG600" s="100"/>
      <c r="AH600" s="100"/>
    </row>
    <row r="601" spans="1:34" ht="15.75" thickBo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  <c r="AF601" s="100"/>
      <c r="AG601" s="100"/>
      <c r="AH601" s="100"/>
    </row>
    <row r="602" spans="1:34" ht="15.75" thickBo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  <c r="AF602" s="100"/>
      <c r="AG602" s="100"/>
      <c r="AH602" s="100"/>
    </row>
    <row r="603" spans="1:34" ht="15.75" thickBo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  <c r="AE603" s="100"/>
      <c r="AF603" s="100"/>
      <c r="AG603" s="100"/>
      <c r="AH603" s="100"/>
    </row>
    <row r="604" spans="1:34" ht="15.75" thickBo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  <c r="AE604" s="100"/>
      <c r="AF604" s="100"/>
      <c r="AG604" s="100"/>
      <c r="AH604" s="100"/>
    </row>
    <row r="605" spans="1:34" ht="15.75" thickBo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  <c r="AE605" s="100"/>
      <c r="AF605" s="100"/>
      <c r="AG605" s="100"/>
      <c r="AH605" s="100"/>
    </row>
    <row r="606" spans="1:34" ht="15.75" thickBo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  <c r="AE606" s="100"/>
      <c r="AF606" s="100"/>
      <c r="AG606" s="100"/>
      <c r="AH606" s="100"/>
    </row>
    <row r="607" spans="1:34" ht="15.75" thickBo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  <c r="AE607" s="100"/>
      <c r="AF607" s="100"/>
      <c r="AG607" s="100"/>
      <c r="AH607" s="100"/>
    </row>
    <row r="608" spans="1:34" ht="15.75" thickBo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  <c r="AE608" s="100"/>
      <c r="AF608" s="100"/>
      <c r="AG608" s="100"/>
      <c r="AH608" s="100"/>
    </row>
    <row r="609" spans="1:34" ht="15.75" thickBo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  <c r="AE609" s="100"/>
      <c r="AF609" s="100"/>
      <c r="AG609" s="100"/>
      <c r="AH609" s="100"/>
    </row>
    <row r="610" spans="1:34" ht="15.75" thickBo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  <c r="AE610" s="100"/>
      <c r="AF610" s="100"/>
      <c r="AG610" s="100"/>
      <c r="AH610" s="100"/>
    </row>
    <row r="611" spans="1:34" ht="15.75" thickBo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  <c r="AE611" s="100"/>
      <c r="AF611" s="100"/>
      <c r="AG611" s="100"/>
      <c r="AH611" s="100"/>
    </row>
    <row r="612" spans="1:34" ht="15.75" thickBo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  <c r="AE612" s="100"/>
      <c r="AF612" s="100"/>
      <c r="AG612" s="100"/>
      <c r="AH612" s="100"/>
    </row>
    <row r="613" spans="1:34" ht="15.75" thickBo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  <c r="AE613" s="100"/>
      <c r="AF613" s="100"/>
      <c r="AG613" s="100"/>
      <c r="AH613" s="100"/>
    </row>
    <row r="614" spans="1:34" ht="15.75" thickBo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  <c r="AE614" s="100"/>
      <c r="AF614" s="100"/>
      <c r="AG614" s="100"/>
      <c r="AH614" s="100"/>
    </row>
    <row r="615" spans="1:34" ht="15.75" thickBo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  <c r="AE615" s="100"/>
      <c r="AF615" s="100"/>
      <c r="AG615" s="100"/>
      <c r="AH615" s="100"/>
    </row>
    <row r="616" spans="1:34" ht="15.75" thickBo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  <c r="AE616" s="100"/>
      <c r="AF616" s="100"/>
      <c r="AG616" s="100"/>
      <c r="AH616" s="100"/>
    </row>
    <row r="617" spans="1:34" ht="15.75" thickBo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  <c r="AE617" s="100"/>
      <c r="AF617" s="100"/>
      <c r="AG617" s="100"/>
      <c r="AH617" s="100"/>
    </row>
    <row r="618" spans="1:34" ht="15.75" thickBo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  <c r="AE618" s="100"/>
      <c r="AF618" s="100"/>
      <c r="AG618" s="100"/>
      <c r="AH618" s="100"/>
    </row>
    <row r="619" spans="1:34" ht="15.75" thickBo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  <c r="AE619" s="100"/>
      <c r="AF619" s="100"/>
      <c r="AG619" s="100"/>
      <c r="AH619" s="100"/>
    </row>
    <row r="620" spans="1:34" ht="15.75" thickBo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  <c r="AE620" s="100"/>
      <c r="AF620" s="100"/>
      <c r="AG620" s="100"/>
      <c r="AH620" s="100"/>
    </row>
    <row r="621" spans="1:34" ht="15.75" thickBo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  <c r="AE621" s="100"/>
      <c r="AF621" s="100"/>
      <c r="AG621" s="100"/>
      <c r="AH621" s="100"/>
    </row>
    <row r="622" spans="1:34" ht="15.75" thickBo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  <c r="AE622" s="100"/>
      <c r="AF622" s="100"/>
      <c r="AG622" s="100"/>
      <c r="AH622" s="100"/>
    </row>
    <row r="623" spans="1:34" ht="15.75" thickBo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  <c r="AE623" s="100"/>
      <c r="AF623" s="100"/>
      <c r="AG623" s="100"/>
      <c r="AH623" s="100"/>
    </row>
    <row r="624" spans="1:34" ht="15.75" thickBo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  <c r="AE624" s="100"/>
      <c r="AF624" s="100"/>
      <c r="AG624" s="100"/>
      <c r="AH624" s="100"/>
    </row>
    <row r="625" spans="1:34" ht="15.75" thickBo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  <c r="AF625" s="100"/>
      <c r="AG625" s="100"/>
      <c r="AH625" s="100"/>
    </row>
    <row r="626" spans="1:34" ht="15.75" thickBo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  <c r="AE626" s="100"/>
      <c r="AF626" s="100"/>
      <c r="AG626" s="100"/>
      <c r="AH626" s="100"/>
    </row>
    <row r="627" spans="1:34" ht="15.75" thickBo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  <c r="AF627" s="100"/>
      <c r="AG627" s="100"/>
      <c r="AH627" s="100"/>
    </row>
    <row r="628" spans="1:34" ht="15.75" thickBo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  <c r="AE628" s="100"/>
      <c r="AF628" s="100"/>
      <c r="AG628" s="100"/>
      <c r="AH628" s="100"/>
    </row>
    <row r="629" spans="1:34" ht="15.75" thickBo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  <c r="AE629" s="100"/>
      <c r="AF629" s="100"/>
      <c r="AG629" s="100"/>
      <c r="AH629" s="100"/>
    </row>
    <row r="630" spans="1:34" ht="15.75" thickBo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  <c r="AE630" s="100"/>
      <c r="AF630" s="100"/>
      <c r="AG630" s="100"/>
      <c r="AH630" s="100"/>
    </row>
    <row r="631" spans="1:34" ht="15.75" thickBo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  <c r="AE631" s="100"/>
      <c r="AF631" s="100"/>
      <c r="AG631" s="100"/>
      <c r="AH631" s="100"/>
    </row>
    <row r="632" spans="1:34" ht="15.75" thickBo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  <c r="AE632" s="100"/>
      <c r="AF632" s="100"/>
      <c r="AG632" s="100"/>
      <c r="AH632" s="100"/>
    </row>
    <row r="633" spans="1:34" ht="15.75" thickBo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  <c r="AE633" s="100"/>
      <c r="AF633" s="100"/>
      <c r="AG633" s="100"/>
      <c r="AH633" s="100"/>
    </row>
    <row r="634" spans="1:34" ht="15.75" thickBo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  <c r="AE634" s="100"/>
      <c r="AF634" s="100"/>
      <c r="AG634" s="100"/>
      <c r="AH634" s="100"/>
    </row>
    <row r="635" spans="1:34" ht="15.75" thickBo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  <c r="AE635" s="100"/>
      <c r="AF635" s="100"/>
      <c r="AG635" s="100"/>
      <c r="AH635" s="100"/>
    </row>
    <row r="636" spans="1:34" ht="15.75" thickBo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  <c r="AE636" s="100"/>
      <c r="AF636" s="100"/>
      <c r="AG636" s="100"/>
      <c r="AH636" s="100"/>
    </row>
    <row r="637" spans="1:34" ht="15.75" thickBo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  <c r="AE637" s="100"/>
      <c r="AF637" s="100"/>
      <c r="AG637" s="100"/>
      <c r="AH637" s="100"/>
    </row>
    <row r="638" spans="1:34" ht="15.75" thickBo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  <c r="AE638" s="100"/>
      <c r="AF638" s="100"/>
      <c r="AG638" s="100"/>
      <c r="AH638" s="100"/>
    </row>
    <row r="639" spans="1:34" ht="15.75" thickBo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  <c r="AE639" s="100"/>
      <c r="AF639" s="100"/>
      <c r="AG639" s="100"/>
      <c r="AH639" s="100"/>
    </row>
    <row r="640" spans="1:34" ht="15.75" thickBo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  <c r="AE640" s="100"/>
      <c r="AF640" s="100"/>
      <c r="AG640" s="100"/>
      <c r="AH640" s="100"/>
    </row>
    <row r="641" spans="1:34" ht="15.75" thickBo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  <c r="AE641" s="100"/>
      <c r="AF641" s="100"/>
      <c r="AG641" s="100"/>
      <c r="AH641" s="100"/>
    </row>
    <row r="642" spans="1:34" ht="15.75" thickBo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  <c r="AE642" s="100"/>
      <c r="AF642" s="100"/>
      <c r="AG642" s="100"/>
      <c r="AH642" s="100"/>
    </row>
    <row r="643" spans="1:34" ht="15.75" thickBo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  <c r="AE643" s="100"/>
      <c r="AF643" s="100"/>
      <c r="AG643" s="100"/>
      <c r="AH643" s="100"/>
    </row>
    <row r="644" spans="1:34" ht="15.75" thickBo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  <c r="AE644" s="100"/>
      <c r="AF644" s="100"/>
      <c r="AG644" s="100"/>
      <c r="AH644" s="100"/>
    </row>
    <row r="645" spans="1:34" ht="15.75" thickBo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  <c r="AE645" s="100"/>
      <c r="AF645" s="100"/>
      <c r="AG645" s="100"/>
      <c r="AH645" s="100"/>
    </row>
    <row r="646" spans="1:34" ht="15.75" thickBo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  <c r="AE646" s="100"/>
      <c r="AF646" s="100"/>
      <c r="AG646" s="100"/>
      <c r="AH646" s="100"/>
    </row>
    <row r="647" spans="1:34" ht="15.75" thickBo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  <c r="AE647" s="100"/>
      <c r="AF647" s="100"/>
      <c r="AG647" s="100"/>
      <c r="AH647" s="100"/>
    </row>
    <row r="648" spans="1:34" ht="15.75" thickBo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  <c r="AE648" s="100"/>
      <c r="AF648" s="100"/>
      <c r="AG648" s="100"/>
      <c r="AH648" s="100"/>
    </row>
    <row r="649" spans="1:34" ht="15.75" thickBo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  <c r="AE649" s="100"/>
      <c r="AF649" s="100"/>
      <c r="AG649" s="100"/>
      <c r="AH649" s="100"/>
    </row>
    <row r="650" spans="1:34" ht="15.75" thickBo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  <c r="AE650" s="100"/>
      <c r="AF650" s="100"/>
      <c r="AG650" s="100"/>
      <c r="AH650" s="100"/>
    </row>
    <row r="651" spans="1:34" ht="15.75" thickBo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  <c r="AE651" s="100"/>
      <c r="AF651" s="100"/>
      <c r="AG651" s="100"/>
      <c r="AH651" s="100"/>
    </row>
    <row r="652" spans="1:34" ht="15.75" thickBo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  <c r="AE652" s="100"/>
      <c r="AF652" s="100"/>
      <c r="AG652" s="100"/>
      <c r="AH652" s="100"/>
    </row>
    <row r="653" spans="1:34" ht="15.75" thickBo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  <c r="AE653" s="100"/>
      <c r="AF653" s="100"/>
      <c r="AG653" s="100"/>
      <c r="AH653" s="100"/>
    </row>
    <row r="654" spans="1:34" ht="15.75" thickBo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  <c r="AE654" s="100"/>
      <c r="AF654" s="100"/>
      <c r="AG654" s="100"/>
      <c r="AH654" s="100"/>
    </row>
    <row r="655" spans="1:34" ht="15.75" thickBo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  <c r="AE655" s="100"/>
      <c r="AF655" s="100"/>
      <c r="AG655" s="100"/>
      <c r="AH655" s="100"/>
    </row>
    <row r="656" spans="1:34" ht="15.75" thickBo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  <c r="AE656" s="100"/>
      <c r="AF656" s="100"/>
      <c r="AG656" s="100"/>
      <c r="AH656" s="100"/>
    </row>
    <row r="657" spans="1:34" ht="15.75" thickBo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  <c r="AF657" s="100"/>
      <c r="AG657" s="100"/>
      <c r="AH657" s="100"/>
    </row>
    <row r="658" spans="1:34" ht="15.75" thickBo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  <c r="AE658" s="100"/>
      <c r="AF658" s="100"/>
      <c r="AG658" s="100"/>
      <c r="AH658" s="100"/>
    </row>
    <row r="659" spans="1:34" ht="15.75" thickBo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  <c r="AE659" s="100"/>
      <c r="AF659" s="100"/>
      <c r="AG659" s="100"/>
      <c r="AH659" s="100"/>
    </row>
    <row r="660" spans="1:34" ht="15.75" thickBo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  <c r="AE660" s="100"/>
      <c r="AF660" s="100"/>
      <c r="AG660" s="100"/>
      <c r="AH660" s="100"/>
    </row>
    <row r="661" spans="1:34" ht="15.75" thickBo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  <c r="AE661" s="100"/>
      <c r="AF661" s="100"/>
      <c r="AG661" s="100"/>
      <c r="AH661" s="100"/>
    </row>
    <row r="662" spans="1:34" ht="15.75" thickBo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  <c r="AE662" s="100"/>
      <c r="AF662" s="100"/>
      <c r="AG662" s="100"/>
      <c r="AH662" s="100"/>
    </row>
    <row r="663" spans="1:34" ht="15.75" thickBo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  <c r="AF663" s="100"/>
      <c r="AG663" s="100"/>
      <c r="AH663" s="100"/>
    </row>
    <row r="664" spans="1:34" ht="15.75" thickBo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  <c r="AE664" s="100"/>
      <c r="AF664" s="100"/>
      <c r="AG664" s="100"/>
      <c r="AH664" s="100"/>
    </row>
    <row r="665" spans="1:34" ht="15.75" thickBo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  <c r="AE665" s="100"/>
      <c r="AF665" s="100"/>
      <c r="AG665" s="100"/>
      <c r="AH665" s="100"/>
    </row>
    <row r="666" spans="1:34" ht="15.75" thickBo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  <c r="AE666" s="100"/>
      <c r="AF666" s="100"/>
      <c r="AG666" s="100"/>
      <c r="AH666" s="100"/>
    </row>
    <row r="667" spans="1:34" ht="15.75" thickBo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  <c r="AE667" s="100"/>
      <c r="AF667" s="100"/>
      <c r="AG667" s="100"/>
      <c r="AH667" s="100"/>
    </row>
    <row r="668" spans="1:34" ht="15.75" thickBo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  <c r="AE668" s="100"/>
      <c r="AF668" s="100"/>
      <c r="AG668" s="100"/>
      <c r="AH668" s="100"/>
    </row>
    <row r="669" spans="1:34" ht="15.75" thickBo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</row>
    <row r="670" spans="1:34" ht="15.75" thickBo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  <c r="AE670" s="100"/>
      <c r="AF670" s="100"/>
      <c r="AG670" s="100"/>
      <c r="AH670" s="100"/>
    </row>
    <row r="671" spans="1:34" ht="15.75" thickBo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  <c r="AE671" s="100"/>
      <c r="AF671" s="100"/>
      <c r="AG671" s="100"/>
      <c r="AH671" s="100"/>
    </row>
    <row r="672" spans="1:34" ht="15.75" thickBo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  <c r="AE672" s="100"/>
      <c r="AF672" s="100"/>
      <c r="AG672" s="100"/>
      <c r="AH672" s="100"/>
    </row>
    <row r="673" spans="1:34" ht="15.75" thickBo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  <c r="AE673" s="100"/>
      <c r="AF673" s="100"/>
      <c r="AG673" s="100"/>
      <c r="AH673" s="100"/>
    </row>
    <row r="674" spans="1:34" ht="15.75" thickBo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  <c r="AE674" s="100"/>
      <c r="AF674" s="100"/>
      <c r="AG674" s="100"/>
      <c r="AH674" s="100"/>
    </row>
    <row r="675" spans="1:34" ht="15.75" thickBo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  <c r="AE675" s="100"/>
      <c r="AF675" s="100"/>
      <c r="AG675" s="100"/>
      <c r="AH675" s="100"/>
    </row>
    <row r="676" spans="1:34" ht="15.75" thickBo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  <c r="AE676" s="100"/>
      <c r="AF676" s="100"/>
      <c r="AG676" s="100"/>
      <c r="AH676" s="100"/>
    </row>
    <row r="677" spans="1:34" ht="15.75" thickBo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  <c r="AE677" s="100"/>
      <c r="AF677" s="100"/>
      <c r="AG677" s="100"/>
      <c r="AH677" s="100"/>
    </row>
    <row r="678" spans="1:34" ht="15.75" thickBo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  <c r="AE678" s="100"/>
      <c r="AF678" s="100"/>
      <c r="AG678" s="100"/>
      <c r="AH678" s="100"/>
    </row>
    <row r="679" spans="1:34" ht="15.75" thickBo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  <c r="AE679" s="100"/>
      <c r="AF679" s="100"/>
      <c r="AG679" s="100"/>
      <c r="AH679" s="100"/>
    </row>
    <row r="680" spans="1:34" ht="15.75" thickBo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</row>
    <row r="681" spans="1:34" ht="15.75" thickBo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  <c r="AE681" s="100"/>
      <c r="AF681" s="100"/>
      <c r="AG681" s="100"/>
      <c r="AH681" s="100"/>
    </row>
    <row r="682" spans="1:34" ht="15.75" thickBo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  <c r="AE682" s="100"/>
      <c r="AF682" s="100"/>
      <c r="AG682" s="100"/>
      <c r="AH682" s="100"/>
    </row>
    <row r="683" spans="1:34" ht="15.75" thickBo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  <c r="AE683" s="100"/>
      <c r="AF683" s="100"/>
      <c r="AG683" s="100"/>
      <c r="AH683" s="100"/>
    </row>
    <row r="684" spans="1:34" ht="15.75" thickBo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  <c r="AE684" s="100"/>
      <c r="AF684" s="100"/>
      <c r="AG684" s="100"/>
      <c r="AH684" s="100"/>
    </row>
    <row r="685" spans="1:34" ht="15.75" thickBo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  <c r="AE685" s="100"/>
      <c r="AF685" s="100"/>
      <c r="AG685" s="100"/>
      <c r="AH685" s="100"/>
    </row>
    <row r="686" spans="1:34" ht="15.75" thickBo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  <c r="AE686" s="100"/>
      <c r="AF686" s="100"/>
      <c r="AG686" s="100"/>
      <c r="AH686" s="100"/>
    </row>
    <row r="687" spans="1:34" ht="15.75" thickBo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  <c r="AE687" s="100"/>
      <c r="AF687" s="100"/>
      <c r="AG687" s="100"/>
      <c r="AH687" s="100"/>
    </row>
    <row r="688" spans="1:34" ht="15.75" thickBo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  <c r="AE688" s="100"/>
      <c r="AF688" s="100"/>
      <c r="AG688" s="100"/>
      <c r="AH688" s="100"/>
    </row>
    <row r="689" spans="1:34" ht="15.75" thickBo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  <c r="AE689" s="100"/>
      <c r="AF689" s="100"/>
      <c r="AG689" s="100"/>
      <c r="AH689" s="100"/>
    </row>
    <row r="690" spans="1:34" ht="15.75" thickBo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  <c r="AE690" s="100"/>
      <c r="AF690" s="100"/>
      <c r="AG690" s="100"/>
      <c r="AH690" s="100"/>
    </row>
    <row r="691" spans="1:34" ht="15.75" thickBo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  <c r="AE691" s="100"/>
      <c r="AF691" s="100"/>
      <c r="AG691" s="100"/>
      <c r="AH691" s="100"/>
    </row>
    <row r="692" spans="1:34" ht="15.75" thickBo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  <c r="AE692" s="100"/>
      <c r="AF692" s="100"/>
      <c r="AG692" s="100"/>
      <c r="AH692" s="100"/>
    </row>
    <row r="693" spans="1:34" ht="15.75" thickBo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  <c r="AF693" s="100"/>
      <c r="AG693" s="100"/>
      <c r="AH693" s="100"/>
    </row>
    <row r="694" spans="1:34" ht="15.75" thickBo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  <c r="AE694" s="100"/>
      <c r="AF694" s="100"/>
      <c r="AG694" s="100"/>
      <c r="AH694" s="100"/>
    </row>
    <row r="695" spans="1:34" ht="15.75" thickBo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  <c r="AE695" s="100"/>
      <c r="AF695" s="100"/>
      <c r="AG695" s="100"/>
      <c r="AH695" s="100"/>
    </row>
    <row r="696" spans="1:34" ht="15.75" thickBo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  <c r="AE696" s="100"/>
      <c r="AF696" s="100"/>
      <c r="AG696" s="100"/>
      <c r="AH696" s="100"/>
    </row>
    <row r="697" spans="1:34" ht="15.75" thickBo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  <c r="AE697" s="100"/>
      <c r="AF697" s="100"/>
      <c r="AG697" s="100"/>
      <c r="AH697" s="100"/>
    </row>
    <row r="698" spans="1:34" ht="15.75" thickBo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  <c r="AE698" s="100"/>
      <c r="AF698" s="100"/>
      <c r="AG698" s="100"/>
      <c r="AH698" s="100"/>
    </row>
    <row r="699" spans="1:34" ht="15.75" thickBo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  <c r="AE699" s="100"/>
      <c r="AF699" s="100"/>
      <c r="AG699" s="100"/>
      <c r="AH699" s="100"/>
    </row>
    <row r="700" spans="1:34" ht="15.75" thickBo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  <c r="AE700" s="100"/>
      <c r="AF700" s="100"/>
      <c r="AG700" s="100"/>
      <c r="AH700" s="100"/>
    </row>
    <row r="701" spans="1:34" ht="15.75" thickBo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  <c r="AE701" s="100"/>
      <c r="AF701" s="100"/>
      <c r="AG701" s="100"/>
      <c r="AH701" s="100"/>
    </row>
    <row r="702" spans="1:34" ht="15.75" thickBo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  <c r="AE702" s="100"/>
      <c r="AF702" s="100"/>
      <c r="AG702" s="100"/>
      <c r="AH702" s="100"/>
    </row>
    <row r="703" spans="1:34" ht="15.75" thickBo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  <c r="AE703" s="100"/>
      <c r="AF703" s="100"/>
      <c r="AG703" s="100"/>
      <c r="AH703" s="100"/>
    </row>
    <row r="704" spans="1:34" ht="15.75" thickBo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  <c r="AE704" s="100"/>
      <c r="AF704" s="100"/>
      <c r="AG704" s="100"/>
      <c r="AH704" s="100"/>
    </row>
    <row r="705" spans="1:34" ht="15.75" thickBo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  <c r="AE705" s="100"/>
      <c r="AF705" s="100"/>
      <c r="AG705" s="100"/>
      <c r="AH705" s="100"/>
    </row>
    <row r="706" spans="1:34" ht="15.75" thickBo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  <c r="AE706" s="100"/>
      <c r="AF706" s="100"/>
      <c r="AG706" s="100"/>
      <c r="AH706" s="100"/>
    </row>
    <row r="707" spans="1:34" ht="15.75" thickBo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  <c r="AE707" s="100"/>
      <c r="AF707" s="100"/>
      <c r="AG707" s="100"/>
      <c r="AH707" s="100"/>
    </row>
    <row r="708" spans="1:34" ht="15.75" thickBo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  <c r="AE708" s="100"/>
      <c r="AF708" s="100"/>
      <c r="AG708" s="100"/>
      <c r="AH708" s="100"/>
    </row>
    <row r="709" spans="1:34" ht="15.75" thickBo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  <c r="AE709" s="100"/>
      <c r="AF709" s="100"/>
      <c r="AG709" s="100"/>
      <c r="AH709" s="100"/>
    </row>
    <row r="710" spans="1:34" ht="15.75" thickBo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  <c r="AE710" s="100"/>
      <c r="AF710" s="100"/>
      <c r="AG710" s="100"/>
      <c r="AH710" s="100"/>
    </row>
    <row r="711" spans="1:34" ht="15.75" thickBo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  <c r="AE711" s="100"/>
      <c r="AF711" s="100"/>
      <c r="AG711" s="100"/>
      <c r="AH711" s="100"/>
    </row>
    <row r="712" spans="1:34" ht="15.75" thickBo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  <c r="AE712" s="100"/>
      <c r="AF712" s="100"/>
      <c r="AG712" s="100"/>
      <c r="AH712" s="100"/>
    </row>
    <row r="713" spans="1:34" ht="15.75" thickBo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  <c r="AE713" s="100"/>
      <c r="AF713" s="100"/>
      <c r="AG713" s="100"/>
      <c r="AH713" s="100"/>
    </row>
    <row r="714" spans="1:34" ht="15.75" thickBo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  <c r="AE714" s="100"/>
      <c r="AF714" s="100"/>
      <c r="AG714" s="100"/>
      <c r="AH714" s="100"/>
    </row>
    <row r="715" spans="1:34" ht="15.75" thickBo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  <c r="AE715" s="100"/>
      <c r="AF715" s="100"/>
      <c r="AG715" s="100"/>
      <c r="AH715" s="100"/>
    </row>
    <row r="716" spans="1:34" ht="15.75" thickBo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  <c r="AE716" s="100"/>
      <c r="AF716" s="100"/>
      <c r="AG716" s="100"/>
      <c r="AH716" s="100"/>
    </row>
    <row r="717" spans="1:34" ht="15.75" thickBo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  <c r="AE717" s="100"/>
      <c r="AF717" s="100"/>
      <c r="AG717" s="100"/>
      <c r="AH717" s="100"/>
    </row>
    <row r="718" spans="1:34" ht="15.75" thickBo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  <c r="AE718" s="100"/>
      <c r="AF718" s="100"/>
      <c r="AG718" s="100"/>
      <c r="AH718" s="100"/>
    </row>
    <row r="719" spans="1:34" ht="15.75" thickBo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  <c r="AE719" s="100"/>
      <c r="AF719" s="100"/>
      <c r="AG719" s="100"/>
      <c r="AH719" s="100"/>
    </row>
    <row r="720" spans="1:34" ht="15.75" thickBo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  <c r="AE720" s="100"/>
      <c r="AF720" s="100"/>
      <c r="AG720" s="100"/>
      <c r="AH720" s="100"/>
    </row>
    <row r="721" spans="1:34" ht="15.75" thickBo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  <c r="AE721" s="100"/>
      <c r="AF721" s="100"/>
      <c r="AG721" s="100"/>
      <c r="AH721" s="100"/>
    </row>
    <row r="722" spans="1:34" ht="15.75" thickBo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  <c r="AE722" s="100"/>
      <c r="AF722" s="100"/>
      <c r="AG722" s="100"/>
      <c r="AH722" s="100"/>
    </row>
    <row r="723" spans="1:34" ht="15.75" thickBo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  <c r="AE723" s="100"/>
      <c r="AF723" s="100"/>
      <c r="AG723" s="100"/>
      <c r="AH723" s="100"/>
    </row>
    <row r="724" spans="1:34" ht="15.75" thickBo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  <c r="AE724" s="100"/>
      <c r="AF724" s="100"/>
      <c r="AG724" s="100"/>
      <c r="AH724" s="100"/>
    </row>
    <row r="725" spans="1:34" ht="15.75" thickBo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  <c r="AE725" s="100"/>
      <c r="AF725" s="100"/>
      <c r="AG725" s="100"/>
      <c r="AH725" s="100"/>
    </row>
    <row r="726" spans="1:34" ht="15.75" thickBo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  <c r="AE726" s="100"/>
      <c r="AF726" s="100"/>
      <c r="AG726" s="100"/>
      <c r="AH726" s="100"/>
    </row>
    <row r="727" spans="1:34" ht="15.75" thickBo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  <c r="AE727" s="100"/>
      <c r="AF727" s="100"/>
      <c r="AG727" s="100"/>
      <c r="AH727" s="100"/>
    </row>
    <row r="728" spans="1:34" ht="15.75" thickBo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  <c r="AE728" s="100"/>
      <c r="AF728" s="100"/>
      <c r="AG728" s="100"/>
      <c r="AH728" s="100"/>
    </row>
    <row r="729" spans="1:34" ht="15.75" thickBo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  <c r="AE729" s="100"/>
      <c r="AF729" s="100"/>
      <c r="AG729" s="100"/>
      <c r="AH729" s="100"/>
    </row>
    <row r="730" spans="1:34" ht="15.75" thickBo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  <c r="AE730" s="100"/>
      <c r="AF730" s="100"/>
      <c r="AG730" s="100"/>
      <c r="AH730" s="100"/>
    </row>
    <row r="731" spans="1:34" ht="15.75" thickBo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  <c r="AE731" s="100"/>
      <c r="AF731" s="100"/>
      <c r="AG731" s="100"/>
      <c r="AH731" s="100"/>
    </row>
    <row r="732" spans="1:34" ht="15.75" thickBo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  <c r="AE732" s="100"/>
      <c r="AF732" s="100"/>
      <c r="AG732" s="100"/>
      <c r="AH732" s="100"/>
    </row>
    <row r="733" spans="1:34" ht="15.75" thickBo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  <c r="AE733" s="100"/>
      <c r="AF733" s="100"/>
      <c r="AG733" s="100"/>
      <c r="AH733" s="100"/>
    </row>
    <row r="734" spans="1:34" ht="15.75" thickBo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  <c r="AE734" s="100"/>
      <c r="AF734" s="100"/>
      <c r="AG734" s="100"/>
      <c r="AH734" s="100"/>
    </row>
    <row r="735" spans="1:34" ht="15.75" thickBo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  <c r="AF735" s="100"/>
      <c r="AG735" s="100"/>
      <c r="AH735" s="100"/>
    </row>
    <row r="736" spans="1:34" ht="15.75" thickBo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  <c r="AE736" s="100"/>
      <c r="AF736" s="100"/>
      <c r="AG736" s="100"/>
      <c r="AH736" s="100"/>
    </row>
    <row r="737" spans="1:34" ht="15.75" thickBo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  <c r="AE737" s="100"/>
      <c r="AF737" s="100"/>
      <c r="AG737" s="100"/>
      <c r="AH737" s="100"/>
    </row>
    <row r="738" spans="1:34" ht="15.75" thickBo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  <c r="AE738" s="100"/>
      <c r="AF738" s="100"/>
      <c r="AG738" s="100"/>
      <c r="AH738" s="100"/>
    </row>
    <row r="739" spans="1:34" ht="15.75" thickBo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  <c r="AE739" s="100"/>
      <c r="AF739" s="100"/>
      <c r="AG739" s="100"/>
      <c r="AH739" s="100"/>
    </row>
    <row r="740" spans="1:34" ht="15.75" thickBo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  <c r="AE740" s="100"/>
      <c r="AF740" s="100"/>
      <c r="AG740" s="100"/>
      <c r="AH740" s="100"/>
    </row>
    <row r="741" spans="1:34" ht="15.75" thickBo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  <c r="AF741" s="100"/>
      <c r="AG741" s="100"/>
      <c r="AH741" s="100"/>
    </row>
    <row r="742" spans="1:34" ht="15.75" thickBo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  <c r="AE742" s="100"/>
      <c r="AF742" s="100"/>
      <c r="AG742" s="100"/>
      <c r="AH742" s="100"/>
    </row>
    <row r="743" spans="1:34" ht="15.75" thickBo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  <c r="AE743" s="100"/>
      <c r="AF743" s="100"/>
      <c r="AG743" s="100"/>
      <c r="AH743" s="100"/>
    </row>
    <row r="744" spans="1:34" ht="15.75" thickBo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  <c r="AE744" s="100"/>
      <c r="AF744" s="100"/>
      <c r="AG744" s="100"/>
      <c r="AH744" s="100"/>
    </row>
    <row r="745" spans="1:34" ht="15.75" thickBo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  <c r="AE745" s="100"/>
      <c r="AF745" s="100"/>
      <c r="AG745" s="100"/>
      <c r="AH745" s="100"/>
    </row>
    <row r="746" spans="1:34" ht="15.75" thickBo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  <c r="AE746" s="100"/>
      <c r="AF746" s="100"/>
      <c r="AG746" s="100"/>
      <c r="AH746" s="100"/>
    </row>
    <row r="747" spans="1:34" ht="15.75" thickBo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  <c r="AE747" s="100"/>
      <c r="AF747" s="100"/>
      <c r="AG747" s="100"/>
      <c r="AH747" s="100"/>
    </row>
    <row r="748" spans="1:34" ht="15.75" thickBo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  <c r="AE748" s="100"/>
      <c r="AF748" s="100"/>
      <c r="AG748" s="100"/>
      <c r="AH748" s="100"/>
    </row>
    <row r="749" spans="1:34" ht="15.75" thickBo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  <c r="AE749" s="100"/>
      <c r="AF749" s="100"/>
      <c r="AG749" s="100"/>
      <c r="AH749" s="100"/>
    </row>
    <row r="750" spans="1:34" ht="15.75" thickBo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  <c r="AE750" s="100"/>
      <c r="AF750" s="100"/>
      <c r="AG750" s="100"/>
      <c r="AH750" s="100"/>
    </row>
    <row r="751" spans="1:34" ht="15.75" thickBo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  <c r="AE751" s="100"/>
      <c r="AF751" s="100"/>
      <c r="AG751" s="100"/>
      <c r="AH751" s="100"/>
    </row>
    <row r="752" spans="1:34" ht="15.75" thickBo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  <c r="AF752" s="100"/>
      <c r="AG752" s="100"/>
      <c r="AH752" s="100"/>
    </row>
    <row r="753" spans="1:34" ht="15.75" thickBo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  <c r="AE753" s="100"/>
      <c r="AF753" s="100"/>
      <c r="AG753" s="100"/>
      <c r="AH753" s="100"/>
    </row>
    <row r="754" spans="1:34" ht="15.75" thickBo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  <c r="AE754" s="100"/>
      <c r="AF754" s="100"/>
      <c r="AG754" s="100"/>
      <c r="AH754" s="100"/>
    </row>
    <row r="755" spans="1:34" ht="15.75" thickBo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  <c r="AE755" s="100"/>
      <c r="AF755" s="100"/>
      <c r="AG755" s="100"/>
      <c r="AH755" s="100"/>
    </row>
    <row r="756" spans="1:34" ht="15.75" thickBo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  <c r="AE756" s="100"/>
      <c r="AF756" s="100"/>
      <c r="AG756" s="100"/>
      <c r="AH756" s="100"/>
    </row>
    <row r="757" spans="1:34" ht="15.75" thickBo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0"/>
      <c r="AF757" s="100"/>
      <c r="AG757" s="100"/>
      <c r="AH757" s="100"/>
    </row>
    <row r="758" spans="1:34" ht="15.75" thickBo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  <c r="AE758" s="100"/>
      <c r="AF758" s="100"/>
      <c r="AG758" s="100"/>
      <c r="AH758" s="100"/>
    </row>
    <row r="759" spans="1:34" ht="15.75" thickBo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  <c r="AE759" s="100"/>
      <c r="AF759" s="100"/>
      <c r="AG759" s="100"/>
      <c r="AH759" s="100"/>
    </row>
    <row r="760" spans="1:34" ht="15.75" thickBo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  <c r="AE760" s="100"/>
      <c r="AF760" s="100"/>
      <c r="AG760" s="100"/>
      <c r="AH760" s="100"/>
    </row>
    <row r="761" spans="1:34" ht="15.75" thickBo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  <c r="AE761" s="100"/>
      <c r="AF761" s="100"/>
      <c r="AG761" s="100"/>
      <c r="AH761" s="100"/>
    </row>
    <row r="762" spans="1:34" ht="15.75" thickBo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  <c r="AE762" s="100"/>
      <c r="AF762" s="100"/>
      <c r="AG762" s="100"/>
      <c r="AH762" s="100"/>
    </row>
    <row r="763" spans="1:34" ht="15.75" thickBo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  <c r="AF763" s="100"/>
      <c r="AG763" s="100"/>
      <c r="AH763" s="100"/>
    </row>
    <row r="764" spans="1:34" ht="15.75" thickBo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  <c r="AE764" s="100"/>
      <c r="AF764" s="100"/>
      <c r="AG764" s="100"/>
      <c r="AH764" s="100"/>
    </row>
    <row r="765" spans="1:34" ht="15.75" thickBo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  <c r="AE765" s="100"/>
      <c r="AF765" s="100"/>
      <c r="AG765" s="100"/>
      <c r="AH765" s="100"/>
    </row>
    <row r="766" spans="1:34" ht="15.75" thickBo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  <c r="AE766" s="100"/>
      <c r="AF766" s="100"/>
      <c r="AG766" s="100"/>
      <c r="AH766" s="100"/>
    </row>
    <row r="767" spans="1:34" ht="15.75" thickBo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  <c r="AE767" s="100"/>
      <c r="AF767" s="100"/>
      <c r="AG767" s="100"/>
      <c r="AH767" s="100"/>
    </row>
    <row r="768" spans="1:34" ht="15.75" thickBo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  <c r="AE768" s="100"/>
      <c r="AF768" s="100"/>
      <c r="AG768" s="100"/>
      <c r="AH768" s="100"/>
    </row>
    <row r="769" spans="1:34" ht="15.75" thickBo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  <c r="AE769" s="100"/>
      <c r="AF769" s="100"/>
      <c r="AG769" s="100"/>
      <c r="AH769" s="100"/>
    </row>
    <row r="770" spans="1:34" ht="15.75" thickBo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  <c r="AE770" s="100"/>
      <c r="AF770" s="100"/>
      <c r="AG770" s="100"/>
      <c r="AH770" s="100"/>
    </row>
    <row r="771" spans="1:34" ht="15.75" thickBo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  <c r="AE771" s="100"/>
      <c r="AF771" s="100"/>
      <c r="AG771" s="100"/>
      <c r="AH771" s="100"/>
    </row>
    <row r="772" spans="1:34" ht="15.75" thickBo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  <c r="AE772" s="100"/>
      <c r="AF772" s="100"/>
      <c r="AG772" s="100"/>
      <c r="AH772" s="100"/>
    </row>
    <row r="773" spans="1:34" ht="15.75" thickBo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  <c r="AE773" s="100"/>
      <c r="AF773" s="100"/>
      <c r="AG773" s="100"/>
      <c r="AH773" s="100"/>
    </row>
    <row r="774" spans="1:34" ht="15.75" thickBo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  <c r="AF774" s="100"/>
      <c r="AG774" s="100"/>
      <c r="AH774" s="100"/>
    </row>
    <row r="775" spans="1:34" ht="15.75" thickBo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  <c r="AE775" s="100"/>
      <c r="AF775" s="100"/>
      <c r="AG775" s="100"/>
      <c r="AH775" s="100"/>
    </row>
    <row r="776" spans="1:34" ht="15.75" thickBo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  <c r="AE776" s="100"/>
      <c r="AF776" s="100"/>
      <c r="AG776" s="100"/>
      <c r="AH776" s="100"/>
    </row>
    <row r="777" spans="1:34" ht="15.75" thickBo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  <c r="AE777" s="100"/>
      <c r="AF777" s="100"/>
      <c r="AG777" s="100"/>
      <c r="AH777" s="100"/>
    </row>
    <row r="778" spans="1:34" ht="15.75" thickBo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  <c r="AE778" s="100"/>
      <c r="AF778" s="100"/>
      <c r="AG778" s="100"/>
      <c r="AH778" s="100"/>
    </row>
    <row r="779" spans="1:34" ht="15.75" thickBo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  <c r="AE779" s="100"/>
      <c r="AF779" s="100"/>
      <c r="AG779" s="100"/>
      <c r="AH779" s="100"/>
    </row>
    <row r="780" spans="1:34" ht="15.75" thickBo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  <c r="AE780" s="100"/>
      <c r="AF780" s="100"/>
      <c r="AG780" s="100"/>
      <c r="AH780" s="100"/>
    </row>
    <row r="781" spans="1:34" ht="15.75" thickBo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  <c r="AE781" s="100"/>
      <c r="AF781" s="100"/>
      <c r="AG781" s="100"/>
      <c r="AH781" s="100"/>
    </row>
    <row r="782" spans="1:34" ht="15.75" thickBo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  <c r="AE782" s="100"/>
      <c r="AF782" s="100"/>
      <c r="AG782" s="100"/>
      <c r="AH782" s="100"/>
    </row>
    <row r="783" spans="1:34" ht="15.75" thickBo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  <c r="AE783" s="100"/>
      <c r="AF783" s="100"/>
      <c r="AG783" s="100"/>
      <c r="AH783" s="100"/>
    </row>
    <row r="784" spans="1:34" ht="15.75" thickBo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  <c r="AE784" s="100"/>
      <c r="AF784" s="100"/>
      <c r="AG784" s="100"/>
      <c r="AH784" s="100"/>
    </row>
    <row r="785" spans="1:34" ht="15.75" thickBo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  <c r="AE785" s="100"/>
      <c r="AF785" s="100"/>
      <c r="AG785" s="100"/>
      <c r="AH785" s="100"/>
    </row>
    <row r="786" spans="1:34" ht="15.75" thickBo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  <c r="AE786" s="100"/>
      <c r="AF786" s="100"/>
      <c r="AG786" s="100"/>
      <c r="AH786" s="100"/>
    </row>
    <row r="787" spans="1:34" ht="15.75" thickBo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  <c r="AE787" s="100"/>
      <c r="AF787" s="100"/>
      <c r="AG787" s="100"/>
      <c r="AH787" s="100"/>
    </row>
    <row r="788" spans="1:34" ht="15.75" thickBo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  <c r="AE788" s="100"/>
      <c r="AF788" s="100"/>
      <c r="AG788" s="100"/>
      <c r="AH788" s="100"/>
    </row>
    <row r="789" spans="1:34" ht="15.75" thickBo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  <c r="AE789" s="100"/>
      <c r="AF789" s="100"/>
      <c r="AG789" s="100"/>
      <c r="AH789" s="100"/>
    </row>
    <row r="790" spans="1:34" ht="15.75" thickBo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  <c r="AE790" s="100"/>
      <c r="AF790" s="100"/>
      <c r="AG790" s="100"/>
      <c r="AH790" s="100"/>
    </row>
    <row r="791" spans="1:34" ht="15.75" thickBo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  <c r="AE791" s="100"/>
      <c r="AF791" s="100"/>
      <c r="AG791" s="100"/>
      <c r="AH791" s="100"/>
    </row>
    <row r="792" spans="1:34" ht="15.75" thickBo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  <c r="AE792" s="100"/>
      <c r="AF792" s="100"/>
      <c r="AG792" s="100"/>
      <c r="AH792" s="100"/>
    </row>
    <row r="793" spans="1:34" ht="15.75" thickBo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  <c r="AE793" s="100"/>
      <c r="AF793" s="100"/>
      <c r="AG793" s="100"/>
      <c r="AH793" s="100"/>
    </row>
    <row r="794" spans="1:34" ht="15.75" thickBo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  <c r="AE794" s="100"/>
      <c r="AF794" s="100"/>
      <c r="AG794" s="100"/>
      <c r="AH794" s="100"/>
    </row>
    <row r="795" spans="1:34" ht="15.75" thickBo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  <c r="AE795" s="100"/>
      <c r="AF795" s="100"/>
      <c r="AG795" s="100"/>
      <c r="AH795" s="100"/>
    </row>
    <row r="796" spans="1:34" ht="15.75" thickBo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  <c r="AE796" s="100"/>
      <c r="AF796" s="100"/>
      <c r="AG796" s="100"/>
      <c r="AH796" s="100"/>
    </row>
    <row r="797" spans="1:34" ht="15.75" thickBo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  <c r="AE797" s="100"/>
      <c r="AF797" s="100"/>
      <c r="AG797" s="100"/>
      <c r="AH797" s="100"/>
    </row>
    <row r="798" spans="1:34" ht="15.75" thickBo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  <c r="AE798" s="100"/>
      <c r="AF798" s="100"/>
      <c r="AG798" s="100"/>
      <c r="AH798" s="100"/>
    </row>
    <row r="799" spans="1:34" ht="15.75" thickBo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  <c r="AE799" s="100"/>
      <c r="AF799" s="100"/>
      <c r="AG799" s="100"/>
      <c r="AH799" s="100"/>
    </row>
    <row r="800" spans="1:34" ht="15.75" thickBo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  <c r="AE800" s="100"/>
      <c r="AF800" s="100"/>
      <c r="AG800" s="100"/>
      <c r="AH800" s="100"/>
    </row>
    <row r="801" spans="1:34" ht="15.75" thickBo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  <c r="AE801" s="100"/>
      <c r="AF801" s="100"/>
      <c r="AG801" s="100"/>
      <c r="AH801" s="100"/>
    </row>
    <row r="802" spans="1:34" ht="15.75" thickBo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  <c r="AE802" s="100"/>
      <c r="AF802" s="100"/>
      <c r="AG802" s="100"/>
      <c r="AH802" s="100"/>
    </row>
    <row r="803" spans="1:34" ht="15.75" thickBo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  <c r="AE803" s="100"/>
      <c r="AF803" s="100"/>
      <c r="AG803" s="100"/>
      <c r="AH803" s="100"/>
    </row>
    <row r="804" spans="1:34" ht="15.75" thickBo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  <c r="AE804" s="100"/>
      <c r="AF804" s="100"/>
      <c r="AG804" s="100"/>
      <c r="AH804" s="100"/>
    </row>
    <row r="805" spans="1:34" ht="15.75" thickBo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  <c r="AE805" s="100"/>
      <c r="AF805" s="100"/>
      <c r="AG805" s="100"/>
      <c r="AH805" s="100"/>
    </row>
    <row r="806" spans="1:34" ht="15.75" thickBo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  <c r="AE806" s="100"/>
      <c r="AF806" s="100"/>
      <c r="AG806" s="100"/>
      <c r="AH806" s="100"/>
    </row>
    <row r="807" spans="1:34" ht="15.75" thickBo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  <c r="AE807" s="100"/>
      <c r="AF807" s="100"/>
      <c r="AG807" s="100"/>
      <c r="AH807" s="100"/>
    </row>
    <row r="808" spans="1:34" ht="15.75" thickBo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  <c r="AE808" s="100"/>
      <c r="AF808" s="100"/>
      <c r="AG808" s="100"/>
      <c r="AH808" s="100"/>
    </row>
    <row r="809" spans="1:34" ht="15.75" thickBo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  <c r="AE809" s="100"/>
      <c r="AF809" s="100"/>
      <c r="AG809" s="100"/>
      <c r="AH809" s="100"/>
    </row>
    <row r="810" spans="1:34" ht="15.75" thickBo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  <c r="AE810" s="100"/>
      <c r="AF810" s="100"/>
      <c r="AG810" s="100"/>
      <c r="AH810" s="100"/>
    </row>
    <row r="811" spans="1:34" ht="15.75" thickBo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  <c r="AE811" s="100"/>
      <c r="AF811" s="100"/>
      <c r="AG811" s="100"/>
      <c r="AH811" s="100"/>
    </row>
    <row r="812" spans="1:34" ht="15.75" thickBo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  <c r="AE812" s="100"/>
      <c r="AF812" s="100"/>
      <c r="AG812" s="100"/>
      <c r="AH812" s="100"/>
    </row>
    <row r="813" spans="1:34" ht="15.75" thickBo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  <c r="AE813" s="100"/>
      <c r="AF813" s="100"/>
      <c r="AG813" s="100"/>
      <c r="AH813" s="100"/>
    </row>
    <row r="814" spans="1:34" ht="15.75" thickBo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  <c r="AE814" s="100"/>
      <c r="AF814" s="100"/>
      <c r="AG814" s="100"/>
      <c r="AH814" s="100"/>
    </row>
    <row r="815" spans="1:34" ht="15.75" thickBo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  <c r="AE815" s="100"/>
      <c r="AF815" s="100"/>
      <c r="AG815" s="100"/>
      <c r="AH815" s="100"/>
    </row>
    <row r="816" spans="1:34" ht="15.75" thickBo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  <c r="AE816" s="100"/>
      <c r="AF816" s="100"/>
      <c r="AG816" s="100"/>
      <c r="AH816" s="100"/>
    </row>
    <row r="817" spans="1:34" ht="15.75" thickBo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  <c r="AE817" s="100"/>
      <c r="AF817" s="100"/>
      <c r="AG817" s="100"/>
      <c r="AH817" s="100"/>
    </row>
    <row r="818" spans="1:34" ht="15.75" thickBo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  <c r="AE818" s="100"/>
      <c r="AF818" s="100"/>
      <c r="AG818" s="100"/>
      <c r="AH818" s="100"/>
    </row>
    <row r="819" spans="1:34" ht="15.75" thickBo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  <c r="AE819" s="100"/>
      <c r="AF819" s="100"/>
      <c r="AG819" s="100"/>
      <c r="AH819" s="100"/>
    </row>
    <row r="820" spans="1:34" ht="15.75" thickBo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  <c r="AE820" s="100"/>
      <c r="AF820" s="100"/>
      <c r="AG820" s="100"/>
      <c r="AH820" s="100"/>
    </row>
    <row r="821" spans="1:34" ht="15.75" thickBo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  <c r="AE821" s="100"/>
      <c r="AF821" s="100"/>
      <c r="AG821" s="100"/>
      <c r="AH821" s="100"/>
    </row>
    <row r="822" spans="1:34" ht="15.75" thickBo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  <c r="AE822" s="100"/>
      <c r="AF822" s="100"/>
      <c r="AG822" s="100"/>
      <c r="AH822" s="100"/>
    </row>
    <row r="823" spans="1:34" ht="15.75" thickBo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  <c r="AE823" s="100"/>
      <c r="AF823" s="100"/>
      <c r="AG823" s="100"/>
      <c r="AH823" s="100"/>
    </row>
    <row r="824" spans="1:34" ht="15.75" thickBo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  <c r="AE824" s="100"/>
      <c r="AF824" s="100"/>
      <c r="AG824" s="100"/>
      <c r="AH824" s="100"/>
    </row>
    <row r="825" spans="1:34" ht="15.75" thickBo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  <c r="AE825" s="100"/>
      <c r="AF825" s="100"/>
      <c r="AG825" s="100"/>
      <c r="AH825" s="100"/>
    </row>
    <row r="826" spans="1:34" ht="15.75" thickBo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  <c r="AE826" s="100"/>
      <c r="AF826" s="100"/>
      <c r="AG826" s="100"/>
      <c r="AH826" s="100"/>
    </row>
    <row r="827" spans="1:34" ht="15.75" thickBo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  <c r="AE827" s="100"/>
      <c r="AF827" s="100"/>
      <c r="AG827" s="100"/>
      <c r="AH827" s="100"/>
    </row>
    <row r="828" spans="1:34" ht="15.75" thickBo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  <c r="AE828" s="100"/>
      <c r="AF828" s="100"/>
      <c r="AG828" s="100"/>
      <c r="AH828" s="100"/>
    </row>
    <row r="829" spans="1:34" ht="15.75" thickBo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  <c r="AE829" s="100"/>
      <c r="AF829" s="100"/>
      <c r="AG829" s="100"/>
      <c r="AH829" s="100"/>
    </row>
    <row r="830" spans="1:34" ht="15.75" thickBo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  <c r="AE830" s="100"/>
      <c r="AF830" s="100"/>
      <c r="AG830" s="100"/>
      <c r="AH830" s="100"/>
    </row>
    <row r="831" spans="1:34" ht="15.75" thickBo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  <c r="AE831" s="100"/>
      <c r="AF831" s="100"/>
      <c r="AG831" s="100"/>
      <c r="AH831" s="100"/>
    </row>
    <row r="832" spans="1:34" ht="15.75" thickBo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  <c r="AE832" s="100"/>
      <c r="AF832" s="100"/>
      <c r="AG832" s="100"/>
      <c r="AH832" s="100"/>
    </row>
    <row r="833" spans="1:34" ht="15.75" thickBo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  <c r="AF833" s="100"/>
      <c r="AG833" s="100"/>
      <c r="AH833" s="100"/>
    </row>
    <row r="834" spans="1:34" ht="15.75" thickBo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  <c r="AF834" s="100"/>
      <c r="AG834" s="100"/>
      <c r="AH834" s="100"/>
    </row>
    <row r="835" spans="1:34" ht="15.75" thickBo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  <c r="AF835" s="100"/>
      <c r="AG835" s="100"/>
      <c r="AH835" s="100"/>
    </row>
    <row r="836" spans="1:34" ht="15.75" thickBo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  <c r="AF836" s="100"/>
      <c r="AG836" s="100"/>
      <c r="AH836" s="100"/>
    </row>
    <row r="837" spans="1:34" ht="15.75" thickBo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  <c r="AF837" s="100"/>
      <c r="AG837" s="100"/>
      <c r="AH837" s="100"/>
    </row>
    <row r="838" spans="1:34" ht="15.75" thickBo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  <c r="AF838" s="100"/>
      <c r="AG838" s="100"/>
      <c r="AH838" s="100"/>
    </row>
    <row r="839" spans="1:34" ht="15.75" thickBo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  <c r="AF839" s="100"/>
      <c r="AG839" s="100"/>
      <c r="AH839" s="100"/>
    </row>
    <row r="840" spans="1:34" ht="15.75" thickBo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  <c r="AF840" s="100"/>
      <c r="AG840" s="100"/>
      <c r="AH840" s="100"/>
    </row>
    <row r="841" spans="1:34" ht="15.75" thickBo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  <c r="AF841" s="100"/>
      <c r="AG841" s="100"/>
      <c r="AH841" s="100"/>
    </row>
    <row r="842" spans="1:34" ht="15.75" thickBo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  <c r="AF842" s="100"/>
      <c r="AG842" s="100"/>
      <c r="AH842" s="100"/>
    </row>
    <row r="843" spans="1:34" ht="15.75" thickBo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  <c r="AF843" s="100"/>
      <c r="AG843" s="100"/>
      <c r="AH843" s="100"/>
    </row>
    <row r="844" spans="1:34" ht="15.75" thickBo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  <c r="AF844" s="100"/>
      <c r="AG844" s="100"/>
      <c r="AH844" s="100"/>
    </row>
    <row r="845" spans="1:34" ht="15.75" thickBo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  <c r="AF845" s="100"/>
      <c r="AG845" s="100"/>
      <c r="AH845" s="100"/>
    </row>
    <row r="846" spans="1:34" ht="15.75" thickBo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  <c r="AF846" s="100"/>
      <c r="AG846" s="100"/>
      <c r="AH846" s="100"/>
    </row>
    <row r="847" spans="1:34" ht="15.75" thickBo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  <c r="AE847" s="100"/>
      <c r="AF847" s="100"/>
      <c r="AG847" s="100"/>
      <c r="AH847" s="100"/>
    </row>
    <row r="848" spans="1:34" ht="15.75" thickBo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  <c r="AE848" s="100"/>
      <c r="AF848" s="100"/>
      <c r="AG848" s="100"/>
      <c r="AH848" s="100"/>
    </row>
    <row r="849" spans="1:34" ht="15.75" thickBo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  <c r="AE849" s="100"/>
      <c r="AF849" s="100"/>
      <c r="AG849" s="100"/>
      <c r="AH849" s="100"/>
    </row>
    <row r="850" spans="1:34" ht="15.75" thickBo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  <c r="AE850" s="100"/>
      <c r="AF850" s="100"/>
      <c r="AG850" s="100"/>
      <c r="AH850" s="100"/>
    </row>
    <row r="851" spans="1:34" ht="15.75" thickBo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  <c r="AE851" s="100"/>
      <c r="AF851" s="100"/>
      <c r="AG851" s="100"/>
      <c r="AH851" s="100"/>
    </row>
    <row r="852" spans="1:34" ht="15.75" thickBo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  <c r="AE852" s="100"/>
      <c r="AF852" s="100"/>
      <c r="AG852" s="100"/>
      <c r="AH852" s="100"/>
    </row>
    <row r="853" spans="1:34" ht="15.75" thickBo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  <c r="AF853" s="100"/>
      <c r="AG853" s="100"/>
      <c r="AH853" s="100"/>
    </row>
    <row r="854" spans="1:34" ht="15.75" thickBo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  <c r="AE854" s="100"/>
      <c r="AF854" s="100"/>
      <c r="AG854" s="100"/>
      <c r="AH854" s="100"/>
    </row>
    <row r="855" spans="1:34" ht="15.75" thickBo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  <c r="AE855" s="100"/>
      <c r="AF855" s="100"/>
      <c r="AG855" s="100"/>
      <c r="AH855" s="100"/>
    </row>
    <row r="856" spans="1:34" ht="15.75" thickBo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  <c r="AE856" s="100"/>
      <c r="AF856" s="100"/>
      <c r="AG856" s="100"/>
      <c r="AH856" s="100"/>
    </row>
    <row r="857" spans="1:34" ht="15.75" thickBo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  <c r="AF857" s="100"/>
      <c r="AG857" s="100"/>
      <c r="AH857" s="100"/>
    </row>
    <row r="858" spans="1:34" ht="15.75" thickBo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  <c r="AE858" s="100"/>
      <c r="AF858" s="100"/>
      <c r="AG858" s="100"/>
      <c r="AH858" s="100"/>
    </row>
    <row r="859" spans="1:34" ht="15.75" thickBo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  <c r="AE859" s="100"/>
      <c r="AF859" s="100"/>
      <c r="AG859" s="100"/>
      <c r="AH859" s="100"/>
    </row>
    <row r="860" spans="1:34" ht="15.75" thickBo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  <c r="AE860" s="100"/>
      <c r="AF860" s="100"/>
      <c r="AG860" s="100"/>
      <c r="AH860" s="100"/>
    </row>
    <row r="861" spans="1:34" ht="15.75" thickBo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  <c r="AE861" s="100"/>
      <c r="AF861" s="100"/>
      <c r="AG861" s="100"/>
      <c r="AH861" s="100"/>
    </row>
    <row r="862" spans="1:34" ht="15.75" thickBo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  <c r="AE862" s="100"/>
      <c r="AF862" s="100"/>
      <c r="AG862" s="100"/>
      <c r="AH862" s="100"/>
    </row>
    <row r="863" spans="1:34" ht="15.75" thickBo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  <c r="AF863" s="100"/>
      <c r="AG863" s="100"/>
      <c r="AH863" s="100"/>
    </row>
    <row r="864" spans="1:34" ht="15.75" thickBo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  <c r="AE864" s="100"/>
      <c r="AF864" s="100"/>
      <c r="AG864" s="100"/>
      <c r="AH864" s="100"/>
    </row>
    <row r="865" spans="1:34" ht="15.75" thickBo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  <c r="AE865" s="100"/>
      <c r="AF865" s="100"/>
      <c r="AG865" s="100"/>
      <c r="AH865" s="100"/>
    </row>
    <row r="866" spans="1:34" ht="15.75" thickBo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  <c r="AE866" s="100"/>
      <c r="AF866" s="100"/>
      <c r="AG866" s="100"/>
      <c r="AH866" s="100"/>
    </row>
    <row r="867" spans="1:34" ht="15.75" thickBo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  <c r="AE867" s="100"/>
      <c r="AF867" s="100"/>
      <c r="AG867" s="100"/>
      <c r="AH867" s="100"/>
    </row>
    <row r="868" spans="1:34" ht="15.75" thickBo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  <c r="AE868" s="100"/>
      <c r="AF868" s="100"/>
      <c r="AG868" s="100"/>
      <c r="AH868" s="100"/>
    </row>
    <row r="869" spans="1:34" ht="15.75" thickBo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  <c r="AE869" s="100"/>
      <c r="AF869" s="100"/>
      <c r="AG869" s="100"/>
      <c r="AH869" s="100"/>
    </row>
    <row r="870" spans="1:34" ht="15.75" thickBo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  <c r="AE870" s="100"/>
      <c r="AF870" s="100"/>
      <c r="AG870" s="100"/>
      <c r="AH870" s="100"/>
    </row>
    <row r="871" spans="1:34" ht="15.75" thickBo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  <c r="AE871" s="100"/>
      <c r="AF871" s="100"/>
      <c r="AG871" s="100"/>
      <c r="AH871" s="100"/>
    </row>
    <row r="872" spans="1:34" ht="15.75" thickBo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  <c r="AE872" s="100"/>
      <c r="AF872" s="100"/>
      <c r="AG872" s="100"/>
      <c r="AH872" s="100"/>
    </row>
    <row r="873" spans="1:34" ht="15.75" thickBo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  <c r="AE873" s="100"/>
      <c r="AF873" s="100"/>
      <c r="AG873" s="100"/>
      <c r="AH873" s="100"/>
    </row>
    <row r="874" spans="1:34" ht="15.75" thickBo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  <c r="AE874" s="100"/>
      <c r="AF874" s="100"/>
      <c r="AG874" s="100"/>
      <c r="AH874" s="100"/>
    </row>
    <row r="875" spans="1:34" ht="15.75" thickBo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  <c r="AE875" s="100"/>
      <c r="AF875" s="100"/>
      <c r="AG875" s="100"/>
      <c r="AH875" s="100"/>
    </row>
    <row r="876" spans="1:34" ht="15.75" thickBo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  <c r="AE876" s="100"/>
      <c r="AF876" s="100"/>
      <c r="AG876" s="100"/>
      <c r="AH876" s="100"/>
    </row>
    <row r="877" spans="1:34" ht="15.75" thickBo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  <c r="AE877" s="100"/>
      <c r="AF877" s="100"/>
      <c r="AG877" s="100"/>
      <c r="AH877" s="100"/>
    </row>
    <row r="878" spans="1:34" ht="15.75" thickBo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  <c r="AE878" s="100"/>
      <c r="AF878" s="100"/>
      <c r="AG878" s="100"/>
      <c r="AH878" s="100"/>
    </row>
    <row r="879" spans="1:34" ht="15.75" thickBo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  <c r="AE879" s="100"/>
      <c r="AF879" s="100"/>
      <c r="AG879" s="100"/>
      <c r="AH879" s="100"/>
    </row>
    <row r="880" spans="1:34" ht="15.75" thickBo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  <c r="AE880" s="100"/>
      <c r="AF880" s="100"/>
      <c r="AG880" s="100"/>
      <c r="AH880" s="100"/>
    </row>
    <row r="881" spans="1:34" ht="15.75" thickBo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  <c r="AE881" s="100"/>
      <c r="AF881" s="100"/>
      <c r="AG881" s="100"/>
      <c r="AH881" s="100"/>
    </row>
    <row r="882" spans="1:34" ht="15.75" thickBo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  <c r="AE882" s="100"/>
      <c r="AF882" s="100"/>
      <c r="AG882" s="100"/>
      <c r="AH882" s="100"/>
    </row>
    <row r="883" spans="1:34" ht="15.75" thickBo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  <c r="AE883" s="100"/>
      <c r="AF883" s="100"/>
      <c r="AG883" s="100"/>
      <c r="AH883" s="100"/>
    </row>
    <row r="884" spans="1:34" ht="15.75" thickBo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  <c r="AE884" s="100"/>
      <c r="AF884" s="100"/>
      <c r="AG884" s="100"/>
      <c r="AH884" s="100"/>
    </row>
    <row r="885" spans="1:34" ht="15.75" thickBo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  <c r="AE885" s="100"/>
      <c r="AF885" s="100"/>
      <c r="AG885" s="100"/>
      <c r="AH885" s="100"/>
    </row>
    <row r="886" spans="1:34" ht="15.75" thickBo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  <c r="AE886" s="100"/>
      <c r="AF886" s="100"/>
      <c r="AG886" s="100"/>
      <c r="AH886" s="100"/>
    </row>
    <row r="887" spans="1:34" ht="15.75" thickBo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  <c r="AF887" s="100"/>
      <c r="AG887" s="100"/>
      <c r="AH887" s="100"/>
    </row>
    <row r="888" spans="1:34" ht="15.75" thickBo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  <c r="AF888" s="100"/>
      <c r="AG888" s="100"/>
      <c r="AH888" s="100"/>
    </row>
    <row r="889" spans="1:34" ht="15.75" thickBo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  <c r="AF889" s="100"/>
      <c r="AG889" s="100"/>
      <c r="AH889" s="100"/>
    </row>
    <row r="890" spans="1:34" ht="15.75" thickBo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  <c r="AF890" s="100"/>
      <c r="AG890" s="100"/>
      <c r="AH890" s="100"/>
    </row>
    <row r="891" spans="1:34" ht="15.75" thickBo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  <c r="AF891" s="100"/>
      <c r="AG891" s="100"/>
      <c r="AH891" s="100"/>
    </row>
    <row r="892" spans="1:34" ht="15.75" thickBo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  <c r="AE892" s="100"/>
      <c r="AF892" s="100"/>
      <c r="AG892" s="100"/>
      <c r="AH892" s="100"/>
    </row>
    <row r="893" spans="1:34" ht="15.75" thickBo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  <c r="AE893" s="100"/>
      <c r="AF893" s="100"/>
      <c r="AG893" s="100"/>
      <c r="AH893" s="100"/>
    </row>
    <row r="894" spans="1:34" ht="15.75" thickBo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  <c r="AE894" s="100"/>
      <c r="AF894" s="100"/>
      <c r="AG894" s="100"/>
      <c r="AH894" s="100"/>
    </row>
    <row r="895" spans="1:34" ht="15.75" thickBo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  <c r="AE895" s="100"/>
      <c r="AF895" s="100"/>
      <c r="AG895" s="100"/>
      <c r="AH895" s="100"/>
    </row>
    <row r="896" spans="1:34" ht="15.75" thickBo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  <c r="AE896" s="100"/>
      <c r="AF896" s="100"/>
      <c r="AG896" s="100"/>
      <c r="AH896" s="100"/>
    </row>
    <row r="897" spans="1:34" ht="15.75" thickBo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  <c r="AE897" s="100"/>
      <c r="AF897" s="100"/>
      <c r="AG897" s="100"/>
      <c r="AH897" s="100"/>
    </row>
    <row r="898" spans="1:34" ht="15.75" thickBo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  <c r="AE898" s="100"/>
      <c r="AF898" s="100"/>
      <c r="AG898" s="100"/>
      <c r="AH898" s="100"/>
    </row>
    <row r="899" spans="1:34" ht="15.75" thickBo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  <c r="AE899" s="100"/>
      <c r="AF899" s="100"/>
      <c r="AG899" s="100"/>
      <c r="AH899" s="100"/>
    </row>
    <row r="900" spans="1:34" ht="15.75" thickBo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  <c r="AE900" s="100"/>
      <c r="AF900" s="100"/>
      <c r="AG900" s="100"/>
      <c r="AH900" s="100"/>
    </row>
    <row r="901" spans="1:34" ht="15.75" thickBo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  <c r="AF901" s="100"/>
      <c r="AG901" s="100"/>
      <c r="AH901" s="100"/>
    </row>
    <row r="902" spans="1:34" ht="15.75" thickBo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  <c r="AE902" s="100"/>
      <c r="AF902" s="100"/>
      <c r="AG902" s="100"/>
      <c r="AH902" s="100"/>
    </row>
    <row r="903" spans="1:34" ht="15.75" thickBo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  <c r="AE903" s="100"/>
      <c r="AF903" s="100"/>
      <c r="AG903" s="100"/>
      <c r="AH903" s="100"/>
    </row>
    <row r="904" spans="1:34" ht="15.75" thickBo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  <c r="AE904" s="100"/>
      <c r="AF904" s="100"/>
      <c r="AG904" s="100"/>
      <c r="AH904" s="100"/>
    </row>
    <row r="905" spans="1:34" ht="15.75" thickBo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  <c r="AE905" s="100"/>
      <c r="AF905" s="100"/>
      <c r="AG905" s="100"/>
      <c r="AH905" s="100"/>
    </row>
    <row r="906" spans="1:34" ht="15.75" thickBo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  <c r="AE906" s="100"/>
      <c r="AF906" s="100"/>
      <c r="AG906" s="100"/>
      <c r="AH906" s="100"/>
    </row>
    <row r="907" spans="1:34" ht="15.75" thickBo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  <c r="AE907" s="100"/>
      <c r="AF907" s="100"/>
      <c r="AG907" s="100"/>
      <c r="AH907" s="100"/>
    </row>
    <row r="908" spans="1:34" ht="15.75" thickBo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  <c r="AE908" s="100"/>
      <c r="AF908" s="100"/>
      <c r="AG908" s="100"/>
      <c r="AH908" s="100"/>
    </row>
    <row r="909" spans="1:34" ht="15.75" thickBo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  <c r="AE909" s="100"/>
      <c r="AF909" s="100"/>
      <c r="AG909" s="100"/>
      <c r="AH909" s="100"/>
    </row>
    <row r="910" spans="1:34" ht="15.75" thickBo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  <c r="AE910" s="100"/>
      <c r="AF910" s="100"/>
      <c r="AG910" s="100"/>
      <c r="AH910" s="100"/>
    </row>
    <row r="911" spans="1:34" ht="15.75" thickBo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  <c r="AF911" s="100"/>
      <c r="AG911" s="100"/>
      <c r="AH911" s="100"/>
    </row>
    <row r="912" spans="1:34" ht="15.75" thickBo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  <c r="AE912" s="100"/>
      <c r="AF912" s="100"/>
      <c r="AG912" s="100"/>
      <c r="AH912" s="100"/>
    </row>
    <row r="913" spans="1:34" ht="15.75" thickBo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  <c r="AE913" s="100"/>
      <c r="AF913" s="100"/>
      <c r="AG913" s="100"/>
      <c r="AH913" s="100"/>
    </row>
    <row r="914" spans="1:34" ht="15.75" thickBo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  <c r="AE914" s="100"/>
      <c r="AF914" s="100"/>
      <c r="AG914" s="100"/>
      <c r="AH914" s="100"/>
    </row>
    <row r="915" spans="1:34" ht="15.75" thickBo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  <c r="AE915" s="100"/>
      <c r="AF915" s="100"/>
      <c r="AG915" s="100"/>
      <c r="AH915" s="100"/>
    </row>
    <row r="916" spans="1:34" ht="15.75" thickBo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  <c r="AE916" s="100"/>
      <c r="AF916" s="100"/>
      <c r="AG916" s="100"/>
      <c r="AH916" s="100"/>
    </row>
    <row r="917" spans="1:34" ht="15.75" thickBo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  <c r="AE917" s="100"/>
      <c r="AF917" s="100"/>
      <c r="AG917" s="100"/>
      <c r="AH917" s="100"/>
    </row>
    <row r="918" spans="1:34" ht="15.75" thickBo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  <c r="AE918" s="100"/>
      <c r="AF918" s="100"/>
      <c r="AG918" s="100"/>
      <c r="AH918" s="100"/>
    </row>
    <row r="919" spans="1:34" ht="15.75" thickBo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  <c r="AE919" s="100"/>
      <c r="AF919" s="100"/>
      <c r="AG919" s="100"/>
      <c r="AH919" s="100"/>
    </row>
    <row r="920" spans="1:34" ht="15.75" thickBo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  <c r="AE920" s="100"/>
      <c r="AF920" s="100"/>
      <c r="AG920" s="100"/>
      <c r="AH920" s="100"/>
    </row>
    <row r="921" spans="1:34" ht="15.75" thickBo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  <c r="AE921" s="100"/>
      <c r="AF921" s="100"/>
      <c r="AG921" s="100"/>
      <c r="AH921" s="100"/>
    </row>
    <row r="922" spans="1:34" ht="15.75" thickBo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  <c r="AE922" s="100"/>
      <c r="AF922" s="100"/>
      <c r="AG922" s="100"/>
      <c r="AH922" s="100"/>
    </row>
    <row r="923" spans="1:34" ht="15.75" thickBo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  <c r="AE923" s="100"/>
      <c r="AF923" s="100"/>
      <c r="AG923" s="100"/>
      <c r="AH923" s="100"/>
    </row>
    <row r="924" spans="1:34" ht="15.75" thickBo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  <c r="AE924" s="100"/>
      <c r="AF924" s="100"/>
      <c r="AG924" s="100"/>
      <c r="AH924" s="100"/>
    </row>
    <row r="925" spans="1:34" ht="15.75" thickBo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  <c r="AE925" s="100"/>
      <c r="AF925" s="100"/>
      <c r="AG925" s="100"/>
      <c r="AH925" s="100"/>
    </row>
    <row r="926" spans="1:34" ht="15.75" thickBo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  <c r="AE926" s="100"/>
      <c r="AF926" s="100"/>
      <c r="AG926" s="100"/>
      <c r="AH926" s="100"/>
    </row>
    <row r="927" spans="1:34" ht="15.75" thickBo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  <c r="AE927" s="100"/>
      <c r="AF927" s="100"/>
      <c r="AG927" s="100"/>
      <c r="AH927" s="100"/>
    </row>
    <row r="928" spans="1:34" ht="15.75" thickBo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  <c r="AE928" s="100"/>
      <c r="AF928" s="100"/>
      <c r="AG928" s="100"/>
      <c r="AH928" s="100"/>
    </row>
    <row r="929" spans="1:34" ht="15.75" thickBo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  <c r="AE929" s="100"/>
      <c r="AF929" s="100"/>
      <c r="AG929" s="100"/>
      <c r="AH929" s="100"/>
    </row>
    <row r="930" spans="1:34" ht="15.75" thickBo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  <c r="AE930" s="100"/>
      <c r="AF930" s="100"/>
      <c r="AG930" s="100"/>
      <c r="AH930" s="100"/>
    </row>
    <row r="931" spans="1:34" ht="15.75" thickBo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  <c r="AF931" s="100"/>
      <c r="AG931" s="100"/>
      <c r="AH931" s="100"/>
    </row>
    <row r="932" spans="1:34" ht="15.75" thickBo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  <c r="AF932" s="100"/>
      <c r="AG932" s="100"/>
      <c r="AH932" s="100"/>
    </row>
    <row r="933" spans="1:34" ht="15.75" thickBo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  <c r="AF933" s="100"/>
      <c r="AG933" s="100"/>
      <c r="AH933" s="100"/>
    </row>
    <row r="934" spans="1:34" ht="15.75" thickBo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  <c r="AE934" s="100"/>
      <c r="AF934" s="100"/>
      <c r="AG934" s="100"/>
      <c r="AH934" s="100"/>
    </row>
    <row r="935" spans="1:34" ht="15.75" thickBo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  <c r="AE935" s="100"/>
      <c r="AF935" s="100"/>
      <c r="AG935" s="100"/>
      <c r="AH935" s="100"/>
    </row>
    <row r="936" spans="1:34" ht="15.75" thickBo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  <c r="AE936" s="100"/>
      <c r="AF936" s="100"/>
      <c r="AG936" s="100"/>
      <c r="AH936" s="100"/>
    </row>
    <row r="937" spans="1:34" ht="15.75" thickBo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  <c r="AE937" s="100"/>
      <c r="AF937" s="100"/>
      <c r="AG937" s="100"/>
      <c r="AH937" s="100"/>
    </row>
    <row r="938" spans="1:34" ht="15.75" thickBo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  <c r="AE938" s="100"/>
      <c r="AF938" s="100"/>
      <c r="AG938" s="100"/>
      <c r="AH938" s="100"/>
    </row>
    <row r="939" spans="1:34" ht="15.75" thickBo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  <c r="AE939" s="100"/>
      <c r="AF939" s="100"/>
      <c r="AG939" s="100"/>
      <c r="AH939" s="100"/>
    </row>
    <row r="940" spans="1:34" ht="15.75" thickBo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  <c r="AE940" s="100"/>
      <c r="AF940" s="100"/>
      <c r="AG940" s="100"/>
      <c r="AH940" s="100"/>
    </row>
    <row r="941" spans="1:34" ht="15.75" thickBo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  <c r="AE941" s="100"/>
      <c r="AF941" s="100"/>
      <c r="AG941" s="100"/>
      <c r="AH941" s="100"/>
    </row>
    <row r="942" spans="1:34" ht="15.75" thickBo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  <c r="AE942" s="100"/>
      <c r="AF942" s="100"/>
      <c r="AG942" s="100"/>
      <c r="AH942" s="100"/>
    </row>
    <row r="943" spans="1:34" ht="15.75" thickBo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  <c r="AE943" s="100"/>
      <c r="AF943" s="100"/>
      <c r="AG943" s="100"/>
      <c r="AH943" s="100"/>
    </row>
    <row r="944" spans="1:34" ht="15.75" thickBo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  <c r="AE944" s="100"/>
      <c r="AF944" s="100"/>
      <c r="AG944" s="100"/>
      <c r="AH944" s="100"/>
    </row>
    <row r="945" spans="1:34" ht="15.75" thickBo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  <c r="AE945" s="100"/>
      <c r="AF945" s="100"/>
      <c r="AG945" s="100"/>
      <c r="AH945" s="100"/>
    </row>
    <row r="946" spans="1:34" ht="15.75" thickBo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  <c r="AE946" s="100"/>
      <c r="AF946" s="100"/>
      <c r="AG946" s="100"/>
      <c r="AH946" s="100"/>
    </row>
    <row r="947" spans="1:34" ht="15.75" thickBo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  <c r="AE947" s="100"/>
      <c r="AF947" s="100"/>
      <c r="AG947" s="100"/>
      <c r="AH947" s="100"/>
    </row>
    <row r="948" spans="1:34" ht="15.75" thickBo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  <c r="AE948" s="100"/>
      <c r="AF948" s="100"/>
      <c r="AG948" s="100"/>
      <c r="AH948" s="100"/>
    </row>
    <row r="949" spans="1:34" ht="15.75" thickBo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  <c r="AE949" s="100"/>
      <c r="AF949" s="100"/>
      <c r="AG949" s="100"/>
      <c r="AH949" s="100"/>
    </row>
    <row r="950" spans="1:34" ht="15.75" thickBo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  <c r="AE950" s="100"/>
      <c r="AF950" s="100"/>
      <c r="AG950" s="100"/>
      <c r="AH950" s="100"/>
    </row>
    <row r="951" spans="1:34" ht="15.75" thickBo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  <c r="AE951" s="100"/>
      <c r="AF951" s="100"/>
      <c r="AG951" s="100"/>
      <c r="AH951" s="100"/>
    </row>
    <row r="952" spans="1:34" ht="15.75" thickBo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  <c r="AE952" s="100"/>
      <c r="AF952" s="100"/>
      <c r="AG952" s="100"/>
      <c r="AH952" s="100"/>
    </row>
    <row r="953" spans="1:34" ht="15.75" thickBo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  <c r="AE953" s="100"/>
      <c r="AF953" s="100"/>
      <c r="AG953" s="100"/>
      <c r="AH953" s="100"/>
    </row>
    <row r="954" spans="1:34" ht="15.75" thickBo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  <c r="AE954" s="100"/>
      <c r="AF954" s="100"/>
      <c r="AG954" s="100"/>
      <c r="AH954" s="100"/>
    </row>
    <row r="955" spans="1:34" ht="15.75" thickBo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  <c r="AE955" s="100"/>
      <c r="AF955" s="100"/>
      <c r="AG955" s="100"/>
      <c r="AH955" s="100"/>
    </row>
    <row r="956" spans="1:34" ht="15.75" thickBo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  <c r="AE956" s="100"/>
      <c r="AF956" s="100"/>
      <c r="AG956" s="100"/>
      <c r="AH956" s="100"/>
    </row>
    <row r="957" spans="1:34" ht="15.75" thickBo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  <c r="AE957" s="100"/>
      <c r="AF957" s="100"/>
      <c r="AG957" s="100"/>
      <c r="AH957" s="100"/>
    </row>
    <row r="958" spans="1:34" ht="15.75" thickBo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  <c r="AE958" s="100"/>
      <c r="AF958" s="100"/>
      <c r="AG958" s="100"/>
      <c r="AH958" s="100"/>
    </row>
    <row r="959" spans="1:34" ht="15.75" thickBo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  <c r="AE959" s="100"/>
      <c r="AF959" s="100"/>
      <c r="AG959" s="100"/>
      <c r="AH959" s="100"/>
    </row>
    <row r="960" spans="1:34" ht="15.75" thickBo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  <c r="AE960" s="100"/>
      <c r="AF960" s="100"/>
      <c r="AG960" s="100"/>
      <c r="AH960" s="100"/>
    </row>
    <row r="961" spans="1:34" ht="15.75" thickBo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  <c r="AE961" s="100"/>
      <c r="AF961" s="100"/>
      <c r="AG961" s="100"/>
      <c r="AH961" s="100"/>
    </row>
    <row r="962" spans="1:34" ht="15.75" thickBo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  <c r="AE962" s="100"/>
      <c r="AF962" s="100"/>
      <c r="AG962" s="100"/>
      <c r="AH962" s="100"/>
    </row>
    <row r="963" spans="1:34" ht="15.75" thickBo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  <c r="AE963" s="100"/>
      <c r="AF963" s="100"/>
      <c r="AG963" s="100"/>
      <c r="AH963" s="100"/>
    </row>
    <row r="964" spans="1:34" ht="15.75" thickBo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  <c r="AE964" s="100"/>
      <c r="AF964" s="100"/>
      <c r="AG964" s="100"/>
      <c r="AH964" s="100"/>
    </row>
    <row r="965" spans="1:34" ht="15.75" thickBot="1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  <c r="AE965" s="100"/>
      <c r="AF965" s="100"/>
      <c r="AG965" s="100"/>
      <c r="AH965" s="100"/>
    </row>
    <row r="966" spans="1:34" ht="15.75" thickBot="1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  <c r="AE966" s="100"/>
      <c r="AF966" s="100"/>
      <c r="AG966" s="100"/>
      <c r="AH966" s="100"/>
    </row>
    <row r="967" spans="1:34" ht="15.75" thickBot="1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  <c r="AE967" s="100"/>
      <c r="AF967" s="100"/>
      <c r="AG967" s="100"/>
      <c r="AH967" s="100"/>
    </row>
    <row r="968" spans="1:34" ht="15.75" thickBot="1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  <c r="AE968" s="100"/>
      <c r="AF968" s="100"/>
      <c r="AG968" s="100"/>
      <c r="AH968" s="100"/>
    </row>
    <row r="969" spans="1:34" ht="15.75" thickBot="1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  <c r="AE969" s="100"/>
      <c r="AF969" s="100"/>
      <c r="AG969" s="100"/>
      <c r="AH969" s="100"/>
    </row>
  </sheetData>
  <mergeCells count="5">
    <mergeCell ref="A2:AH2"/>
    <mergeCell ref="A17:AG17"/>
    <mergeCell ref="A18:AH18"/>
    <mergeCell ref="A31:AG31"/>
    <mergeCell ref="A32:AG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opLeftCell="G1" workbookViewId="0">
      <selection activeCell="A9" sqref="A9:A20"/>
    </sheetView>
  </sheetViews>
  <sheetFormatPr baseColWidth="10" defaultRowHeight="15"/>
  <cols>
    <col min="1" max="1" width="19" customWidth="1"/>
    <col min="2" max="2" width="20" customWidth="1"/>
    <col min="24" max="24" width="11.42578125" style="108"/>
  </cols>
  <sheetData>
    <row r="1" spans="1:34" ht="62.25" thickBot="1">
      <c r="A1" s="75" t="s">
        <v>2</v>
      </c>
      <c r="B1" s="75" t="s">
        <v>135</v>
      </c>
      <c r="C1" s="76">
        <v>45505</v>
      </c>
      <c r="D1" s="76">
        <v>45506</v>
      </c>
      <c r="E1" s="76">
        <v>45507</v>
      </c>
      <c r="F1" s="76">
        <v>45508</v>
      </c>
      <c r="G1" s="76">
        <v>45509</v>
      </c>
      <c r="H1" s="76">
        <v>45510</v>
      </c>
      <c r="I1" s="76">
        <v>45511</v>
      </c>
      <c r="J1" s="76">
        <v>45512</v>
      </c>
      <c r="K1" s="76">
        <v>45513</v>
      </c>
      <c r="L1" s="76">
        <v>45514</v>
      </c>
      <c r="M1" s="76">
        <v>45515</v>
      </c>
      <c r="N1" s="76">
        <v>45516</v>
      </c>
      <c r="O1" s="76">
        <v>45517</v>
      </c>
      <c r="P1" s="76">
        <v>45518</v>
      </c>
      <c r="Q1" s="76">
        <v>45519</v>
      </c>
      <c r="R1" s="76">
        <v>45520</v>
      </c>
      <c r="S1" s="76">
        <v>45521</v>
      </c>
      <c r="T1" s="76">
        <v>45522</v>
      </c>
      <c r="U1" s="76">
        <v>45523</v>
      </c>
      <c r="V1" s="76">
        <v>45524</v>
      </c>
      <c r="W1" s="76">
        <v>45525</v>
      </c>
      <c r="X1" s="102">
        <v>45526</v>
      </c>
      <c r="Y1" s="76">
        <v>45527</v>
      </c>
      <c r="Z1" s="76">
        <v>45528</v>
      </c>
      <c r="AA1" s="76">
        <v>45529</v>
      </c>
      <c r="AB1" s="76">
        <v>45530</v>
      </c>
      <c r="AC1" s="76">
        <v>45531</v>
      </c>
      <c r="AD1" s="76">
        <v>45532</v>
      </c>
      <c r="AE1" s="76">
        <v>45533</v>
      </c>
      <c r="AF1" s="76">
        <v>45534</v>
      </c>
      <c r="AG1" s="76">
        <v>45535</v>
      </c>
      <c r="AH1" s="76" t="s">
        <v>136</v>
      </c>
    </row>
    <row r="2" spans="1:34" ht="60.75" thickBot="1">
      <c r="A2" s="77" t="s">
        <v>137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1:34" ht="30.75" thickBot="1">
      <c r="A3" s="80" t="s">
        <v>124</v>
      </c>
      <c r="B3" s="103" t="s">
        <v>162</v>
      </c>
      <c r="C3" s="82" t="s">
        <v>140</v>
      </c>
      <c r="D3" s="82" t="s">
        <v>139</v>
      </c>
      <c r="E3" s="83" t="s">
        <v>140</v>
      </c>
      <c r="F3" s="83" t="s">
        <v>140</v>
      </c>
      <c r="G3" s="82" t="s">
        <v>144</v>
      </c>
      <c r="H3" s="82" t="s">
        <v>140</v>
      </c>
      <c r="I3" s="82">
        <v>5</v>
      </c>
      <c r="J3" s="82">
        <v>6</v>
      </c>
      <c r="K3" s="82">
        <v>6</v>
      </c>
      <c r="L3" s="83" t="s">
        <v>140</v>
      </c>
      <c r="M3" s="83" t="s">
        <v>140</v>
      </c>
      <c r="N3" s="82">
        <v>6</v>
      </c>
      <c r="O3" s="82">
        <v>6</v>
      </c>
      <c r="P3" s="82">
        <v>6</v>
      </c>
      <c r="Q3" s="84" t="s">
        <v>141</v>
      </c>
      <c r="R3" s="82">
        <v>6</v>
      </c>
      <c r="S3" s="83" t="s">
        <v>140</v>
      </c>
      <c r="T3" s="83" t="s">
        <v>140</v>
      </c>
      <c r="U3" s="82">
        <v>6</v>
      </c>
      <c r="V3" s="82">
        <v>6</v>
      </c>
      <c r="W3" s="82">
        <v>6</v>
      </c>
      <c r="X3" s="104">
        <v>6</v>
      </c>
      <c r="Y3" s="82">
        <v>6</v>
      </c>
      <c r="Z3" s="83" t="s">
        <v>140</v>
      </c>
      <c r="AA3" s="83" t="s">
        <v>140</v>
      </c>
      <c r="AB3" s="82" t="s">
        <v>139</v>
      </c>
      <c r="AC3" s="82" t="s">
        <v>139</v>
      </c>
      <c r="AD3" s="82" t="s">
        <v>139</v>
      </c>
      <c r="AE3" s="82" t="s">
        <v>139</v>
      </c>
      <c r="AF3" s="82" t="s">
        <v>139</v>
      </c>
      <c r="AG3" s="83" t="s">
        <v>140</v>
      </c>
      <c r="AH3" s="85">
        <f>SUM(C3:AG3)</f>
        <v>71</v>
      </c>
    </row>
    <row r="4" spans="1:34" ht="15.75" thickBot="1">
      <c r="A4" s="80" t="s">
        <v>131</v>
      </c>
      <c r="B4" s="103" t="s">
        <v>162</v>
      </c>
      <c r="C4" s="82" t="s">
        <v>140</v>
      </c>
      <c r="D4" s="82" t="s">
        <v>140</v>
      </c>
      <c r="E4" s="109" t="s">
        <v>140</v>
      </c>
      <c r="F4" s="109" t="s">
        <v>140</v>
      </c>
      <c r="G4" s="82" t="s">
        <v>139</v>
      </c>
      <c r="H4" s="82" t="s">
        <v>139</v>
      </c>
      <c r="I4" s="82" t="s">
        <v>139</v>
      </c>
      <c r="J4" s="82" t="s">
        <v>139</v>
      </c>
      <c r="K4" s="82" t="s">
        <v>139</v>
      </c>
      <c r="L4" s="83" t="s">
        <v>140</v>
      </c>
      <c r="M4" s="83" t="s">
        <v>140</v>
      </c>
      <c r="N4" s="82" t="s">
        <v>139</v>
      </c>
      <c r="O4" s="82" t="s">
        <v>139</v>
      </c>
      <c r="P4" s="82" t="s">
        <v>139</v>
      </c>
      <c r="Q4" s="82" t="s">
        <v>139</v>
      </c>
      <c r="R4" s="82" t="s">
        <v>139</v>
      </c>
      <c r="S4" s="83" t="s">
        <v>140</v>
      </c>
      <c r="T4" s="83" t="s">
        <v>140</v>
      </c>
      <c r="U4" s="82">
        <v>8</v>
      </c>
      <c r="V4" s="82">
        <v>8</v>
      </c>
      <c r="W4" s="82">
        <v>8</v>
      </c>
      <c r="X4" s="104">
        <v>8</v>
      </c>
      <c r="Y4" s="82">
        <v>8</v>
      </c>
      <c r="Z4" s="83" t="s">
        <v>140</v>
      </c>
      <c r="AA4" s="83" t="s">
        <v>140</v>
      </c>
      <c r="AB4" s="82">
        <v>8</v>
      </c>
      <c r="AC4" s="82">
        <v>8</v>
      </c>
      <c r="AD4" s="82">
        <v>8</v>
      </c>
      <c r="AE4" s="82"/>
      <c r="AF4" s="82"/>
      <c r="AG4" s="83" t="s">
        <v>140</v>
      </c>
      <c r="AH4" s="85">
        <f>SUM(C4:AG4)</f>
        <v>64</v>
      </c>
    </row>
    <row r="5" spans="1:34" ht="30.75" thickBot="1">
      <c r="A5" s="80" t="s">
        <v>132</v>
      </c>
      <c r="B5" s="103" t="s">
        <v>162</v>
      </c>
      <c r="C5" s="82" t="s">
        <v>140</v>
      </c>
      <c r="D5" s="82" t="s">
        <v>140</v>
      </c>
      <c r="E5" s="83" t="s">
        <v>140</v>
      </c>
      <c r="F5" s="83" t="s">
        <v>140</v>
      </c>
      <c r="G5" s="82" t="s">
        <v>140</v>
      </c>
      <c r="H5" s="82" t="s">
        <v>140</v>
      </c>
      <c r="I5" s="82">
        <v>7</v>
      </c>
      <c r="J5" s="82">
        <v>8</v>
      </c>
      <c r="K5" s="82">
        <v>8</v>
      </c>
      <c r="L5" s="83" t="s">
        <v>140</v>
      </c>
      <c r="M5" s="83" t="s">
        <v>140</v>
      </c>
      <c r="N5" s="82" t="s">
        <v>139</v>
      </c>
      <c r="O5" s="82" t="s">
        <v>139</v>
      </c>
      <c r="P5" s="82" t="s">
        <v>139</v>
      </c>
      <c r="Q5" s="82" t="s">
        <v>139</v>
      </c>
      <c r="R5" s="82" t="s">
        <v>139</v>
      </c>
      <c r="S5" s="83" t="s">
        <v>140</v>
      </c>
      <c r="T5" s="83" t="s">
        <v>140</v>
      </c>
      <c r="U5" s="82">
        <v>8</v>
      </c>
      <c r="V5" s="82">
        <v>8</v>
      </c>
      <c r="W5" s="82">
        <v>8</v>
      </c>
      <c r="X5" s="104">
        <v>8</v>
      </c>
      <c r="Y5" s="82">
        <v>8</v>
      </c>
      <c r="Z5" s="83" t="s">
        <v>140</v>
      </c>
      <c r="AA5" s="83" t="s">
        <v>140</v>
      </c>
      <c r="AB5" s="82">
        <v>8</v>
      </c>
      <c r="AC5" s="82">
        <v>8</v>
      </c>
      <c r="AD5" s="82">
        <v>8</v>
      </c>
      <c r="AE5" s="82"/>
      <c r="AF5" s="82"/>
      <c r="AG5" s="83" t="s">
        <v>140</v>
      </c>
      <c r="AH5" s="85">
        <f>SUM(C5:AG5)</f>
        <v>87</v>
      </c>
    </row>
    <row r="6" spans="1:34" ht="15.75" thickBot="1">
      <c r="A6" s="80" t="s">
        <v>108</v>
      </c>
      <c r="B6" s="103" t="s">
        <v>162</v>
      </c>
      <c r="C6" s="88" t="s">
        <v>140</v>
      </c>
      <c r="D6" s="88" t="s">
        <v>140</v>
      </c>
      <c r="E6" s="86" t="s">
        <v>140</v>
      </c>
      <c r="F6" s="86" t="s">
        <v>140</v>
      </c>
      <c r="G6" s="88" t="s">
        <v>140</v>
      </c>
      <c r="H6" s="88" t="s">
        <v>140</v>
      </c>
      <c r="I6" s="88">
        <v>5</v>
      </c>
      <c r="J6" s="88">
        <v>5</v>
      </c>
      <c r="K6" s="88">
        <v>5</v>
      </c>
      <c r="L6" s="83" t="s">
        <v>140</v>
      </c>
      <c r="M6" s="83" t="s">
        <v>140</v>
      </c>
      <c r="N6" s="88" t="s">
        <v>140</v>
      </c>
      <c r="O6" s="88" t="s">
        <v>140</v>
      </c>
      <c r="P6" s="88" t="s">
        <v>140</v>
      </c>
      <c r="Q6" s="84" t="s">
        <v>141</v>
      </c>
      <c r="R6" s="88" t="s">
        <v>140</v>
      </c>
      <c r="S6" s="83" t="s">
        <v>140</v>
      </c>
      <c r="T6" s="83" t="s">
        <v>140</v>
      </c>
      <c r="U6" s="82" t="s">
        <v>139</v>
      </c>
      <c r="V6" s="82" t="s">
        <v>139</v>
      </c>
      <c r="W6" s="82" t="s">
        <v>139</v>
      </c>
      <c r="X6" s="104" t="s">
        <v>139</v>
      </c>
      <c r="Y6" s="82" t="s">
        <v>139</v>
      </c>
      <c r="Z6" s="83" t="s">
        <v>140</v>
      </c>
      <c r="AA6" s="83" t="s">
        <v>140</v>
      </c>
      <c r="AB6" s="88" t="s">
        <v>140</v>
      </c>
      <c r="AC6" s="88" t="s">
        <v>140</v>
      </c>
      <c r="AD6" s="88" t="s">
        <v>140</v>
      </c>
      <c r="AE6" s="88"/>
      <c r="AF6" s="88"/>
      <c r="AG6" s="83" t="s">
        <v>140</v>
      </c>
      <c r="AH6" s="85">
        <f>SUM(C6:AG6)</f>
        <v>15</v>
      </c>
    </row>
    <row r="7" spans="1:34" ht="15.75" thickBot="1">
      <c r="A7" s="89" t="s">
        <v>149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5">
        <f>SUM(AH3:AH6)</f>
        <v>237</v>
      </c>
    </row>
    <row r="8" spans="1:34" ht="60.75" thickBot="1">
      <c r="A8" s="77" t="s">
        <v>150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spans="1:34" ht="15.75" thickBot="1">
      <c r="A9" s="80" t="s">
        <v>151</v>
      </c>
      <c r="B9" s="103" t="s">
        <v>162</v>
      </c>
      <c r="C9" s="85" t="s">
        <v>152</v>
      </c>
      <c r="D9" s="85" t="s">
        <v>152</v>
      </c>
      <c r="E9" s="90" t="s">
        <v>140</v>
      </c>
      <c r="F9" s="90" t="s">
        <v>140</v>
      </c>
      <c r="G9" s="88" t="s">
        <v>140</v>
      </c>
      <c r="H9" s="88" t="s">
        <v>140</v>
      </c>
      <c r="I9" s="85">
        <v>5</v>
      </c>
      <c r="J9" s="85">
        <v>5</v>
      </c>
      <c r="K9" s="85">
        <v>5</v>
      </c>
      <c r="L9" s="90" t="s">
        <v>140</v>
      </c>
      <c r="M9" s="90" t="s">
        <v>140</v>
      </c>
      <c r="N9" s="85">
        <v>5</v>
      </c>
      <c r="O9" s="85">
        <v>5</v>
      </c>
      <c r="P9" s="85">
        <v>5</v>
      </c>
      <c r="Q9" s="84" t="s">
        <v>141</v>
      </c>
      <c r="R9" s="85">
        <v>5</v>
      </c>
      <c r="S9" s="90" t="s">
        <v>140</v>
      </c>
      <c r="T9" s="90" t="s">
        <v>140</v>
      </c>
      <c r="U9" s="85">
        <v>5</v>
      </c>
      <c r="V9" s="85">
        <v>5</v>
      </c>
      <c r="W9" s="85">
        <v>5</v>
      </c>
      <c r="X9" s="106">
        <v>5</v>
      </c>
      <c r="Y9" s="85">
        <v>5</v>
      </c>
      <c r="Z9" s="90" t="s">
        <v>140</v>
      </c>
      <c r="AA9" s="90" t="s">
        <v>140</v>
      </c>
      <c r="AB9" s="85">
        <v>5</v>
      </c>
      <c r="AC9" s="85">
        <v>5</v>
      </c>
      <c r="AD9" s="85">
        <v>5</v>
      </c>
      <c r="AE9" s="85">
        <v>5</v>
      </c>
      <c r="AF9" s="85">
        <v>5</v>
      </c>
      <c r="AG9" s="90" t="s">
        <v>140</v>
      </c>
      <c r="AH9" s="91">
        <f>SUM(C9:AG9)</f>
        <v>85</v>
      </c>
    </row>
    <row r="10" spans="1:34" ht="15.75" thickBot="1">
      <c r="A10" s="80" t="s">
        <v>127</v>
      </c>
      <c r="B10" s="103" t="s">
        <v>162</v>
      </c>
      <c r="C10" s="85" t="s">
        <v>152</v>
      </c>
      <c r="D10" s="85" t="s">
        <v>152</v>
      </c>
      <c r="E10" s="90" t="s">
        <v>140</v>
      </c>
      <c r="F10" s="90" t="s">
        <v>140</v>
      </c>
      <c r="G10" s="88" t="s">
        <v>140</v>
      </c>
      <c r="H10" s="88" t="s">
        <v>140</v>
      </c>
      <c r="I10" s="85" t="s">
        <v>152</v>
      </c>
      <c r="J10" s="85" t="s">
        <v>152</v>
      </c>
      <c r="K10" s="85" t="s">
        <v>152</v>
      </c>
      <c r="L10" s="90" t="s">
        <v>140</v>
      </c>
      <c r="M10" s="90" t="s">
        <v>140</v>
      </c>
      <c r="N10" s="85" t="s">
        <v>152</v>
      </c>
      <c r="O10" s="85" t="s">
        <v>152</v>
      </c>
      <c r="P10" s="85" t="s">
        <v>152</v>
      </c>
      <c r="Q10" s="84" t="s">
        <v>141</v>
      </c>
      <c r="R10" s="85" t="s">
        <v>152</v>
      </c>
      <c r="S10" s="90" t="s">
        <v>140</v>
      </c>
      <c r="T10" s="90" t="s">
        <v>140</v>
      </c>
      <c r="U10" s="90" t="s">
        <v>140</v>
      </c>
      <c r="V10" s="90" t="s">
        <v>140</v>
      </c>
      <c r="W10" s="90" t="s">
        <v>140</v>
      </c>
      <c r="X10" s="110" t="s">
        <v>140</v>
      </c>
      <c r="Y10" s="90" t="s">
        <v>140</v>
      </c>
      <c r="Z10" s="90" t="s">
        <v>140</v>
      </c>
      <c r="AA10" s="90" t="s">
        <v>140</v>
      </c>
      <c r="AB10" s="90" t="s">
        <v>140</v>
      </c>
      <c r="AC10" s="90" t="s">
        <v>140</v>
      </c>
      <c r="AD10" s="90" t="s">
        <v>140</v>
      </c>
      <c r="AE10" s="90" t="s">
        <v>140</v>
      </c>
      <c r="AF10" s="90" t="s">
        <v>140</v>
      </c>
      <c r="AG10" s="90" t="s">
        <v>140</v>
      </c>
      <c r="AH10" s="91">
        <f t="shared" ref="AH10:AH20" si="0">SUM(C10:AG10)</f>
        <v>0</v>
      </c>
    </row>
    <row r="11" spans="1:34" ht="15.75" thickBot="1">
      <c r="A11" s="80" t="s">
        <v>121</v>
      </c>
      <c r="B11" s="103" t="s">
        <v>162</v>
      </c>
      <c r="C11" s="92" t="s">
        <v>148</v>
      </c>
      <c r="D11" s="85" t="s">
        <v>152</v>
      </c>
      <c r="E11" s="93" t="s">
        <v>140</v>
      </c>
      <c r="F11" s="93" t="s">
        <v>140</v>
      </c>
      <c r="G11" s="88" t="s">
        <v>140</v>
      </c>
      <c r="H11" s="88" t="s">
        <v>140</v>
      </c>
      <c r="I11" s="85" t="s">
        <v>152</v>
      </c>
      <c r="J11" s="85" t="s">
        <v>152</v>
      </c>
      <c r="K11" s="85" t="s">
        <v>152</v>
      </c>
      <c r="L11" s="93" t="s">
        <v>140</v>
      </c>
      <c r="M11" s="93" t="s">
        <v>140</v>
      </c>
      <c r="N11" s="85" t="s">
        <v>152</v>
      </c>
      <c r="O11" s="85" t="s">
        <v>152</v>
      </c>
      <c r="P11" s="85" t="s">
        <v>152</v>
      </c>
      <c r="Q11" s="84" t="s">
        <v>141</v>
      </c>
      <c r="R11" s="85" t="s">
        <v>152</v>
      </c>
      <c r="S11" s="93" t="s">
        <v>140</v>
      </c>
      <c r="T11" s="94" t="s">
        <v>140</v>
      </c>
      <c r="U11" s="90" t="s">
        <v>140</v>
      </c>
      <c r="V11" s="90" t="s">
        <v>140</v>
      </c>
      <c r="W11" s="90" t="s">
        <v>140</v>
      </c>
      <c r="X11" s="110" t="s">
        <v>140</v>
      </c>
      <c r="Y11" s="90" t="s">
        <v>140</v>
      </c>
      <c r="Z11" s="92" t="s">
        <v>140</v>
      </c>
      <c r="AA11" s="92" t="s">
        <v>140</v>
      </c>
      <c r="AB11" s="90" t="s">
        <v>140</v>
      </c>
      <c r="AC11" s="90" t="s">
        <v>140</v>
      </c>
      <c r="AD11" s="90" t="s">
        <v>140</v>
      </c>
      <c r="AE11" s="90" t="s">
        <v>140</v>
      </c>
      <c r="AF11" s="90" t="s">
        <v>140</v>
      </c>
      <c r="AG11" s="94" t="s">
        <v>140</v>
      </c>
      <c r="AH11" s="91">
        <f t="shared" si="0"/>
        <v>0</v>
      </c>
    </row>
    <row r="12" spans="1:34" ht="30.75" thickBot="1">
      <c r="A12" s="80" t="s">
        <v>154</v>
      </c>
      <c r="B12" s="103" t="s">
        <v>162</v>
      </c>
      <c r="C12" s="85" t="s">
        <v>152</v>
      </c>
      <c r="D12" s="85" t="s">
        <v>152</v>
      </c>
      <c r="E12" s="90" t="s">
        <v>140</v>
      </c>
      <c r="F12" s="90" t="s">
        <v>140</v>
      </c>
      <c r="G12" s="88" t="s">
        <v>140</v>
      </c>
      <c r="H12" s="88" t="s">
        <v>140</v>
      </c>
      <c r="I12" s="85" t="s">
        <v>152</v>
      </c>
      <c r="J12" s="85" t="s">
        <v>152</v>
      </c>
      <c r="K12" s="85" t="s">
        <v>152</v>
      </c>
      <c r="L12" s="90" t="s">
        <v>140</v>
      </c>
      <c r="M12" s="90" t="s">
        <v>140</v>
      </c>
      <c r="N12" s="85" t="s">
        <v>152</v>
      </c>
      <c r="O12" s="85" t="s">
        <v>152</v>
      </c>
      <c r="P12" s="85" t="s">
        <v>152</v>
      </c>
      <c r="Q12" s="84" t="s">
        <v>141</v>
      </c>
      <c r="R12" s="85" t="s">
        <v>152</v>
      </c>
      <c r="S12" s="90" t="s">
        <v>140</v>
      </c>
      <c r="T12" s="90" t="s">
        <v>140</v>
      </c>
      <c r="U12" s="90" t="s">
        <v>140</v>
      </c>
      <c r="V12" s="90" t="s">
        <v>140</v>
      </c>
      <c r="W12" s="90" t="s">
        <v>140</v>
      </c>
      <c r="X12" s="110" t="s">
        <v>140</v>
      </c>
      <c r="Y12" s="90" t="s">
        <v>140</v>
      </c>
      <c r="Z12" s="90" t="s">
        <v>140</v>
      </c>
      <c r="AA12" s="90" t="s">
        <v>140</v>
      </c>
      <c r="AB12" s="90" t="s">
        <v>140</v>
      </c>
      <c r="AC12" s="90" t="s">
        <v>140</v>
      </c>
      <c r="AD12" s="90" t="s">
        <v>140</v>
      </c>
      <c r="AE12" s="90" t="s">
        <v>140</v>
      </c>
      <c r="AF12" s="90" t="s">
        <v>140</v>
      </c>
      <c r="AG12" s="90" t="s">
        <v>140</v>
      </c>
      <c r="AH12" s="91">
        <f t="shared" si="0"/>
        <v>0</v>
      </c>
    </row>
    <row r="13" spans="1:34" ht="30.75" thickBot="1">
      <c r="A13" s="80" t="s">
        <v>155</v>
      </c>
      <c r="B13" s="103" t="s">
        <v>162</v>
      </c>
      <c r="C13" s="85" t="s">
        <v>152</v>
      </c>
      <c r="D13" s="85" t="s">
        <v>152</v>
      </c>
      <c r="E13" s="90" t="s">
        <v>140</v>
      </c>
      <c r="F13" s="90" t="s">
        <v>140</v>
      </c>
      <c r="G13" s="88" t="s">
        <v>140</v>
      </c>
      <c r="H13" s="88" t="s">
        <v>140</v>
      </c>
      <c r="I13" s="85">
        <v>5</v>
      </c>
      <c r="J13" s="85">
        <v>5</v>
      </c>
      <c r="K13" s="85">
        <v>5</v>
      </c>
      <c r="L13" s="90" t="s">
        <v>140</v>
      </c>
      <c r="M13" s="90" t="s">
        <v>140</v>
      </c>
      <c r="N13" s="85">
        <v>5</v>
      </c>
      <c r="O13" s="85">
        <v>5</v>
      </c>
      <c r="P13" s="85">
        <v>5</v>
      </c>
      <c r="Q13" s="84" t="s">
        <v>141</v>
      </c>
      <c r="R13" s="85">
        <v>5</v>
      </c>
      <c r="S13" s="90" t="s">
        <v>140</v>
      </c>
      <c r="T13" s="90" t="s">
        <v>140</v>
      </c>
      <c r="U13" s="90" t="s">
        <v>140</v>
      </c>
      <c r="V13" s="90" t="s">
        <v>140</v>
      </c>
      <c r="W13" s="90" t="s">
        <v>140</v>
      </c>
      <c r="X13" s="110" t="s">
        <v>140</v>
      </c>
      <c r="Y13" s="90" t="s">
        <v>140</v>
      </c>
      <c r="Z13" s="90" t="s">
        <v>140</v>
      </c>
      <c r="AA13" s="90" t="s">
        <v>140</v>
      </c>
      <c r="AB13" s="90" t="s">
        <v>140</v>
      </c>
      <c r="AC13" s="90" t="s">
        <v>140</v>
      </c>
      <c r="AD13" s="90" t="s">
        <v>140</v>
      </c>
      <c r="AE13" s="90" t="s">
        <v>140</v>
      </c>
      <c r="AF13" s="90" t="s">
        <v>140</v>
      </c>
      <c r="AG13" s="90" t="s">
        <v>140</v>
      </c>
      <c r="AH13" s="91">
        <f t="shared" si="0"/>
        <v>35</v>
      </c>
    </row>
    <row r="14" spans="1:34" ht="15.75" thickBot="1">
      <c r="A14" s="80" t="s">
        <v>117</v>
      </c>
      <c r="B14" s="103" t="s">
        <v>162</v>
      </c>
      <c r="C14" s="85" t="s">
        <v>152</v>
      </c>
      <c r="D14" s="85" t="s">
        <v>152</v>
      </c>
      <c r="E14" s="90" t="s">
        <v>140</v>
      </c>
      <c r="F14" s="90" t="s">
        <v>140</v>
      </c>
      <c r="G14" s="88" t="s">
        <v>140</v>
      </c>
      <c r="H14" s="88" t="s">
        <v>140</v>
      </c>
      <c r="I14" s="85" t="s">
        <v>152</v>
      </c>
      <c r="J14" s="85" t="s">
        <v>152</v>
      </c>
      <c r="K14" s="85" t="s">
        <v>152</v>
      </c>
      <c r="L14" s="90" t="s">
        <v>140</v>
      </c>
      <c r="M14" s="90" t="s">
        <v>140</v>
      </c>
      <c r="N14" s="85" t="s">
        <v>152</v>
      </c>
      <c r="O14" s="85" t="s">
        <v>152</v>
      </c>
      <c r="P14" s="85" t="s">
        <v>152</v>
      </c>
      <c r="Q14" s="84" t="s">
        <v>141</v>
      </c>
      <c r="R14" s="85" t="s">
        <v>152</v>
      </c>
      <c r="S14" s="90" t="s">
        <v>140</v>
      </c>
      <c r="T14" s="90" t="s">
        <v>140</v>
      </c>
      <c r="U14" s="90" t="s">
        <v>140</v>
      </c>
      <c r="V14" s="90" t="s">
        <v>140</v>
      </c>
      <c r="W14" s="90" t="s">
        <v>140</v>
      </c>
      <c r="X14" s="110" t="s">
        <v>140</v>
      </c>
      <c r="Y14" s="90" t="s">
        <v>140</v>
      </c>
      <c r="Z14" s="90" t="s">
        <v>140</v>
      </c>
      <c r="AA14" s="90" t="s">
        <v>140</v>
      </c>
      <c r="AB14" s="90" t="s">
        <v>140</v>
      </c>
      <c r="AC14" s="90" t="s">
        <v>140</v>
      </c>
      <c r="AD14" s="90" t="s">
        <v>140</v>
      </c>
      <c r="AE14" s="90" t="s">
        <v>140</v>
      </c>
      <c r="AF14" s="90" t="s">
        <v>140</v>
      </c>
      <c r="AG14" s="90" t="s">
        <v>140</v>
      </c>
      <c r="AH14" s="91">
        <f t="shared" si="0"/>
        <v>0</v>
      </c>
    </row>
    <row r="15" spans="1:34" ht="15.75" thickBot="1">
      <c r="A15" s="80" t="s">
        <v>112</v>
      </c>
      <c r="B15" s="103" t="s">
        <v>162</v>
      </c>
      <c r="C15" s="85" t="s">
        <v>152</v>
      </c>
      <c r="D15" s="85" t="s">
        <v>152</v>
      </c>
      <c r="E15" s="90" t="s">
        <v>140</v>
      </c>
      <c r="F15" s="90" t="s">
        <v>140</v>
      </c>
      <c r="G15" s="88" t="s">
        <v>140</v>
      </c>
      <c r="H15" s="88" t="s">
        <v>140</v>
      </c>
      <c r="I15" s="85" t="s">
        <v>152</v>
      </c>
      <c r="J15" s="85" t="s">
        <v>152</v>
      </c>
      <c r="K15" s="85" t="s">
        <v>152</v>
      </c>
      <c r="L15" s="90" t="s">
        <v>140</v>
      </c>
      <c r="M15" s="90" t="s">
        <v>140</v>
      </c>
      <c r="N15" s="85" t="s">
        <v>152</v>
      </c>
      <c r="O15" s="85" t="s">
        <v>152</v>
      </c>
      <c r="P15" s="85" t="s">
        <v>152</v>
      </c>
      <c r="Q15" s="84" t="s">
        <v>141</v>
      </c>
      <c r="R15" s="85" t="s">
        <v>152</v>
      </c>
      <c r="S15" s="90" t="s">
        <v>140</v>
      </c>
      <c r="T15" s="90" t="s">
        <v>140</v>
      </c>
      <c r="U15" s="90" t="s">
        <v>140</v>
      </c>
      <c r="V15" s="90" t="s">
        <v>140</v>
      </c>
      <c r="W15" s="90" t="s">
        <v>140</v>
      </c>
      <c r="X15" s="110" t="s">
        <v>140</v>
      </c>
      <c r="Y15" s="90" t="s">
        <v>140</v>
      </c>
      <c r="Z15" s="90" t="s">
        <v>140</v>
      </c>
      <c r="AA15" s="90" t="s">
        <v>140</v>
      </c>
      <c r="AB15" s="90" t="s">
        <v>140</v>
      </c>
      <c r="AC15" s="90" t="s">
        <v>140</v>
      </c>
      <c r="AD15" s="90" t="s">
        <v>140</v>
      </c>
      <c r="AE15" s="90" t="s">
        <v>140</v>
      </c>
      <c r="AF15" s="90" t="s">
        <v>140</v>
      </c>
      <c r="AG15" s="90" t="s">
        <v>140</v>
      </c>
      <c r="AH15" s="91">
        <f t="shared" si="0"/>
        <v>0</v>
      </c>
    </row>
    <row r="16" spans="1:34" ht="15.75" thickBot="1">
      <c r="A16" s="80" t="s">
        <v>156</v>
      </c>
      <c r="B16" s="103" t="s">
        <v>162</v>
      </c>
      <c r="C16" s="85" t="s">
        <v>152</v>
      </c>
      <c r="D16" s="85" t="s">
        <v>152</v>
      </c>
      <c r="E16" s="90" t="s">
        <v>140</v>
      </c>
      <c r="F16" s="90" t="s">
        <v>140</v>
      </c>
      <c r="G16" s="88" t="s">
        <v>140</v>
      </c>
      <c r="H16" s="88" t="s">
        <v>140</v>
      </c>
      <c r="I16" s="85" t="s">
        <v>152</v>
      </c>
      <c r="J16" s="85" t="s">
        <v>152</v>
      </c>
      <c r="K16" s="85" t="s">
        <v>152</v>
      </c>
      <c r="L16" s="90" t="s">
        <v>140</v>
      </c>
      <c r="M16" s="90" t="s">
        <v>140</v>
      </c>
      <c r="N16" s="85" t="s">
        <v>152</v>
      </c>
      <c r="O16" s="85" t="s">
        <v>152</v>
      </c>
      <c r="P16" s="85" t="s">
        <v>152</v>
      </c>
      <c r="Q16" s="84" t="s">
        <v>141</v>
      </c>
      <c r="R16" s="85" t="s">
        <v>152</v>
      </c>
      <c r="S16" s="90" t="s">
        <v>140</v>
      </c>
      <c r="T16" s="90" t="s">
        <v>140</v>
      </c>
      <c r="U16" s="90" t="s">
        <v>140</v>
      </c>
      <c r="V16" s="90" t="s">
        <v>140</v>
      </c>
      <c r="W16" s="90" t="s">
        <v>140</v>
      </c>
      <c r="X16" s="110" t="s">
        <v>140</v>
      </c>
      <c r="Y16" s="90" t="s">
        <v>140</v>
      </c>
      <c r="Z16" s="90" t="s">
        <v>140</v>
      </c>
      <c r="AA16" s="90" t="s">
        <v>140</v>
      </c>
      <c r="AB16" s="90" t="s">
        <v>140</v>
      </c>
      <c r="AC16" s="90" t="s">
        <v>140</v>
      </c>
      <c r="AD16" s="90" t="s">
        <v>140</v>
      </c>
      <c r="AE16" s="90" t="s">
        <v>140</v>
      </c>
      <c r="AF16" s="90" t="s">
        <v>140</v>
      </c>
      <c r="AG16" s="90" t="s">
        <v>140</v>
      </c>
      <c r="AH16" s="91">
        <f t="shared" si="0"/>
        <v>0</v>
      </c>
    </row>
    <row r="17" spans="1:34" ht="15.75" thickBot="1">
      <c r="A17" s="80" t="s">
        <v>114</v>
      </c>
      <c r="B17" s="103" t="s">
        <v>162</v>
      </c>
      <c r="C17" s="85" t="s">
        <v>152</v>
      </c>
      <c r="D17" s="85" t="s">
        <v>152</v>
      </c>
      <c r="E17" s="90" t="s">
        <v>140</v>
      </c>
      <c r="F17" s="90" t="s">
        <v>140</v>
      </c>
      <c r="G17" s="88" t="s">
        <v>140</v>
      </c>
      <c r="H17" s="88" t="s">
        <v>140</v>
      </c>
      <c r="I17" s="85" t="s">
        <v>152</v>
      </c>
      <c r="J17" s="85" t="s">
        <v>152</v>
      </c>
      <c r="K17" s="85" t="s">
        <v>152</v>
      </c>
      <c r="L17" s="90" t="s">
        <v>140</v>
      </c>
      <c r="M17" s="90" t="s">
        <v>140</v>
      </c>
      <c r="N17" s="85" t="s">
        <v>152</v>
      </c>
      <c r="O17" s="85" t="s">
        <v>152</v>
      </c>
      <c r="P17" s="85" t="s">
        <v>152</v>
      </c>
      <c r="Q17" s="84" t="s">
        <v>141</v>
      </c>
      <c r="R17" s="85" t="s">
        <v>152</v>
      </c>
      <c r="S17" s="90" t="s">
        <v>140</v>
      </c>
      <c r="T17" s="90" t="s">
        <v>140</v>
      </c>
      <c r="U17" s="90" t="s">
        <v>140</v>
      </c>
      <c r="V17" s="90" t="s">
        <v>140</v>
      </c>
      <c r="W17" s="90" t="s">
        <v>140</v>
      </c>
      <c r="X17" s="110" t="s">
        <v>140</v>
      </c>
      <c r="Y17" s="90" t="s">
        <v>140</v>
      </c>
      <c r="Z17" s="90" t="s">
        <v>140</v>
      </c>
      <c r="AA17" s="90" t="s">
        <v>140</v>
      </c>
      <c r="AB17" s="90" t="s">
        <v>140</v>
      </c>
      <c r="AC17" s="90" t="s">
        <v>140</v>
      </c>
      <c r="AD17" s="90" t="s">
        <v>140</v>
      </c>
      <c r="AE17" s="90" t="s">
        <v>140</v>
      </c>
      <c r="AF17" s="90" t="s">
        <v>140</v>
      </c>
      <c r="AG17" s="90" t="s">
        <v>140</v>
      </c>
      <c r="AH17" s="91">
        <f t="shared" si="0"/>
        <v>0</v>
      </c>
    </row>
    <row r="18" spans="1:34" ht="15.75" thickBot="1">
      <c r="A18" s="80" t="s">
        <v>157</v>
      </c>
      <c r="B18" s="103" t="s">
        <v>162</v>
      </c>
      <c r="C18" s="85" t="s">
        <v>152</v>
      </c>
      <c r="D18" s="85" t="s">
        <v>152</v>
      </c>
      <c r="E18" s="90" t="s">
        <v>140</v>
      </c>
      <c r="F18" s="90" t="s">
        <v>140</v>
      </c>
      <c r="G18" s="88" t="s">
        <v>140</v>
      </c>
      <c r="H18" s="88" t="s">
        <v>140</v>
      </c>
      <c r="I18" s="85" t="s">
        <v>152</v>
      </c>
      <c r="J18" s="85" t="s">
        <v>152</v>
      </c>
      <c r="K18" s="85" t="s">
        <v>152</v>
      </c>
      <c r="L18" s="90" t="s">
        <v>140</v>
      </c>
      <c r="M18" s="90" t="s">
        <v>140</v>
      </c>
      <c r="N18" s="85" t="s">
        <v>152</v>
      </c>
      <c r="O18" s="85" t="s">
        <v>152</v>
      </c>
      <c r="P18" s="85" t="s">
        <v>152</v>
      </c>
      <c r="Q18" s="84" t="s">
        <v>141</v>
      </c>
      <c r="R18" s="85" t="s">
        <v>152</v>
      </c>
      <c r="S18" s="90" t="s">
        <v>140</v>
      </c>
      <c r="T18" s="90" t="s">
        <v>140</v>
      </c>
      <c r="U18" s="90" t="s">
        <v>140</v>
      </c>
      <c r="V18" s="90" t="s">
        <v>140</v>
      </c>
      <c r="W18" s="90" t="s">
        <v>140</v>
      </c>
      <c r="X18" s="110" t="s">
        <v>140</v>
      </c>
      <c r="Y18" s="90" t="s">
        <v>140</v>
      </c>
      <c r="Z18" s="90" t="s">
        <v>140</v>
      </c>
      <c r="AA18" s="90" t="s">
        <v>140</v>
      </c>
      <c r="AB18" s="90" t="s">
        <v>140</v>
      </c>
      <c r="AC18" s="90" t="s">
        <v>140</v>
      </c>
      <c r="AD18" s="90" t="s">
        <v>140</v>
      </c>
      <c r="AE18" s="90" t="s">
        <v>140</v>
      </c>
      <c r="AF18" s="90" t="s">
        <v>140</v>
      </c>
      <c r="AG18" s="90" t="s">
        <v>140</v>
      </c>
      <c r="AH18" s="91">
        <f t="shared" si="0"/>
        <v>0</v>
      </c>
    </row>
    <row r="19" spans="1:34" ht="15.75" thickBot="1">
      <c r="A19" s="80" t="s">
        <v>116</v>
      </c>
      <c r="B19" s="103" t="s">
        <v>162</v>
      </c>
      <c r="C19" s="85" t="s">
        <v>152</v>
      </c>
      <c r="D19" s="85" t="s">
        <v>152</v>
      </c>
      <c r="E19" s="90" t="s">
        <v>140</v>
      </c>
      <c r="F19" s="90" t="s">
        <v>140</v>
      </c>
      <c r="G19" s="88" t="s">
        <v>140</v>
      </c>
      <c r="H19" s="88" t="s">
        <v>140</v>
      </c>
      <c r="I19" s="85" t="s">
        <v>152</v>
      </c>
      <c r="J19" s="85" t="s">
        <v>152</v>
      </c>
      <c r="K19" s="85" t="s">
        <v>152</v>
      </c>
      <c r="L19" s="90" t="s">
        <v>140</v>
      </c>
      <c r="M19" s="90" t="s">
        <v>140</v>
      </c>
      <c r="N19" s="85" t="s">
        <v>152</v>
      </c>
      <c r="O19" s="85" t="s">
        <v>152</v>
      </c>
      <c r="P19" s="85" t="s">
        <v>152</v>
      </c>
      <c r="Q19" s="84" t="s">
        <v>141</v>
      </c>
      <c r="R19" s="85" t="s">
        <v>152</v>
      </c>
      <c r="S19" s="90" t="s">
        <v>140</v>
      </c>
      <c r="T19" s="90" t="s">
        <v>140</v>
      </c>
      <c r="U19" s="90" t="s">
        <v>140</v>
      </c>
      <c r="V19" s="90" t="s">
        <v>140</v>
      </c>
      <c r="W19" s="90" t="s">
        <v>140</v>
      </c>
      <c r="X19" s="110" t="s">
        <v>140</v>
      </c>
      <c r="Y19" s="90" t="s">
        <v>140</v>
      </c>
      <c r="Z19" s="90" t="s">
        <v>140</v>
      </c>
      <c r="AA19" s="90" t="s">
        <v>140</v>
      </c>
      <c r="AB19" s="90" t="s">
        <v>140</v>
      </c>
      <c r="AC19" s="90" t="s">
        <v>140</v>
      </c>
      <c r="AD19" s="90" t="s">
        <v>140</v>
      </c>
      <c r="AE19" s="90" t="s">
        <v>140</v>
      </c>
      <c r="AF19" s="90" t="s">
        <v>140</v>
      </c>
      <c r="AG19" s="90" t="s">
        <v>140</v>
      </c>
      <c r="AH19" s="91">
        <f t="shared" si="0"/>
        <v>0</v>
      </c>
    </row>
    <row r="20" spans="1:34" ht="30.75" thickBot="1">
      <c r="A20" s="80" t="s">
        <v>119</v>
      </c>
      <c r="B20" s="103" t="s">
        <v>162</v>
      </c>
      <c r="C20" s="85" t="s">
        <v>152</v>
      </c>
      <c r="D20" s="85" t="s">
        <v>152</v>
      </c>
      <c r="E20" s="90" t="s">
        <v>140</v>
      </c>
      <c r="F20" s="90" t="s">
        <v>140</v>
      </c>
      <c r="G20" s="88" t="s">
        <v>140</v>
      </c>
      <c r="H20" s="88" t="s">
        <v>140</v>
      </c>
      <c r="I20" s="85">
        <v>5</v>
      </c>
      <c r="J20" s="85">
        <v>5</v>
      </c>
      <c r="K20" s="85">
        <v>5</v>
      </c>
      <c r="L20" s="90" t="s">
        <v>140</v>
      </c>
      <c r="M20" s="90" t="s">
        <v>140</v>
      </c>
      <c r="N20" s="85">
        <v>8</v>
      </c>
      <c r="O20" s="85">
        <v>8</v>
      </c>
      <c r="P20" s="85">
        <v>8</v>
      </c>
      <c r="Q20" s="84" t="s">
        <v>141</v>
      </c>
      <c r="R20" s="85">
        <v>8</v>
      </c>
      <c r="S20" s="90" t="s">
        <v>140</v>
      </c>
      <c r="T20" s="90" t="s">
        <v>140</v>
      </c>
      <c r="U20" s="90" t="s">
        <v>140</v>
      </c>
      <c r="V20" s="90" t="s">
        <v>140</v>
      </c>
      <c r="W20" s="90" t="s">
        <v>140</v>
      </c>
      <c r="X20" s="110" t="s">
        <v>140</v>
      </c>
      <c r="Y20" s="90" t="s">
        <v>140</v>
      </c>
      <c r="Z20" s="90" t="s">
        <v>140</v>
      </c>
      <c r="AA20" s="90" t="s">
        <v>140</v>
      </c>
      <c r="AB20" s="90" t="s">
        <v>140</v>
      </c>
      <c r="AC20" s="90" t="s">
        <v>140</v>
      </c>
      <c r="AD20" s="90" t="s">
        <v>140</v>
      </c>
      <c r="AE20" s="90" t="s">
        <v>140</v>
      </c>
      <c r="AF20" s="90" t="s">
        <v>140</v>
      </c>
      <c r="AG20" s="90" t="s">
        <v>140</v>
      </c>
      <c r="AH20" s="91">
        <f t="shared" si="0"/>
        <v>47</v>
      </c>
    </row>
    <row r="21" spans="1:34" ht="15.75" thickBot="1">
      <c r="A21" s="96" t="s">
        <v>149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>
        <f>SUM(AH9:AH20)</f>
        <v>167</v>
      </c>
    </row>
    <row r="22" spans="1:34" ht="30.75" thickBot="1">
      <c r="A22" s="98" t="s">
        <v>158</v>
      </c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9">
        <f>AH21+AH7</f>
        <v>404</v>
      </c>
    </row>
  </sheetData>
  <mergeCells count="5">
    <mergeCell ref="A2:AH2"/>
    <mergeCell ref="A7:AG7"/>
    <mergeCell ref="A8:AH8"/>
    <mergeCell ref="A21:AG21"/>
    <mergeCell ref="A22:A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workbookViewId="0">
      <selection activeCell="C12" sqref="C12:AC12"/>
    </sheetView>
  </sheetViews>
  <sheetFormatPr baseColWidth="10" defaultRowHeight="15"/>
  <cols>
    <col min="1" max="1" width="19.5703125" customWidth="1"/>
    <col min="2" max="2" width="16.5703125" customWidth="1"/>
    <col min="3" max="3" width="8" customWidth="1"/>
    <col min="4" max="4" width="7.7109375" customWidth="1"/>
    <col min="5" max="6" width="7.85546875" customWidth="1"/>
    <col min="7" max="7" width="7.28515625" customWidth="1"/>
    <col min="8" max="8" width="7.85546875" customWidth="1"/>
    <col min="9" max="9" width="7.140625" customWidth="1"/>
    <col min="10" max="10" width="8" customWidth="1"/>
    <col min="11" max="11" width="7.140625" customWidth="1"/>
    <col min="12" max="12" width="8" customWidth="1"/>
    <col min="13" max="13" width="8.42578125" customWidth="1"/>
    <col min="14" max="14" width="8.140625" customWidth="1"/>
    <col min="15" max="15" width="8.7109375" customWidth="1"/>
    <col min="16" max="16" width="7.42578125" customWidth="1"/>
    <col min="17" max="17" width="8.28515625" customWidth="1"/>
    <col min="18" max="18" width="6.5703125" customWidth="1"/>
    <col min="19" max="19" width="8" customWidth="1"/>
    <col min="20" max="20" width="7.28515625" customWidth="1"/>
    <col min="21" max="21" width="7.5703125" customWidth="1"/>
    <col min="22" max="22" width="7" customWidth="1"/>
    <col min="23" max="23" width="7.42578125" customWidth="1"/>
    <col min="24" max="24" width="8.42578125" style="108" customWidth="1"/>
    <col min="25" max="25" width="8" customWidth="1"/>
    <col min="26" max="26" width="8.42578125" customWidth="1"/>
    <col min="27" max="27" width="9" customWidth="1"/>
    <col min="28" max="28" width="8.28515625" customWidth="1"/>
    <col min="29" max="29" width="7.85546875" customWidth="1"/>
    <col min="30" max="30" width="8.28515625" customWidth="1"/>
    <col min="31" max="32" width="7.42578125" customWidth="1"/>
    <col min="33" max="33" width="8.140625" customWidth="1"/>
  </cols>
  <sheetData>
    <row r="1" spans="1:34" ht="62.25" thickBot="1">
      <c r="A1" s="75" t="s">
        <v>2</v>
      </c>
      <c r="B1" s="75" t="s">
        <v>135</v>
      </c>
      <c r="C1" s="76">
        <v>45505</v>
      </c>
      <c r="D1" s="76">
        <v>45506</v>
      </c>
      <c r="E1" s="76">
        <v>45507</v>
      </c>
      <c r="F1" s="76">
        <v>45508</v>
      </c>
      <c r="G1" s="76">
        <v>45509</v>
      </c>
      <c r="H1" s="76">
        <v>45510</v>
      </c>
      <c r="I1" s="76">
        <v>45511</v>
      </c>
      <c r="J1" s="76">
        <v>45512</v>
      </c>
      <c r="K1" s="76">
        <v>45513</v>
      </c>
      <c r="L1" s="76">
        <v>45514</v>
      </c>
      <c r="M1" s="76">
        <v>45515</v>
      </c>
      <c r="N1" s="76">
        <v>45516</v>
      </c>
      <c r="O1" s="76">
        <v>45517</v>
      </c>
      <c r="P1" s="76">
        <v>45518</v>
      </c>
      <c r="Q1" s="76">
        <v>45519</v>
      </c>
      <c r="R1" s="76">
        <v>45520</v>
      </c>
      <c r="S1" s="76">
        <v>45521</v>
      </c>
      <c r="T1" s="76">
        <v>45522</v>
      </c>
      <c r="U1" s="76">
        <v>45523</v>
      </c>
      <c r="V1" s="76">
        <v>45524</v>
      </c>
      <c r="W1" s="76">
        <v>45525</v>
      </c>
      <c r="X1" s="102">
        <v>45526</v>
      </c>
      <c r="Y1" s="76">
        <v>45527</v>
      </c>
      <c r="Z1" s="76">
        <v>45528</v>
      </c>
      <c r="AA1" s="76">
        <v>45529</v>
      </c>
      <c r="AB1" s="76">
        <v>45530</v>
      </c>
      <c r="AC1" s="76">
        <v>45531</v>
      </c>
      <c r="AD1" s="76">
        <v>45532</v>
      </c>
      <c r="AE1" s="76">
        <v>45533</v>
      </c>
      <c r="AF1" s="76">
        <v>45534</v>
      </c>
      <c r="AG1" s="76">
        <v>45535</v>
      </c>
      <c r="AH1" s="76" t="s">
        <v>136</v>
      </c>
    </row>
    <row r="2" spans="1:34" ht="60.75" thickBot="1">
      <c r="A2" s="77" t="s">
        <v>137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</row>
    <row r="3" spans="1:34" ht="15.75" thickBot="1">
      <c r="A3" s="80" t="s">
        <v>111</v>
      </c>
      <c r="B3" s="103" t="s">
        <v>159</v>
      </c>
      <c r="C3" s="82" t="s">
        <v>139</v>
      </c>
      <c r="D3" s="82" t="s">
        <v>139</v>
      </c>
      <c r="E3" s="83" t="s">
        <v>140</v>
      </c>
      <c r="F3" s="83" t="s">
        <v>140</v>
      </c>
      <c r="G3" s="82">
        <v>1</v>
      </c>
      <c r="H3" s="82">
        <v>5</v>
      </c>
      <c r="I3" s="82">
        <v>5</v>
      </c>
      <c r="J3" s="82">
        <v>5</v>
      </c>
      <c r="K3" s="82">
        <v>5</v>
      </c>
      <c r="L3" s="83" t="s">
        <v>140</v>
      </c>
      <c r="M3" s="83" t="s">
        <v>140</v>
      </c>
      <c r="N3" s="82" t="s">
        <v>148</v>
      </c>
      <c r="O3" s="82">
        <v>5</v>
      </c>
      <c r="P3" s="82">
        <v>5</v>
      </c>
      <c r="Q3" s="84" t="s">
        <v>141</v>
      </c>
      <c r="R3" s="82">
        <v>5</v>
      </c>
      <c r="S3" s="83" t="s">
        <v>140</v>
      </c>
      <c r="T3" s="83" t="s">
        <v>140</v>
      </c>
      <c r="U3" s="82">
        <v>5</v>
      </c>
      <c r="V3" s="82">
        <v>5</v>
      </c>
      <c r="W3" s="82">
        <v>5</v>
      </c>
      <c r="X3" s="104">
        <v>5</v>
      </c>
      <c r="Y3" s="82">
        <v>5</v>
      </c>
      <c r="Z3" s="83" t="s">
        <v>140</v>
      </c>
      <c r="AA3" s="83" t="s">
        <v>140</v>
      </c>
      <c r="AB3" s="82">
        <v>5</v>
      </c>
      <c r="AC3" s="82">
        <v>5</v>
      </c>
      <c r="AD3" s="82">
        <v>5</v>
      </c>
      <c r="AE3" s="82"/>
      <c r="AF3" s="82"/>
      <c r="AG3" s="83" t="s">
        <v>140</v>
      </c>
      <c r="AH3" s="85">
        <f t="shared" ref="AH3:AH17" si="0">SUM(C3:AG3)</f>
        <v>76</v>
      </c>
    </row>
    <row r="4" spans="1:34" ht="30.75" thickBot="1">
      <c r="A4" s="80" t="s">
        <v>142</v>
      </c>
      <c r="B4" s="103" t="s">
        <v>159</v>
      </c>
      <c r="C4" s="82" t="s">
        <v>139</v>
      </c>
      <c r="D4" s="82" t="s">
        <v>139</v>
      </c>
      <c r="E4" s="83" t="s">
        <v>140</v>
      </c>
      <c r="F4" s="83" t="s">
        <v>140</v>
      </c>
      <c r="G4" s="82" t="s">
        <v>139</v>
      </c>
      <c r="H4" s="82" t="s">
        <v>139</v>
      </c>
      <c r="I4" s="82" t="s">
        <v>139</v>
      </c>
      <c r="J4" s="82" t="s">
        <v>139</v>
      </c>
      <c r="K4" s="82" t="s">
        <v>139</v>
      </c>
      <c r="L4" s="83" t="s">
        <v>140</v>
      </c>
      <c r="M4" s="83" t="s">
        <v>140</v>
      </c>
      <c r="N4" s="82" t="s">
        <v>139</v>
      </c>
      <c r="O4" s="82" t="s">
        <v>139</v>
      </c>
      <c r="P4" s="82" t="s">
        <v>139</v>
      </c>
      <c r="Q4" s="82" t="s">
        <v>139</v>
      </c>
      <c r="R4" s="82" t="s">
        <v>140</v>
      </c>
      <c r="S4" s="83" t="s">
        <v>140</v>
      </c>
      <c r="T4" s="83" t="s">
        <v>140</v>
      </c>
      <c r="U4" s="82" t="s">
        <v>140</v>
      </c>
      <c r="V4" s="82" t="s">
        <v>140</v>
      </c>
      <c r="W4" s="82" t="s">
        <v>140</v>
      </c>
      <c r="X4" s="104" t="s">
        <v>140</v>
      </c>
      <c r="Y4" s="82" t="s">
        <v>140</v>
      </c>
      <c r="Z4" s="83" t="s">
        <v>140</v>
      </c>
      <c r="AA4" s="83" t="s">
        <v>140</v>
      </c>
      <c r="AB4" s="82" t="s">
        <v>140</v>
      </c>
      <c r="AC4" s="82" t="s">
        <v>140</v>
      </c>
      <c r="AD4" s="82" t="s">
        <v>140</v>
      </c>
      <c r="AE4" s="82"/>
      <c r="AF4" s="82"/>
      <c r="AG4" s="83" t="s">
        <v>140</v>
      </c>
      <c r="AH4" s="85">
        <f t="shared" si="0"/>
        <v>0</v>
      </c>
    </row>
    <row r="5" spans="1:34" ht="30.75" thickBot="1">
      <c r="A5" s="80" t="s">
        <v>143</v>
      </c>
      <c r="B5" s="103" t="s">
        <v>159</v>
      </c>
      <c r="C5" s="82" t="s">
        <v>140</v>
      </c>
      <c r="D5" s="82" t="s">
        <v>139</v>
      </c>
      <c r="E5" s="83" t="s">
        <v>140</v>
      </c>
      <c r="F5" s="83" t="s">
        <v>140</v>
      </c>
      <c r="G5" s="82" t="s">
        <v>144</v>
      </c>
      <c r="H5" s="82">
        <v>6</v>
      </c>
      <c r="I5" s="82">
        <v>1</v>
      </c>
      <c r="J5" s="82" t="s">
        <v>140</v>
      </c>
      <c r="K5" s="82" t="s">
        <v>140</v>
      </c>
      <c r="L5" s="83" t="s">
        <v>140</v>
      </c>
      <c r="M5" s="83" t="s">
        <v>140</v>
      </c>
      <c r="N5" s="82" t="s">
        <v>140</v>
      </c>
      <c r="O5" s="82" t="s">
        <v>140</v>
      </c>
      <c r="P5" s="82" t="s">
        <v>140</v>
      </c>
      <c r="Q5" s="84" t="s">
        <v>141</v>
      </c>
      <c r="R5" s="82" t="s">
        <v>140</v>
      </c>
      <c r="S5" s="83" t="s">
        <v>140</v>
      </c>
      <c r="T5" s="83" t="s">
        <v>140</v>
      </c>
      <c r="U5" s="82" t="s">
        <v>140</v>
      </c>
      <c r="V5" s="82" t="s">
        <v>140</v>
      </c>
      <c r="W5" s="82" t="s">
        <v>140</v>
      </c>
      <c r="X5" s="104" t="s">
        <v>140</v>
      </c>
      <c r="Y5" s="82" t="s">
        <v>140</v>
      </c>
      <c r="Z5" s="83" t="s">
        <v>140</v>
      </c>
      <c r="AA5" s="83" t="s">
        <v>140</v>
      </c>
      <c r="AB5" s="82" t="s">
        <v>139</v>
      </c>
      <c r="AC5" s="82" t="s">
        <v>139</v>
      </c>
      <c r="AD5" s="82" t="s">
        <v>139</v>
      </c>
      <c r="AE5" s="82" t="s">
        <v>139</v>
      </c>
      <c r="AF5" s="82" t="s">
        <v>139</v>
      </c>
      <c r="AG5" s="83" t="s">
        <v>140</v>
      </c>
      <c r="AH5" s="85">
        <f t="shared" si="0"/>
        <v>7</v>
      </c>
    </row>
    <row r="6" spans="1:34" ht="30.75" thickBot="1">
      <c r="A6" s="80" t="s">
        <v>145</v>
      </c>
      <c r="B6" s="103" t="s">
        <v>159</v>
      </c>
      <c r="C6" s="84" t="s">
        <v>139</v>
      </c>
      <c r="D6" s="84" t="s">
        <v>139</v>
      </c>
      <c r="E6" s="86" t="s">
        <v>140</v>
      </c>
      <c r="F6" s="86" t="s">
        <v>140</v>
      </c>
      <c r="G6" s="84" t="s">
        <v>139</v>
      </c>
      <c r="H6" s="84">
        <v>5</v>
      </c>
      <c r="I6" s="84" t="s">
        <v>139</v>
      </c>
      <c r="J6" s="84" t="s">
        <v>139</v>
      </c>
      <c r="K6" s="82" t="s">
        <v>139</v>
      </c>
      <c r="L6" s="83" t="s">
        <v>140</v>
      </c>
      <c r="M6" s="83" t="s">
        <v>140</v>
      </c>
      <c r="N6" s="84" t="s">
        <v>139</v>
      </c>
      <c r="O6" s="84" t="s">
        <v>139</v>
      </c>
      <c r="P6" s="84" t="s">
        <v>139</v>
      </c>
      <c r="Q6" s="84" t="s">
        <v>141</v>
      </c>
      <c r="R6" s="84">
        <v>7</v>
      </c>
      <c r="S6" s="83" t="s">
        <v>140</v>
      </c>
      <c r="T6" s="83" t="s">
        <v>140</v>
      </c>
      <c r="U6" s="82">
        <v>7</v>
      </c>
      <c r="V6" s="82">
        <v>7</v>
      </c>
      <c r="W6" s="82">
        <v>7</v>
      </c>
      <c r="X6" s="104">
        <v>7</v>
      </c>
      <c r="Y6" s="84">
        <v>7</v>
      </c>
      <c r="Z6" s="83" t="s">
        <v>140</v>
      </c>
      <c r="AA6" s="83" t="s">
        <v>140</v>
      </c>
      <c r="AB6" s="84">
        <v>7</v>
      </c>
      <c r="AC6" s="84">
        <v>7</v>
      </c>
      <c r="AD6" s="84">
        <v>7</v>
      </c>
      <c r="AE6" s="84"/>
      <c r="AF6" s="84"/>
      <c r="AG6" s="83" t="s">
        <v>140</v>
      </c>
      <c r="AH6" s="85">
        <f t="shared" si="0"/>
        <v>68</v>
      </c>
    </row>
    <row r="7" spans="1:34" ht="15.75" thickBot="1">
      <c r="A7" s="80" t="s">
        <v>146</v>
      </c>
      <c r="B7" s="103" t="s">
        <v>159</v>
      </c>
      <c r="C7" s="82" t="s">
        <v>140</v>
      </c>
      <c r="D7" s="82" t="s">
        <v>140</v>
      </c>
      <c r="E7" s="83" t="s">
        <v>140</v>
      </c>
      <c r="F7" s="83" t="s">
        <v>140</v>
      </c>
      <c r="G7" s="82">
        <v>1</v>
      </c>
      <c r="H7" s="82">
        <v>5</v>
      </c>
      <c r="I7" s="82">
        <v>5</v>
      </c>
      <c r="J7" s="82">
        <v>5</v>
      </c>
      <c r="K7" s="82">
        <v>5</v>
      </c>
      <c r="L7" s="83" t="s">
        <v>140</v>
      </c>
      <c r="M7" s="83" t="s">
        <v>140</v>
      </c>
      <c r="N7" s="82">
        <v>5</v>
      </c>
      <c r="O7" s="82">
        <v>5</v>
      </c>
      <c r="P7" s="82">
        <v>5</v>
      </c>
      <c r="Q7" s="84" t="s">
        <v>141</v>
      </c>
      <c r="R7" s="84">
        <v>5</v>
      </c>
      <c r="S7" s="83" t="s">
        <v>140</v>
      </c>
      <c r="T7" s="83" t="s">
        <v>140</v>
      </c>
      <c r="U7" s="82" t="s">
        <v>139</v>
      </c>
      <c r="V7" s="82" t="s">
        <v>139</v>
      </c>
      <c r="W7" s="82" t="s">
        <v>139</v>
      </c>
      <c r="X7" s="104" t="s">
        <v>139</v>
      </c>
      <c r="Y7" s="82" t="s">
        <v>139</v>
      </c>
      <c r="Z7" s="83" t="s">
        <v>140</v>
      </c>
      <c r="AA7" s="83" t="s">
        <v>140</v>
      </c>
      <c r="AB7" s="82">
        <v>5</v>
      </c>
      <c r="AC7" s="82">
        <v>5</v>
      </c>
      <c r="AD7" s="82">
        <v>5</v>
      </c>
      <c r="AE7" s="82"/>
      <c r="AF7" s="82"/>
      <c r="AG7" s="83" t="s">
        <v>140</v>
      </c>
      <c r="AH7" s="85">
        <f t="shared" si="0"/>
        <v>56</v>
      </c>
    </row>
    <row r="8" spans="1:34" ht="15.75" thickBot="1">
      <c r="A8" s="80" t="s">
        <v>147</v>
      </c>
      <c r="B8" s="103" t="s">
        <v>159</v>
      </c>
      <c r="C8" s="82" t="s">
        <v>140</v>
      </c>
      <c r="D8" s="82" t="s">
        <v>144</v>
      </c>
      <c r="E8" s="83" t="s">
        <v>140</v>
      </c>
      <c r="F8" s="83" t="s">
        <v>140</v>
      </c>
      <c r="G8" s="82" t="s">
        <v>139</v>
      </c>
      <c r="H8" s="82" t="s">
        <v>139</v>
      </c>
      <c r="I8" s="82" t="s">
        <v>139</v>
      </c>
      <c r="J8" s="82" t="s">
        <v>139</v>
      </c>
      <c r="K8" s="82" t="s">
        <v>139</v>
      </c>
      <c r="L8" s="83" t="s">
        <v>140</v>
      </c>
      <c r="M8" s="83" t="s">
        <v>140</v>
      </c>
      <c r="N8" s="82" t="s">
        <v>139</v>
      </c>
      <c r="O8" s="82" t="s">
        <v>139</v>
      </c>
      <c r="P8" s="82" t="s">
        <v>139</v>
      </c>
      <c r="Q8" s="82" t="s">
        <v>139</v>
      </c>
      <c r="R8" s="82" t="s">
        <v>139</v>
      </c>
      <c r="S8" s="83" t="s">
        <v>140</v>
      </c>
      <c r="T8" s="83" t="s">
        <v>140</v>
      </c>
      <c r="U8" s="82" t="s">
        <v>139</v>
      </c>
      <c r="V8" s="82" t="s">
        <v>139</v>
      </c>
      <c r="W8" s="82" t="s">
        <v>139</v>
      </c>
      <c r="X8" s="104" t="s">
        <v>139</v>
      </c>
      <c r="Y8" s="82" t="s">
        <v>139</v>
      </c>
      <c r="Z8" s="83" t="s">
        <v>140</v>
      </c>
      <c r="AA8" s="83" t="s">
        <v>140</v>
      </c>
      <c r="AB8" s="82" t="s">
        <v>140</v>
      </c>
      <c r="AC8" s="82" t="s">
        <v>140</v>
      </c>
      <c r="AD8" s="82" t="s">
        <v>140</v>
      </c>
      <c r="AE8" s="82"/>
      <c r="AF8" s="82"/>
      <c r="AG8" s="83" t="s">
        <v>140</v>
      </c>
      <c r="AH8" s="85">
        <f t="shared" si="0"/>
        <v>0</v>
      </c>
    </row>
    <row r="9" spans="1:34" ht="15.75" thickBot="1">
      <c r="A9" s="80" t="s">
        <v>107</v>
      </c>
      <c r="B9" s="103" t="s">
        <v>159</v>
      </c>
      <c r="C9" s="82" t="s">
        <v>148</v>
      </c>
      <c r="D9" s="82" t="s">
        <v>148</v>
      </c>
      <c r="E9" s="83" t="s">
        <v>140</v>
      </c>
      <c r="F9" s="83" t="s">
        <v>140</v>
      </c>
      <c r="G9" s="82">
        <v>1</v>
      </c>
      <c r="H9" s="82">
        <v>5</v>
      </c>
      <c r="I9" s="82">
        <v>5</v>
      </c>
      <c r="J9" s="82">
        <v>5</v>
      </c>
      <c r="K9" s="82">
        <v>5</v>
      </c>
      <c r="L9" s="83" t="s">
        <v>140</v>
      </c>
      <c r="M9" s="83" t="s">
        <v>140</v>
      </c>
      <c r="N9" s="82">
        <v>5</v>
      </c>
      <c r="O9" s="82">
        <v>5</v>
      </c>
      <c r="P9" s="82">
        <v>5</v>
      </c>
      <c r="Q9" s="84" t="s">
        <v>141</v>
      </c>
      <c r="R9" s="84">
        <v>5</v>
      </c>
      <c r="S9" s="83" t="s">
        <v>140</v>
      </c>
      <c r="T9" s="83" t="s">
        <v>140</v>
      </c>
      <c r="U9" s="82">
        <v>5</v>
      </c>
      <c r="V9" s="82">
        <v>5</v>
      </c>
      <c r="W9" s="82">
        <v>5</v>
      </c>
      <c r="X9" s="104">
        <v>5</v>
      </c>
      <c r="Y9" s="82">
        <v>5</v>
      </c>
      <c r="Z9" s="83" t="s">
        <v>140</v>
      </c>
      <c r="AA9" s="83" t="s">
        <v>140</v>
      </c>
      <c r="AB9" s="82">
        <v>5</v>
      </c>
      <c r="AC9" s="82">
        <v>5</v>
      </c>
      <c r="AD9" s="82">
        <v>5</v>
      </c>
      <c r="AE9" s="82"/>
      <c r="AF9" s="82"/>
      <c r="AG9" s="83" t="s">
        <v>140</v>
      </c>
      <c r="AH9" s="85">
        <f t="shared" si="0"/>
        <v>81</v>
      </c>
    </row>
    <row r="10" spans="1:34" ht="30.75" thickBot="1">
      <c r="A10" s="80" t="s">
        <v>132</v>
      </c>
      <c r="B10" s="103" t="s">
        <v>159</v>
      </c>
      <c r="C10" s="82" t="s">
        <v>140</v>
      </c>
      <c r="D10" s="82" t="s">
        <v>140</v>
      </c>
      <c r="E10" s="83" t="s">
        <v>140</v>
      </c>
      <c r="F10" s="83" t="s">
        <v>140</v>
      </c>
      <c r="G10" s="82">
        <v>2</v>
      </c>
      <c r="H10" s="82">
        <v>8</v>
      </c>
      <c r="I10" s="82">
        <v>1</v>
      </c>
      <c r="J10" s="82" t="s">
        <v>140</v>
      </c>
      <c r="K10" s="82" t="s">
        <v>140</v>
      </c>
      <c r="L10" s="83" t="s">
        <v>140</v>
      </c>
      <c r="M10" s="83" t="s">
        <v>140</v>
      </c>
      <c r="N10" s="82" t="s">
        <v>139</v>
      </c>
      <c r="O10" s="82" t="s">
        <v>139</v>
      </c>
      <c r="P10" s="82" t="s">
        <v>139</v>
      </c>
      <c r="Q10" s="82" t="s">
        <v>139</v>
      </c>
      <c r="R10" s="82" t="s">
        <v>139</v>
      </c>
      <c r="S10" s="83" t="s">
        <v>140</v>
      </c>
      <c r="T10" s="83" t="s">
        <v>140</v>
      </c>
      <c r="U10" s="82" t="s">
        <v>140</v>
      </c>
      <c r="V10" s="82" t="s">
        <v>140</v>
      </c>
      <c r="W10" s="82" t="s">
        <v>140</v>
      </c>
      <c r="X10" s="104" t="s">
        <v>140</v>
      </c>
      <c r="Y10" s="82" t="s">
        <v>140</v>
      </c>
      <c r="Z10" s="83" t="s">
        <v>140</v>
      </c>
      <c r="AA10" s="83" t="s">
        <v>140</v>
      </c>
      <c r="AB10" s="82" t="s">
        <v>140</v>
      </c>
      <c r="AC10" s="82" t="s">
        <v>140</v>
      </c>
      <c r="AD10" s="82" t="s">
        <v>140</v>
      </c>
      <c r="AE10" s="82"/>
      <c r="AF10" s="82"/>
      <c r="AG10" s="83" t="s">
        <v>140</v>
      </c>
      <c r="AH10" s="85">
        <f t="shared" si="0"/>
        <v>11</v>
      </c>
    </row>
    <row r="11" spans="1:34" ht="15.75" thickBot="1">
      <c r="A11" s="80" t="s">
        <v>131</v>
      </c>
      <c r="B11" s="103" t="s">
        <v>159</v>
      </c>
      <c r="C11" s="82" t="s">
        <v>140</v>
      </c>
      <c r="D11" s="82" t="s">
        <v>140</v>
      </c>
      <c r="E11" s="83" t="s">
        <v>140</v>
      </c>
      <c r="F11" s="83" t="s">
        <v>140</v>
      </c>
      <c r="G11" s="82" t="s">
        <v>139</v>
      </c>
      <c r="H11" s="82" t="s">
        <v>139</v>
      </c>
      <c r="I11" s="82" t="s">
        <v>139</v>
      </c>
      <c r="J11" s="82" t="s">
        <v>139</v>
      </c>
      <c r="K11" s="82" t="s">
        <v>139</v>
      </c>
      <c r="L11" s="83" t="s">
        <v>140</v>
      </c>
      <c r="M11" s="83" t="s">
        <v>140</v>
      </c>
      <c r="N11" s="82" t="s">
        <v>139</v>
      </c>
      <c r="O11" s="82" t="s">
        <v>139</v>
      </c>
      <c r="P11" s="82" t="s">
        <v>139</v>
      </c>
      <c r="Q11" s="82" t="s">
        <v>139</v>
      </c>
      <c r="R11" s="82" t="s">
        <v>139</v>
      </c>
      <c r="S11" s="83" t="s">
        <v>140</v>
      </c>
      <c r="T11" s="83" t="s">
        <v>140</v>
      </c>
      <c r="U11" s="82" t="s">
        <v>140</v>
      </c>
      <c r="V11" s="82" t="s">
        <v>140</v>
      </c>
      <c r="W11" s="82" t="s">
        <v>140</v>
      </c>
      <c r="X11" s="104" t="s">
        <v>140</v>
      </c>
      <c r="Y11" s="82" t="s">
        <v>140</v>
      </c>
      <c r="Z11" s="83" t="s">
        <v>140</v>
      </c>
      <c r="AA11" s="83" t="s">
        <v>140</v>
      </c>
      <c r="AB11" s="82" t="s">
        <v>140</v>
      </c>
      <c r="AC11" s="82" t="s">
        <v>140</v>
      </c>
      <c r="AD11" s="82" t="s">
        <v>140</v>
      </c>
      <c r="AE11" s="82"/>
      <c r="AF11" s="82"/>
      <c r="AG11" s="83" t="s">
        <v>140</v>
      </c>
      <c r="AH11" s="85">
        <f t="shared" si="0"/>
        <v>0</v>
      </c>
    </row>
    <row r="12" spans="1:34" ht="15.75" thickBot="1">
      <c r="A12" s="80" t="s">
        <v>122</v>
      </c>
      <c r="B12" s="103" t="s">
        <v>159</v>
      </c>
      <c r="C12" s="87" t="s">
        <v>148</v>
      </c>
      <c r="D12" s="87" t="s">
        <v>148</v>
      </c>
      <c r="E12" s="83" t="s">
        <v>140</v>
      </c>
      <c r="F12" s="83" t="s">
        <v>140</v>
      </c>
      <c r="G12" s="87">
        <v>2</v>
      </c>
      <c r="H12" s="87">
        <v>7</v>
      </c>
      <c r="I12" s="87">
        <v>6</v>
      </c>
      <c r="J12" s="82" t="s">
        <v>139</v>
      </c>
      <c r="K12" s="82" t="s">
        <v>139</v>
      </c>
      <c r="L12" s="83" t="s">
        <v>140</v>
      </c>
      <c r="M12" s="83" t="s">
        <v>140</v>
      </c>
      <c r="N12" s="82" t="s">
        <v>139</v>
      </c>
      <c r="O12" s="82" t="s">
        <v>139</v>
      </c>
      <c r="P12" s="82" t="s">
        <v>139</v>
      </c>
      <c r="Q12" s="82" t="s">
        <v>139</v>
      </c>
      <c r="R12" s="82" t="s">
        <v>139</v>
      </c>
      <c r="S12" s="83" t="s">
        <v>140</v>
      </c>
      <c r="T12" s="83" t="s">
        <v>140</v>
      </c>
      <c r="U12" s="82">
        <v>7</v>
      </c>
      <c r="V12" s="82">
        <v>7</v>
      </c>
      <c r="W12" s="82">
        <v>7</v>
      </c>
      <c r="X12" s="104">
        <v>8</v>
      </c>
      <c r="Y12" s="82">
        <v>8</v>
      </c>
      <c r="Z12" s="83" t="s">
        <v>140</v>
      </c>
      <c r="AA12" s="83" t="s">
        <v>140</v>
      </c>
      <c r="AB12" s="82">
        <v>8</v>
      </c>
      <c r="AC12" s="82">
        <v>8</v>
      </c>
      <c r="AD12" s="82">
        <v>8</v>
      </c>
      <c r="AE12" s="87"/>
      <c r="AF12" s="87"/>
      <c r="AG12" s="83" t="s">
        <v>140</v>
      </c>
      <c r="AH12" s="85">
        <f t="shared" si="0"/>
        <v>76</v>
      </c>
    </row>
    <row r="13" spans="1:34" ht="15.75" thickBot="1">
      <c r="A13" s="80" t="s">
        <v>108</v>
      </c>
      <c r="B13" s="103" t="s">
        <v>159</v>
      </c>
      <c r="C13" s="88" t="s">
        <v>140</v>
      </c>
      <c r="D13" s="88" t="s">
        <v>140</v>
      </c>
      <c r="E13" s="86" t="s">
        <v>140</v>
      </c>
      <c r="F13" s="86" t="s">
        <v>140</v>
      </c>
      <c r="G13" s="88">
        <v>1</v>
      </c>
      <c r="H13" s="88">
        <v>2</v>
      </c>
      <c r="I13" s="88" t="s">
        <v>140</v>
      </c>
      <c r="J13" s="88" t="s">
        <v>140</v>
      </c>
      <c r="K13" s="88" t="s">
        <v>140</v>
      </c>
      <c r="L13" s="83" t="s">
        <v>140</v>
      </c>
      <c r="M13" s="83" t="s">
        <v>140</v>
      </c>
      <c r="N13" s="88" t="s">
        <v>140</v>
      </c>
      <c r="O13" s="88" t="s">
        <v>140</v>
      </c>
      <c r="P13" s="88" t="s">
        <v>140</v>
      </c>
      <c r="Q13" s="84" t="s">
        <v>141</v>
      </c>
      <c r="R13" s="88">
        <v>5</v>
      </c>
      <c r="S13" s="83" t="s">
        <v>140</v>
      </c>
      <c r="T13" s="83" t="s">
        <v>140</v>
      </c>
      <c r="U13" s="82" t="s">
        <v>139</v>
      </c>
      <c r="V13" s="82" t="s">
        <v>139</v>
      </c>
      <c r="W13" s="82" t="s">
        <v>139</v>
      </c>
      <c r="X13" s="104" t="s">
        <v>139</v>
      </c>
      <c r="Y13" s="82" t="s">
        <v>139</v>
      </c>
      <c r="Z13" s="83" t="s">
        <v>140</v>
      </c>
      <c r="AA13" s="83" t="s">
        <v>140</v>
      </c>
      <c r="AB13" s="88">
        <v>5</v>
      </c>
      <c r="AC13" s="88">
        <v>3</v>
      </c>
      <c r="AD13" s="88">
        <v>2.5</v>
      </c>
      <c r="AE13" s="88"/>
      <c r="AF13" s="88"/>
      <c r="AG13" s="83" t="s">
        <v>140</v>
      </c>
      <c r="AH13" s="85">
        <f t="shared" si="0"/>
        <v>18.5</v>
      </c>
    </row>
    <row r="14" spans="1:34" ht="30.75" thickBot="1">
      <c r="A14" s="80" t="s">
        <v>123</v>
      </c>
      <c r="B14" s="103" t="s">
        <v>159</v>
      </c>
      <c r="C14" s="82" t="s">
        <v>140</v>
      </c>
      <c r="D14" s="82" t="s">
        <v>140</v>
      </c>
      <c r="E14" s="83" t="s">
        <v>140</v>
      </c>
      <c r="F14" s="83" t="s">
        <v>140</v>
      </c>
      <c r="G14" s="82">
        <v>1</v>
      </c>
      <c r="H14" s="82">
        <v>2</v>
      </c>
      <c r="I14" s="82">
        <v>5</v>
      </c>
      <c r="J14" s="82">
        <v>5</v>
      </c>
      <c r="K14" s="82">
        <v>5</v>
      </c>
      <c r="L14" s="83" t="s">
        <v>140</v>
      </c>
      <c r="M14" s="83" t="s">
        <v>140</v>
      </c>
      <c r="N14" s="88" t="s">
        <v>140</v>
      </c>
      <c r="O14" s="88" t="s">
        <v>140</v>
      </c>
      <c r="P14" s="88" t="s">
        <v>140</v>
      </c>
      <c r="Q14" s="84" t="s">
        <v>141</v>
      </c>
      <c r="R14" s="88">
        <v>5</v>
      </c>
      <c r="S14" s="83" t="s">
        <v>140</v>
      </c>
      <c r="T14" s="83" t="s">
        <v>140</v>
      </c>
      <c r="U14" s="82">
        <v>5</v>
      </c>
      <c r="V14" s="82">
        <v>5</v>
      </c>
      <c r="W14" s="82">
        <v>5</v>
      </c>
      <c r="X14" s="104">
        <v>8</v>
      </c>
      <c r="Y14" s="82" t="s">
        <v>160</v>
      </c>
      <c r="Z14" s="83" t="s">
        <v>140</v>
      </c>
      <c r="AA14" s="83" t="s">
        <v>140</v>
      </c>
      <c r="AB14" s="82" t="s">
        <v>160</v>
      </c>
      <c r="AC14" s="82" t="s">
        <v>160</v>
      </c>
      <c r="AD14" s="82" t="s">
        <v>160</v>
      </c>
      <c r="AE14" s="82"/>
      <c r="AF14" s="82"/>
      <c r="AG14" s="83" t="s">
        <v>140</v>
      </c>
      <c r="AH14" s="85">
        <f t="shared" si="0"/>
        <v>46</v>
      </c>
    </row>
    <row r="15" spans="1:34" ht="15.75" thickBot="1">
      <c r="A15" s="80" t="s">
        <v>110</v>
      </c>
      <c r="B15" s="103" t="s">
        <v>159</v>
      </c>
      <c r="C15" s="82" t="s">
        <v>140</v>
      </c>
      <c r="D15" s="82" t="s">
        <v>140</v>
      </c>
      <c r="E15" s="83" t="s">
        <v>140</v>
      </c>
      <c r="F15" s="83" t="s">
        <v>140</v>
      </c>
      <c r="G15" s="82">
        <v>1</v>
      </c>
      <c r="H15" s="82">
        <v>5</v>
      </c>
      <c r="I15" s="82">
        <v>5</v>
      </c>
      <c r="J15" s="82">
        <v>5</v>
      </c>
      <c r="K15" s="82">
        <v>5</v>
      </c>
      <c r="L15" s="83" t="s">
        <v>140</v>
      </c>
      <c r="M15" s="83" t="s">
        <v>140</v>
      </c>
      <c r="N15" s="88">
        <v>5</v>
      </c>
      <c r="O15" s="88">
        <v>5</v>
      </c>
      <c r="P15" s="88">
        <v>5</v>
      </c>
      <c r="Q15" s="84" t="s">
        <v>141</v>
      </c>
      <c r="R15" s="88" t="s">
        <v>140</v>
      </c>
      <c r="S15" s="83" t="s">
        <v>140</v>
      </c>
      <c r="T15" s="83" t="s">
        <v>140</v>
      </c>
      <c r="U15" s="82">
        <v>5</v>
      </c>
      <c r="V15" s="82">
        <v>5</v>
      </c>
      <c r="W15" s="82">
        <v>5</v>
      </c>
      <c r="X15" s="104">
        <v>8</v>
      </c>
      <c r="Y15" s="82">
        <v>8</v>
      </c>
      <c r="Z15" s="83" t="s">
        <v>140</v>
      </c>
      <c r="AA15" s="83" t="s">
        <v>140</v>
      </c>
      <c r="AB15" s="82">
        <v>8</v>
      </c>
      <c r="AC15" s="82">
        <v>8</v>
      </c>
      <c r="AD15" s="82">
        <v>8</v>
      </c>
      <c r="AE15" s="82"/>
      <c r="AF15" s="82"/>
      <c r="AG15" s="83" t="s">
        <v>140</v>
      </c>
      <c r="AH15" s="85">
        <f t="shared" si="0"/>
        <v>91</v>
      </c>
    </row>
    <row r="16" spans="1:34" ht="15.75" thickBot="1">
      <c r="A16" s="80" t="s">
        <v>86</v>
      </c>
      <c r="B16" s="103" t="s">
        <v>159</v>
      </c>
      <c r="C16" s="87" t="s">
        <v>140</v>
      </c>
      <c r="D16" s="87" t="s">
        <v>140</v>
      </c>
      <c r="E16" s="86" t="s">
        <v>140</v>
      </c>
      <c r="F16" s="86" t="s">
        <v>140</v>
      </c>
      <c r="G16" s="87" t="s">
        <v>140</v>
      </c>
      <c r="H16" s="87" t="s">
        <v>140</v>
      </c>
      <c r="I16" s="87" t="s">
        <v>140</v>
      </c>
      <c r="J16" s="87" t="s">
        <v>140</v>
      </c>
      <c r="K16" s="87" t="s">
        <v>140</v>
      </c>
      <c r="L16" s="83" t="s">
        <v>140</v>
      </c>
      <c r="M16" s="83" t="s">
        <v>140</v>
      </c>
      <c r="N16" s="88">
        <v>5</v>
      </c>
      <c r="O16" s="88">
        <v>5</v>
      </c>
      <c r="P16" s="88">
        <v>5</v>
      </c>
      <c r="Q16" s="84" t="s">
        <v>141</v>
      </c>
      <c r="R16" s="88" t="s">
        <v>139</v>
      </c>
      <c r="S16" s="83" t="s">
        <v>140</v>
      </c>
      <c r="T16" s="83" t="s">
        <v>140</v>
      </c>
      <c r="U16" s="87">
        <v>5</v>
      </c>
      <c r="V16" s="87">
        <v>5</v>
      </c>
      <c r="W16" s="87">
        <v>5</v>
      </c>
      <c r="X16" s="105">
        <v>5</v>
      </c>
      <c r="Y16" s="87">
        <v>5</v>
      </c>
      <c r="Z16" s="83" t="s">
        <v>140</v>
      </c>
      <c r="AA16" s="83" t="s">
        <v>140</v>
      </c>
      <c r="AB16" s="87" t="s">
        <v>160</v>
      </c>
      <c r="AC16" s="87">
        <v>5</v>
      </c>
      <c r="AD16" s="87">
        <v>5</v>
      </c>
      <c r="AE16" s="87"/>
      <c r="AF16" s="87"/>
      <c r="AG16" s="83" t="s">
        <v>140</v>
      </c>
      <c r="AH16" s="85">
        <f t="shared" si="0"/>
        <v>50</v>
      </c>
    </row>
    <row r="17" spans="1:34" ht="15.75" thickBot="1">
      <c r="A17" s="80" t="s">
        <v>113</v>
      </c>
      <c r="B17" s="103" t="s">
        <v>159</v>
      </c>
      <c r="C17" s="88" t="s">
        <v>140</v>
      </c>
      <c r="D17" s="88" t="s">
        <v>140</v>
      </c>
      <c r="E17" s="86" t="s">
        <v>140</v>
      </c>
      <c r="F17" s="86" t="s">
        <v>140</v>
      </c>
      <c r="G17" s="88">
        <v>1</v>
      </c>
      <c r="H17" s="88">
        <v>5</v>
      </c>
      <c r="I17" s="88">
        <v>5</v>
      </c>
      <c r="J17" s="88">
        <v>5</v>
      </c>
      <c r="K17" s="88">
        <v>5</v>
      </c>
      <c r="L17" s="83" t="s">
        <v>140</v>
      </c>
      <c r="M17" s="83" t="s">
        <v>140</v>
      </c>
      <c r="N17" s="88">
        <v>5</v>
      </c>
      <c r="O17" s="88">
        <v>5</v>
      </c>
      <c r="P17" s="88">
        <v>5</v>
      </c>
      <c r="Q17" s="84" t="s">
        <v>141</v>
      </c>
      <c r="R17" s="88" t="s">
        <v>140</v>
      </c>
      <c r="S17" s="83" t="s">
        <v>140</v>
      </c>
      <c r="T17" s="83" t="s">
        <v>140</v>
      </c>
      <c r="U17" s="87">
        <v>5</v>
      </c>
      <c r="V17" s="87">
        <v>5</v>
      </c>
      <c r="W17" s="87">
        <v>5</v>
      </c>
      <c r="X17" s="105">
        <v>7</v>
      </c>
      <c r="Y17" s="87">
        <v>7</v>
      </c>
      <c r="Z17" s="83" t="s">
        <v>140</v>
      </c>
      <c r="AA17" s="83" t="s">
        <v>140</v>
      </c>
      <c r="AB17" s="87">
        <v>7</v>
      </c>
      <c r="AC17" s="87">
        <v>7</v>
      </c>
      <c r="AD17" s="87">
        <v>7</v>
      </c>
      <c r="AE17" s="88"/>
      <c r="AF17" s="88"/>
      <c r="AG17" s="83" t="s">
        <v>140</v>
      </c>
      <c r="AH17" s="85">
        <f t="shared" si="0"/>
        <v>86</v>
      </c>
    </row>
    <row r="18" spans="1:34" ht="15.75" thickBot="1">
      <c r="A18" s="89" t="s">
        <v>149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5">
        <f>SUM(AH3:AH17)</f>
        <v>666.5</v>
      </c>
    </row>
    <row r="19" spans="1:34" ht="60.75" thickBot="1">
      <c r="A19" s="77" t="s">
        <v>150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spans="1:34" ht="15.75" thickBot="1">
      <c r="A20" s="80" t="s">
        <v>151</v>
      </c>
      <c r="B20" s="103" t="s">
        <v>159</v>
      </c>
      <c r="C20" s="85" t="s">
        <v>152</v>
      </c>
      <c r="D20" s="85" t="s">
        <v>152</v>
      </c>
      <c r="E20" s="90" t="s">
        <v>140</v>
      </c>
      <c r="F20" s="90" t="s">
        <v>140</v>
      </c>
      <c r="G20" s="85">
        <v>5</v>
      </c>
      <c r="H20" s="85">
        <v>5</v>
      </c>
      <c r="I20" s="85" t="s">
        <v>161</v>
      </c>
      <c r="J20" s="85" t="s">
        <v>152</v>
      </c>
      <c r="K20" s="85" t="s">
        <v>152</v>
      </c>
      <c r="L20" s="90" t="s">
        <v>140</v>
      </c>
      <c r="M20" s="90" t="s">
        <v>140</v>
      </c>
      <c r="N20" s="85" t="s">
        <v>152</v>
      </c>
      <c r="O20" s="85" t="s">
        <v>152</v>
      </c>
      <c r="P20" s="85" t="s">
        <v>152</v>
      </c>
      <c r="Q20" s="84" t="s">
        <v>141</v>
      </c>
      <c r="R20" s="85" t="s">
        <v>152</v>
      </c>
      <c r="S20" s="90" t="s">
        <v>140</v>
      </c>
      <c r="T20" s="90" t="s">
        <v>140</v>
      </c>
      <c r="U20" s="85" t="s">
        <v>152</v>
      </c>
      <c r="V20" s="85" t="s">
        <v>152</v>
      </c>
      <c r="W20" s="85" t="s">
        <v>152</v>
      </c>
      <c r="X20" s="106" t="s">
        <v>152</v>
      </c>
      <c r="Y20" s="85" t="s">
        <v>152</v>
      </c>
      <c r="Z20" s="90" t="s">
        <v>140</v>
      </c>
      <c r="AA20" s="90" t="s">
        <v>140</v>
      </c>
      <c r="AB20" s="85" t="s">
        <v>152</v>
      </c>
      <c r="AC20" s="85" t="s">
        <v>152</v>
      </c>
      <c r="AD20" s="85" t="s">
        <v>152</v>
      </c>
      <c r="AE20" s="85" t="s">
        <v>152</v>
      </c>
      <c r="AF20" s="85" t="s">
        <v>152</v>
      </c>
      <c r="AG20" s="90" t="s">
        <v>140</v>
      </c>
      <c r="AH20" s="91">
        <f>SUM(C20:AG20)</f>
        <v>10</v>
      </c>
    </row>
    <row r="21" spans="1:34" ht="15.75" thickBot="1">
      <c r="A21" s="80" t="s">
        <v>127</v>
      </c>
      <c r="B21" s="103" t="s">
        <v>159</v>
      </c>
      <c r="C21" s="85" t="s">
        <v>152</v>
      </c>
      <c r="D21" s="85" t="s">
        <v>152</v>
      </c>
      <c r="E21" s="90" t="s">
        <v>140</v>
      </c>
      <c r="F21" s="90" t="s">
        <v>140</v>
      </c>
      <c r="G21" s="85">
        <v>5</v>
      </c>
      <c r="H21" s="85">
        <v>5</v>
      </c>
      <c r="I21" s="85">
        <v>5</v>
      </c>
      <c r="J21" s="85">
        <v>5</v>
      </c>
      <c r="K21" s="85">
        <v>5</v>
      </c>
      <c r="L21" s="90" t="s">
        <v>140</v>
      </c>
      <c r="M21" s="90" t="s">
        <v>140</v>
      </c>
      <c r="N21" s="85">
        <v>5</v>
      </c>
      <c r="O21" s="85">
        <v>5</v>
      </c>
      <c r="P21" s="85">
        <v>5</v>
      </c>
      <c r="Q21" s="84" t="s">
        <v>141</v>
      </c>
      <c r="R21" s="85">
        <v>5</v>
      </c>
      <c r="S21" s="90" t="s">
        <v>140</v>
      </c>
      <c r="T21" s="90" t="s">
        <v>140</v>
      </c>
      <c r="U21" s="85">
        <v>5</v>
      </c>
      <c r="V21" s="85">
        <v>5</v>
      </c>
      <c r="W21" s="85" t="s">
        <v>152</v>
      </c>
      <c r="X21" s="106" t="s">
        <v>152</v>
      </c>
      <c r="Y21" s="85" t="s">
        <v>152</v>
      </c>
      <c r="Z21" s="90" t="s">
        <v>140</v>
      </c>
      <c r="AA21" s="90" t="s">
        <v>140</v>
      </c>
      <c r="AB21" s="85" t="s">
        <v>152</v>
      </c>
      <c r="AC21" s="85">
        <v>5</v>
      </c>
      <c r="AD21" s="85">
        <v>5</v>
      </c>
      <c r="AE21" s="85">
        <v>5</v>
      </c>
      <c r="AF21" s="85">
        <v>5</v>
      </c>
      <c r="AG21" s="90" t="s">
        <v>140</v>
      </c>
      <c r="AH21" s="91">
        <f t="shared" ref="AH21:AH31" si="1">SUM(C21:AG21)</f>
        <v>75</v>
      </c>
    </row>
    <row r="22" spans="1:34" ht="15.75" thickBot="1">
      <c r="A22" s="80" t="s">
        <v>121</v>
      </c>
      <c r="B22" s="103" t="s">
        <v>159</v>
      </c>
      <c r="C22" s="92" t="s">
        <v>148</v>
      </c>
      <c r="D22" s="85" t="s">
        <v>152</v>
      </c>
      <c r="E22" s="93" t="s">
        <v>140</v>
      </c>
      <c r="F22" s="93" t="s">
        <v>140</v>
      </c>
      <c r="G22" s="85">
        <v>5</v>
      </c>
      <c r="H22" s="85">
        <v>5</v>
      </c>
      <c r="I22" s="85" t="s">
        <v>152</v>
      </c>
      <c r="J22" s="85" t="s">
        <v>152</v>
      </c>
      <c r="K22" s="85" t="s">
        <v>152</v>
      </c>
      <c r="L22" s="93" t="s">
        <v>140</v>
      </c>
      <c r="M22" s="93" t="s">
        <v>140</v>
      </c>
      <c r="N22" s="85" t="s">
        <v>152</v>
      </c>
      <c r="O22" s="85" t="s">
        <v>152</v>
      </c>
      <c r="P22" s="85" t="s">
        <v>152</v>
      </c>
      <c r="Q22" s="84" t="s">
        <v>141</v>
      </c>
      <c r="R22" s="85" t="s">
        <v>152</v>
      </c>
      <c r="S22" s="93" t="s">
        <v>140</v>
      </c>
      <c r="T22" s="94" t="s">
        <v>140</v>
      </c>
      <c r="U22" s="85">
        <v>8</v>
      </c>
      <c r="V22" s="85">
        <v>8</v>
      </c>
      <c r="W22" s="85">
        <v>8</v>
      </c>
      <c r="X22" s="106">
        <v>8</v>
      </c>
      <c r="Y22" s="85">
        <v>8</v>
      </c>
      <c r="Z22" s="92" t="s">
        <v>140</v>
      </c>
      <c r="AA22" s="92" t="s">
        <v>140</v>
      </c>
      <c r="AB22" s="92">
        <v>8</v>
      </c>
      <c r="AC22" s="92">
        <v>8</v>
      </c>
      <c r="AD22" s="92">
        <v>8</v>
      </c>
      <c r="AE22" s="92">
        <v>8</v>
      </c>
      <c r="AF22" s="92">
        <v>8</v>
      </c>
      <c r="AG22" s="94" t="s">
        <v>140</v>
      </c>
      <c r="AH22" s="91">
        <f t="shared" si="1"/>
        <v>90</v>
      </c>
    </row>
    <row r="23" spans="1:34" ht="15.75" thickBot="1">
      <c r="A23" s="80" t="s">
        <v>154</v>
      </c>
      <c r="B23" s="103" t="s">
        <v>159</v>
      </c>
      <c r="C23" s="85" t="s">
        <v>152</v>
      </c>
      <c r="D23" s="85" t="s">
        <v>152</v>
      </c>
      <c r="E23" s="90" t="s">
        <v>140</v>
      </c>
      <c r="F23" s="90" t="s">
        <v>140</v>
      </c>
      <c r="G23" s="85">
        <v>5</v>
      </c>
      <c r="H23" s="85">
        <v>5</v>
      </c>
      <c r="I23" s="85">
        <v>5</v>
      </c>
      <c r="J23" s="85">
        <v>5</v>
      </c>
      <c r="K23" s="85">
        <v>5</v>
      </c>
      <c r="L23" s="90" t="s">
        <v>140</v>
      </c>
      <c r="M23" s="90" t="s">
        <v>140</v>
      </c>
      <c r="N23" s="85">
        <v>5</v>
      </c>
      <c r="O23" s="85">
        <v>5</v>
      </c>
      <c r="P23" s="85">
        <v>5</v>
      </c>
      <c r="Q23" s="84" t="s">
        <v>141</v>
      </c>
      <c r="R23" s="85">
        <v>5</v>
      </c>
      <c r="S23" s="90" t="s">
        <v>140</v>
      </c>
      <c r="T23" s="90" t="s">
        <v>140</v>
      </c>
      <c r="U23" s="85" t="s">
        <v>160</v>
      </c>
      <c r="V23" s="85" t="s">
        <v>160</v>
      </c>
      <c r="W23" s="85" t="s">
        <v>152</v>
      </c>
      <c r="X23" s="106" t="s">
        <v>152</v>
      </c>
      <c r="Y23" s="85" t="s">
        <v>152</v>
      </c>
      <c r="Z23" s="90" t="s">
        <v>140</v>
      </c>
      <c r="AA23" s="90" t="s">
        <v>140</v>
      </c>
      <c r="AB23" s="85" t="s">
        <v>152</v>
      </c>
      <c r="AC23" s="85">
        <v>5</v>
      </c>
      <c r="AD23" s="85">
        <v>5</v>
      </c>
      <c r="AE23" s="85">
        <v>5</v>
      </c>
      <c r="AF23" s="85">
        <v>5</v>
      </c>
      <c r="AG23" s="90" t="s">
        <v>140</v>
      </c>
      <c r="AH23" s="91">
        <f t="shared" si="1"/>
        <v>65</v>
      </c>
    </row>
    <row r="24" spans="1:34" ht="30.75" thickBot="1">
      <c r="A24" s="80" t="s">
        <v>155</v>
      </c>
      <c r="B24" s="103" t="s">
        <v>159</v>
      </c>
      <c r="C24" s="85" t="s">
        <v>152</v>
      </c>
      <c r="D24" s="85" t="s">
        <v>152</v>
      </c>
      <c r="E24" s="90" t="s">
        <v>140</v>
      </c>
      <c r="F24" s="90" t="s">
        <v>140</v>
      </c>
      <c r="G24" s="85">
        <v>5</v>
      </c>
      <c r="H24" s="85">
        <v>5</v>
      </c>
      <c r="I24" s="85">
        <v>5</v>
      </c>
      <c r="J24" s="85" t="s">
        <v>152</v>
      </c>
      <c r="K24" s="85" t="s">
        <v>152</v>
      </c>
      <c r="L24" s="90" t="s">
        <v>140</v>
      </c>
      <c r="M24" s="90" t="s">
        <v>140</v>
      </c>
      <c r="N24" s="85" t="s">
        <v>152</v>
      </c>
      <c r="O24" s="85" t="s">
        <v>152</v>
      </c>
      <c r="P24" s="85" t="s">
        <v>152</v>
      </c>
      <c r="Q24" s="84" t="s">
        <v>141</v>
      </c>
      <c r="R24" s="85" t="s">
        <v>152</v>
      </c>
      <c r="S24" s="90" t="s">
        <v>140</v>
      </c>
      <c r="T24" s="90" t="s">
        <v>140</v>
      </c>
      <c r="U24" s="85">
        <v>5</v>
      </c>
      <c r="V24" s="85">
        <v>5</v>
      </c>
      <c r="W24" s="85">
        <v>5</v>
      </c>
      <c r="X24" s="106">
        <v>5</v>
      </c>
      <c r="Y24" s="85">
        <v>5</v>
      </c>
      <c r="Z24" s="90" t="s">
        <v>140</v>
      </c>
      <c r="AA24" s="90" t="s">
        <v>140</v>
      </c>
      <c r="AB24" s="85">
        <v>5</v>
      </c>
      <c r="AC24" s="85">
        <v>5</v>
      </c>
      <c r="AD24" s="85">
        <v>5</v>
      </c>
      <c r="AE24" s="85">
        <v>5</v>
      </c>
      <c r="AF24" s="85">
        <v>5</v>
      </c>
      <c r="AG24" s="90" t="s">
        <v>140</v>
      </c>
      <c r="AH24" s="91">
        <f t="shared" si="1"/>
        <v>65</v>
      </c>
    </row>
    <row r="25" spans="1:34" ht="15.75" thickBot="1">
      <c r="A25" s="80" t="s">
        <v>117</v>
      </c>
      <c r="B25" s="103" t="s">
        <v>159</v>
      </c>
      <c r="C25" s="85" t="s">
        <v>152</v>
      </c>
      <c r="D25" s="85" t="s">
        <v>152</v>
      </c>
      <c r="E25" s="90" t="s">
        <v>140</v>
      </c>
      <c r="F25" s="90" t="s">
        <v>140</v>
      </c>
      <c r="G25" s="85">
        <v>5</v>
      </c>
      <c r="H25" s="85">
        <v>5</v>
      </c>
      <c r="I25" s="85">
        <v>5</v>
      </c>
      <c r="J25" s="85">
        <v>5</v>
      </c>
      <c r="K25" s="85">
        <v>5</v>
      </c>
      <c r="L25" s="90" t="s">
        <v>140</v>
      </c>
      <c r="M25" s="90" t="s">
        <v>140</v>
      </c>
      <c r="N25" s="85">
        <v>8</v>
      </c>
      <c r="O25" s="85">
        <v>8</v>
      </c>
      <c r="P25" s="85">
        <v>8</v>
      </c>
      <c r="Q25" s="84" t="s">
        <v>141</v>
      </c>
      <c r="R25" s="85">
        <v>8</v>
      </c>
      <c r="S25" s="90" t="s">
        <v>140</v>
      </c>
      <c r="T25" s="90" t="s">
        <v>140</v>
      </c>
      <c r="U25" s="85">
        <v>8</v>
      </c>
      <c r="V25" s="85">
        <v>8</v>
      </c>
      <c r="W25" s="85">
        <v>8</v>
      </c>
      <c r="X25" s="106">
        <v>8</v>
      </c>
      <c r="Y25" s="85">
        <v>8</v>
      </c>
      <c r="Z25" s="90" t="s">
        <v>140</v>
      </c>
      <c r="AA25" s="90" t="s">
        <v>140</v>
      </c>
      <c r="AB25" s="107"/>
      <c r="AC25" s="95"/>
      <c r="AD25" s="95"/>
      <c r="AE25" s="95"/>
      <c r="AF25" s="95"/>
      <c r="AG25" s="90" t="s">
        <v>140</v>
      </c>
      <c r="AH25" s="91">
        <f t="shared" si="1"/>
        <v>97</v>
      </c>
    </row>
    <row r="26" spans="1:34" ht="15.75" thickBot="1">
      <c r="A26" s="80" t="s">
        <v>112</v>
      </c>
      <c r="B26" s="103" t="s">
        <v>159</v>
      </c>
      <c r="C26" s="85" t="s">
        <v>152</v>
      </c>
      <c r="D26" s="85" t="s">
        <v>152</v>
      </c>
      <c r="E26" s="90" t="s">
        <v>140</v>
      </c>
      <c r="F26" s="90" t="s">
        <v>140</v>
      </c>
      <c r="G26" s="85">
        <v>5</v>
      </c>
      <c r="H26" s="85">
        <v>5</v>
      </c>
      <c r="I26" s="85">
        <v>5</v>
      </c>
      <c r="J26" s="85">
        <v>5</v>
      </c>
      <c r="K26" s="85">
        <v>5</v>
      </c>
      <c r="L26" s="90" t="s">
        <v>140</v>
      </c>
      <c r="M26" s="90" t="s">
        <v>140</v>
      </c>
      <c r="N26" s="85">
        <v>8</v>
      </c>
      <c r="O26" s="85">
        <v>8</v>
      </c>
      <c r="P26" s="85">
        <v>8</v>
      </c>
      <c r="Q26" s="84" t="s">
        <v>141</v>
      </c>
      <c r="R26" s="85">
        <v>8</v>
      </c>
      <c r="S26" s="90" t="s">
        <v>140</v>
      </c>
      <c r="T26" s="90" t="s">
        <v>140</v>
      </c>
      <c r="U26" s="85">
        <v>8</v>
      </c>
      <c r="V26" s="85">
        <v>8</v>
      </c>
      <c r="W26" s="85">
        <v>8</v>
      </c>
      <c r="X26" s="106">
        <v>8</v>
      </c>
      <c r="Y26" s="85">
        <v>8</v>
      </c>
      <c r="Z26" s="90" t="s">
        <v>140</v>
      </c>
      <c r="AA26" s="90" t="s">
        <v>140</v>
      </c>
      <c r="AB26" s="85">
        <v>8</v>
      </c>
      <c r="AC26" s="85">
        <v>8</v>
      </c>
      <c r="AD26" s="85">
        <v>8</v>
      </c>
      <c r="AE26" s="85">
        <v>8</v>
      </c>
      <c r="AF26" s="85">
        <v>8</v>
      </c>
      <c r="AG26" s="90" t="s">
        <v>140</v>
      </c>
      <c r="AH26" s="91">
        <f t="shared" si="1"/>
        <v>137</v>
      </c>
    </row>
    <row r="27" spans="1:34" ht="15.75" thickBot="1">
      <c r="A27" s="80" t="s">
        <v>156</v>
      </c>
      <c r="B27" s="103" t="s">
        <v>159</v>
      </c>
      <c r="C27" s="85" t="s">
        <v>152</v>
      </c>
      <c r="D27" s="85" t="s">
        <v>152</v>
      </c>
      <c r="E27" s="90" t="s">
        <v>140</v>
      </c>
      <c r="F27" s="90" t="s">
        <v>140</v>
      </c>
      <c r="G27" s="85">
        <v>5</v>
      </c>
      <c r="H27" s="85">
        <v>5</v>
      </c>
      <c r="I27" s="85">
        <v>5</v>
      </c>
      <c r="J27" s="85">
        <v>5</v>
      </c>
      <c r="K27" s="85">
        <v>5</v>
      </c>
      <c r="L27" s="90" t="s">
        <v>140</v>
      </c>
      <c r="M27" s="90" t="s">
        <v>140</v>
      </c>
      <c r="N27" s="85">
        <v>5</v>
      </c>
      <c r="O27" s="85">
        <v>5</v>
      </c>
      <c r="P27" s="85">
        <v>5</v>
      </c>
      <c r="Q27" s="84" t="s">
        <v>141</v>
      </c>
      <c r="R27" s="85">
        <v>5</v>
      </c>
      <c r="S27" s="90" t="s">
        <v>140</v>
      </c>
      <c r="T27" s="90" t="s">
        <v>140</v>
      </c>
      <c r="U27" s="85">
        <v>5</v>
      </c>
      <c r="V27" s="85">
        <v>5</v>
      </c>
      <c r="W27" s="85" t="s">
        <v>152</v>
      </c>
      <c r="X27" s="106" t="s">
        <v>152</v>
      </c>
      <c r="Y27" s="85" t="s">
        <v>152</v>
      </c>
      <c r="Z27" s="90" t="s">
        <v>140</v>
      </c>
      <c r="AA27" s="90" t="s">
        <v>140</v>
      </c>
      <c r="AB27" s="95"/>
      <c r="AC27" s="95"/>
      <c r="AD27" s="95"/>
      <c r="AE27" s="95"/>
      <c r="AF27" s="95"/>
      <c r="AG27" s="90" t="s">
        <v>140</v>
      </c>
      <c r="AH27" s="91">
        <f t="shared" si="1"/>
        <v>55</v>
      </c>
    </row>
    <row r="28" spans="1:34" ht="15.75" thickBot="1">
      <c r="A28" s="80" t="s">
        <v>114</v>
      </c>
      <c r="B28" s="103" t="s">
        <v>159</v>
      </c>
      <c r="C28" s="85" t="s">
        <v>152</v>
      </c>
      <c r="D28" s="85" t="s">
        <v>152</v>
      </c>
      <c r="E28" s="90" t="s">
        <v>140</v>
      </c>
      <c r="F28" s="90" t="s">
        <v>140</v>
      </c>
      <c r="G28" s="85">
        <v>5</v>
      </c>
      <c r="H28" s="85" t="s">
        <v>161</v>
      </c>
      <c r="I28" s="85" t="s">
        <v>161</v>
      </c>
      <c r="J28" s="85" t="s">
        <v>152</v>
      </c>
      <c r="K28" s="85" t="s">
        <v>152</v>
      </c>
      <c r="L28" s="90" t="s">
        <v>140</v>
      </c>
      <c r="M28" s="90" t="s">
        <v>140</v>
      </c>
      <c r="N28" s="85">
        <v>8</v>
      </c>
      <c r="O28" s="85">
        <v>8</v>
      </c>
      <c r="P28" s="85">
        <v>8</v>
      </c>
      <c r="Q28" s="84" t="s">
        <v>141</v>
      </c>
      <c r="R28" s="85">
        <v>8</v>
      </c>
      <c r="S28" s="90" t="s">
        <v>140</v>
      </c>
      <c r="T28" s="90" t="s">
        <v>140</v>
      </c>
      <c r="U28" s="85">
        <v>8</v>
      </c>
      <c r="V28" s="85">
        <v>8</v>
      </c>
      <c r="W28" s="85">
        <v>8</v>
      </c>
      <c r="X28" s="106">
        <v>8</v>
      </c>
      <c r="Y28" s="85">
        <v>8</v>
      </c>
      <c r="Z28" s="90" t="s">
        <v>140</v>
      </c>
      <c r="AA28" s="90" t="s">
        <v>140</v>
      </c>
      <c r="AB28" s="85">
        <v>8</v>
      </c>
      <c r="AC28" s="85">
        <v>8</v>
      </c>
      <c r="AD28" s="85">
        <v>8</v>
      </c>
      <c r="AE28" s="85">
        <v>8</v>
      </c>
      <c r="AF28" s="85">
        <v>8</v>
      </c>
      <c r="AG28" s="90" t="s">
        <v>140</v>
      </c>
      <c r="AH28" s="91">
        <f t="shared" si="1"/>
        <v>117</v>
      </c>
    </row>
    <row r="29" spans="1:34" ht="15.75" thickBot="1">
      <c r="A29" s="80" t="s">
        <v>157</v>
      </c>
      <c r="B29" s="103" t="s">
        <v>159</v>
      </c>
      <c r="C29" s="85" t="s">
        <v>152</v>
      </c>
      <c r="D29" s="85" t="s">
        <v>152</v>
      </c>
      <c r="E29" s="90" t="s">
        <v>140</v>
      </c>
      <c r="F29" s="90" t="s">
        <v>140</v>
      </c>
      <c r="G29" s="85">
        <v>5</v>
      </c>
      <c r="H29" s="85">
        <v>5</v>
      </c>
      <c r="I29" s="85">
        <v>5</v>
      </c>
      <c r="J29" s="85">
        <v>5</v>
      </c>
      <c r="K29" s="85">
        <v>5</v>
      </c>
      <c r="L29" s="90" t="s">
        <v>140</v>
      </c>
      <c r="M29" s="90" t="s">
        <v>140</v>
      </c>
      <c r="N29" s="85">
        <v>8</v>
      </c>
      <c r="O29" s="85">
        <v>8</v>
      </c>
      <c r="P29" s="85">
        <v>8</v>
      </c>
      <c r="Q29" s="84" t="s">
        <v>141</v>
      </c>
      <c r="R29" s="85">
        <v>8</v>
      </c>
      <c r="S29" s="90" t="s">
        <v>140</v>
      </c>
      <c r="T29" s="90" t="s">
        <v>140</v>
      </c>
      <c r="U29" s="85">
        <v>8</v>
      </c>
      <c r="V29" s="85">
        <v>8</v>
      </c>
      <c r="W29" s="85">
        <v>8</v>
      </c>
      <c r="X29" s="106">
        <v>8</v>
      </c>
      <c r="Y29" s="85">
        <v>8</v>
      </c>
      <c r="Z29" s="90" t="s">
        <v>140</v>
      </c>
      <c r="AA29" s="90" t="s">
        <v>140</v>
      </c>
      <c r="AB29" s="85">
        <v>8</v>
      </c>
      <c r="AC29" s="85" t="s">
        <v>152</v>
      </c>
      <c r="AD29" s="85" t="s">
        <v>152</v>
      </c>
      <c r="AE29" s="85" t="s">
        <v>152</v>
      </c>
      <c r="AF29" s="85" t="s">
        <v>152</v>
      </c>
      <c r="AG29" s="90" t="s">
        <v>140</v>
      </c>
      <c r="AH29" s="91">
        <f t="shared" si="1"/>
        <v>105</v>
      </c>
    </row>
    <row r="30" spans="1:34" ht="15.75" thickBot="1">
      <c r="A30" s="80" t="s">
        <v>116</v>
      </c>
      <c r="B30" s="103" t="s">
        <v>159</v>
      </c>
      <c r="C30" s="85" t="s">
        <v>152</v>
      </c>
      <c r="D30" s="85" t="s">
        <v>152</v>
      </c>
      <c r="E30" s="90" t="s">
        <v>140</v>
      </c>
      <c r="F30" s="90" t="s">
        <v>140</v>
      </c>
      <c r="G30" s="85">
        <v>5</v>
      </c>
      <c r="H30" s="85">
        <v>5</v>
      </c>
      <c r="I30" s="85">
        <v>5</v>
      </c>
      <c r="J30" s="85">
        <v>5</v>
      </c>
      <c r="K30" s="85">
        <v>5</v>
      </c>
      <c r="L30" s="90" t="s">
        <v>140</v>
      </c>
      <c r="M30" s="90" t="s">
        <v>140</v>
      </c>
      <c r="N30" s="85">
        <v>5</v>
      </c>
      <c r="O30" s="85">
        <v>5</v>
      </c>
      <c r="P30" s="85">
        <v>5</v>
      </c>
      <c r="Q30" s="84" t="s">
        <v>141</v>
      </c>
      <c r="R30" s="85">
        <v>5</v>
      </c>
      <c r="S30" s="90" t="s">
        <v>140</v>
      </c>
      <c r="T30" s="90" t="s">
        <v>140</v>
      </c>
      <c r="U30" s="85">
        <v>5</v>
      </c>
      <c r="V30" s="85">
        <v>5</v>
      </c>
      <c r="W30" s="85">
        <v>5</v>
      </c>
      <c r="X30" s="106">
        <v>5</v>
      </c>
      <c r="Y30" s="85">
        <v>5</v>
      </c>
      <c r="Z30" s="90" t="s">
        <v>140</v>
      </c>
      <c r="AA30" s="90" t="s">
        <v>140</v>
      </c>
      <c r="AB30" s="85">
        <v>5</v>
      </c>
      <c r="AC30" s="85">
        <v>5</v>
      </c>
      <c r="AD30" s="85">
        <v>5</v>
      </c>
      <c r="AE30" s="85">
        <v>5</v>
      </c>
      <c r="AF30" s="85">
        <v>5</v>
      </c>
      <c r="AG30" s="90" t="s">
        <v>140</v>
      </c>
      <c r="AH30" s="91">
        <f t="shared" si="1"/>
        <v>95</v>
      </c>
    </row>
    <row r="31" spans="1:34" ht="30.75" thickBot="1">
      <c r="A31" s="80" t="s">
        <v>119</v>
      </c>
      <c r="B31" s="103" t="s">
        <v>159</v>
      </c>
      <c r="C31" s="85" t="s">
        <v>152</v>
      </c>
      <c r="D31" s="85" t="s">
        <v>152</v>
      </c>
      <c r="E31" s="90" t="s">
        <v>140</v>
      </c>
      <c r="F31" s="90" t="s">
        <v>140</v>
      </c>
      <c r="G31" s="85">
        <v>5</v>
      </c>
      <c r="H31" s="85">
        <v>5</v>
      </c>
      <c r="I31" s="85">
        <v>5</v>
      </c>
      <c r="J31" s="85" t="s">
        <v>152</v>
      </c>
      <c r="K31" s="85" t="s">
        <v>152</v>
      </c>
      <c r="L31" s="90" t="s">
        <v>140</v>
      </c>
      <c r="M31" s="90" t="s">
        <v>140</v>
      </c>
      <c r="N31" s="85" t="s">
        <v>152</v>
      </c>
      <c r="O31" s="85" t="s">
        <v>152</v>
      </c>
      <c r="P31" s="85" t="s">
        <v>152</v>
      </c>
      <c r="Q31" s="84" t="s">
        <v>141</v>
      </c>
      <c r="R31" s="85" t="s">
        <v>152</v>
      </c>
      <c r="S31" s="90" t="s">
        <v>140</v>
      </c>
      <c r="T31" s="90" t="s">
        <v>140</v>
      </c>
      <c r="U31" s="85">
        <v>8</v>
      </c>
      <c r="V31" s="85">
        <v>8</v>
      </c>
      <c r="W31" s="85">
        <v>8</v>
      </c>
      <c r="X31" s="106">
        <v>8</v>
      </c>
      <c r="Y31" s="85">
        <v>8</v>
      </c>
      <c r="Z31" s="90" t="s">
        <v>140</v>
      </c>
      <c r="AA31" s="90" t="s">
        <v>140</v>
      </c>
      <c r="AB31" s="85">
        <v>8</v>
      </c>
      <c r="AC31" s="85" t="s">
        <v>152</v>
      </c>
      <c r="AD31" s="85" t="s">
        <v>152</v>
      </c>
      <c r="AE31" s="85" t="s">
        <v>152</v>
      </c>
      <c r="AF31" s="85" t="s">
        <v>152</v>
      </c>
      <c r="AG31" s="90" t="s">
        <v>140</v>
      </c>
      <c r="AH31" s="91">
        <f t="shared" si="1"/>
        <v>63</v>
      </c>
    </row>
    <row r="32" spans="1:34" ht="15.75" thickBot="1">
      <c r="A32" s="96" t="s">
        <v>149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7">
        <f>SUM(AH20:AH31)</f>
        <v>974</v>
      </c>
    </row>
    <row r="33" spans="1:34" ht="30.75" thickBot="1">
      <c r="A33" s="98" t="s">
        <v>158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9">
        <f>AH32+AH18</f>
        <v>1640.5</v>
      </c>
    </row>
  </sheetData>
  <mergeCells count="5">
    <mergeCell ref="A2:AH2"/>
    <mergeCell ref="A18:AG18"/>
    <mergeCell ref="A19:AH19"/>
    <mergeCell ref="A32:AG32"/>
    <mergeCell ref="A33:AG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2"/>
  <sheetViews>
    <sheetView workbookViewId="0">
      <selection activeCell="N12" sqref="N12"/>
    </sheetView>
  </sheetViews>
  <sheetFormatPr baseColWidth="10" defaultColWidth="14.42578125" defaultRowHeight="15" customHeight="1"/>
  <cols>
    <col min="1" max="1" width="9.140625" style="1" customWidth="1"/>
    <col min="2" max="2" width="13.140625" style="1" bestFit="1" customWidth="1"/>
    <col min="3" max="3" width="24.140625" style="1" bestFit="1" customWidth="1"/>
    <col min="4" max="4" width="8.5703125" style="1" bestFit="1" customWidth="1"/>
    <col min="5" max="5" width="22.5703125" style="1" hidden="1" customWidth="1"/>
    <col min="6" max="6" width="20.85546875" style="1" hidden="1" customWidth="1"/>
    <col min="7" max="7" width="22.28515625" style="2" customWidth="1"/>
    <col min="8" max="8" width="19.42578125" style="2" bestFit="1" customWidth="1"/>
    <col min="9" max="9" width="23.85546875" style="1" bestFit="1" customWidth="1"/>
    <col min="10" max="10" width="8.5703125" style="1" bestFit="1" customWidth="1"/>
    <col min="11" max="11" width="20.7109375" style="1" bestFit="1" customWidth="1"/>
    <col min="12" max="12" width="19.42578125" style="1" bestFit="1" customWidth="1"/>
    <col min="13" max="13" width="24.140625" style="1" bestFit="1" customWidth="1"/>
    <col min="14" max="14" width="8.5703125" style="1" bestFit="1" customWidth="1"/>
    <col min="15" max="16384" width="14.42578125" style="1"/>
  </cols>
  <sheetData>
    <row r="1" spans="1:14" ht="14.25">
      <c r="A1" s="2"/>
      <c r="B1" s="2"/>
      <c r="C1" s="2"/>
      <c r="D1" s="2"/>
      <c r="E1" s="2"/>
      <c r="F1" s="2"/>
      <c r="I1" s="2"/>
      <c r="J1" s="2"/>
      <c r="K1" s="2"/>
      <c r="L1" s="2"/>
      <c r="M1" s="2"/>
    </row>
    <row r="2" spans="1:14" ht="15.75" thickBot="1">
      <c r="A2" s="2"/>
      <c r="B2" s="113" t="s">
        <v>163</v>
      </c>
      <c r="C2" s="114" t="s">
        <v>0</v>
      </c>
      <c r="D2" s="115" t="s">
        <v>2</v>
      </c>
      <c r="H2" s="113" t="s">
        <v>165</v>
      </c>
      <c r="I2" s="114" t="s">
        <v>0</v>
      </c>
      <c r="J2" s="115" t="s">
        <v>2</v>
      </c>
      <c r="K2" s="2"/>
      <c r="L2" s="113" t="s">
        <v>167</v>
      </c>
      <c r="M2" s="114" t="s">
        <v>0</v>
      </c>
      <c r="N2" s="115" t="s">
        <v>2</v>
      </c>
    </row>
    <row r="3" spans="1:14">
      <c r="A3" s="2"/>
      <c r="B3" s="116"/>
      <c r="C3" s="21" t="s">
        <v>111</v>
      </c>
      <c r="D3" s="117">
        <f>SUM('Horas TV'!C3:AD3)</f>
        <v>4</v>
      </c>
      <c r="H3" s="116"/>
      <c r="I3" s="15" t="s">
        <v>124</v>
      </c>
      <c r="J3" s="121">
        <f>SUM('Horas Amazon'!C3:AC3)</f>
        <v>71</v>
      </c>
      <c r="K3" s="2"/>
      <c r="L3" s="116"/>
      <c r="M3" s="15" t="s">
        <v>111</v>
      </c>
      <c r="N3" s="124">
        <f>SUM('Horas Volte'!C3:AC3)</f>
        <v>71</v>
      </c>
    </row>
    <row r="4" spans="1:14">
      <c r="A4" s="2"/>
      <c r="B4" s="116"/>
      <c r="C4" s="15" t="s">
        <v>142</v>
      </c>
      <c r="D4" s="118">
        <f>SUM('Horas TV'!C4:AC4)</f>
        <v>0</v>
      </c>
      <c r="H4" s="116"/>
      <c r="I4" s="15" t="s">
        <v>131</v>
      </c>
      <c r="J4" s="121">
        <f>SUM('Horas Amazon'!C4:AC4)</f>
        <v>56</v>
      </c>
      <c r="K4" s="2"/>
      <c r="L4" s="116"/>
      <c r="M4" s="15" t="s">
        <v>142</v>
      </c>
      <c r="N4" s="124">
        <f>SUM('Horas Volte'!C4:AC4)</f>
        <v>0</v>
      </c>
    </row>
    <row r="5" spans="1:14">
      <c r="A5" s="2"/>
      <c r="B5" s="116"/>
      <c r="C5" s="15" t="s">
        <v>143</v>
      </c>
      <c r="D5" s="118">
        <f>SUM('Horas TV'!C5:AC5)</f>
        <v>5</v>
      </c>
      <c r="H5" s="116"/>
      <c r="I5" s="15" t="s">
        <v>132</v>
      </c>
      <c r="J5" s="121">
        <f>SUM('Horas Amazon'!C5:AC5)</f>
        <v>79</v>
      </c>
      <c r="K5" s="2"/>
      <c r="L5" s="116"/>
      <c r="M5" s="15" t="s">
        <v>143</v>
      </c>
      <c r="N5" s="124">
        <f>SUM('Horas Volte'!C5:AC5)</f>
        <v>7</v>
      </c>
    </row>
    <row r="6" spans="1:14" ht="15.75" thickBot="1">
      <c r="A6" s="2"/>
      <c r="B6" s="116"/>
      <c r="C6" s="15" t="s">
        <v>145</v>
      </c>
      <c r="D6" s="118">
        <f>SUM('Horas TV'!C6:AC6)</f>
        <v>0</v>
      </c>
      <c r="H6" s="116"/>
      <c r="I6" s="15" t="s">
        <v>108</v>
      </c>
      <c r="J6" s="121">
        <f>SUM('Horas Amazon'!C6:AC6)</f>
        <v>15</v>
      </c>
      <c r="K6" s="2"/>
      <c r="L6" s="116"/>
      <c r="M6" s="15" t="s">
        <v>145</v>
      </c>
      <c r="N6" s="124">
        <f>SUM('Horas Volte'!C6:AC6)</f>
        <v>61</v>
      </c>
    </row>
    <row r="7" spans="1:14" ht="15.75" thickBot="1">
      <c r="A7" s="2"/>
      <c r="B7" s="116"/>
      <c r="C7" s="15" t="s">
        <v>146</v>
      </c>
      <c r="D7" s="118">
        <f>SUM('Horas TV'!C7:AC7)</f>
        <v>11</v>
      </c>
      <c r="H7" s="119" t="s">
        <v>166</v>
      </c>
      <c r="I7" s="4" t="s">
        <v>0</v>
      </c>
      <c r="J7" s="120" t="s">
        <v>2</v>
      </c>
      <c r="K7" s="2"/>
      <c r="L7" s="116"/>
      <c r="M7" s="15" t="s">
        <v>146</v>
      </c>
      <c r="N7" s="124">
        <f>SUM('Horas Volte'!C7:AC7)</f>
        <v>51</v>
      </c>
    </row>
    <row r="8" spans="1:14">
      <c r="A8" s="2"/>
      <c r="B8" s="116"/>
      <c r="C8" s="15" t="s">
        <v>147</v>
      </c>
      <c r="D8" s="118">
        <f>SUM('Horas TV'!C8:AC8)</f>
        <v>15</v>
      </c>
      <c r="H8" s="116"/>
      <c r="I8" s="15" t="s">
        <v>151</v>
      </c>
      <c r="J8" s="121">
        <f>SUM('Horas Amazon'!C9:AC9)</f>
        <v>70</v>
      </c>
      <c r="K8" s="2"/>
      <c r="L8" s="116"/>
      <c r="M8" s="15" t="s">
        <v>147</v>
      </c>
      <c r="N8" s="124">
        <f>SUM('Horas Volte'!C8:AC8)</f>
        <v>0</v>
      </c>
    </row>
    <row r="9" spans="1:14">
      <c r="A9" s="2"/>
      <c r="B9" s="116"/>
      <c r="C9" s="15" t="s">
        <v>107</v>
      </c>
      <c r="D9" s="118">
        <f>SUM('Horas TV'!C9:AC9)</f>
        <v>4</v>
      </c>
      <c r="H9" s="116"/>
      <c r="I9" s="15" t="s">
        <v>127</v>
      </c>
      <c r="J9" s="121">
        <f>SUM('Horas Amazon'!C10:AC10)</f>
        <v>0</v>
      </c>
      <c r="K9" s="2"/>
      <c r="L9" s="116"/>
      <c r="M9" s="15" t="s">
        <v>107</v>
      </c>
      <c r="N9" s="124">
        <f>SUM('Horas Volte'!C9:AC9)</f>
        <v>76</v>
      </c>
    </row>
    <row r="10" spans="1:14">
      <c r="A10" s="2"/>
      <c r="B10" s="116"/>
      <c r="C10" s="15" t="s">
        <v>132</v>
      </c>
      <c r="D10" s="118">
        <f>SUM('Horas TV'!C10:AC10)</f>
        <v>19</v>
      </c>
      <c r="H10" s="116"/>
      <c r="I10" s="15" t="s">
        <v>121</v>
      </c>
      <c r="J10" s="121">
        <f>SUM('Horas Amazon'!C11:AC11)</f>
        <v>0</v>
      </c>
      <c r="K10" s="2"/>
      <c r="L10" s="116"/>
      <c r="M10" s="15" t="s">
        <v>132</v>
      </c>
      <c r="N10" s="124">
        <f>SUM('Horas Volte'!C10:AC10)</f>
        <v>11</v>
      </c>
    </row>
    <row r="11" spans="1:14">
      <c r="A11" s="2"/>
      <c r="B11" s="116"/>
      <c r="C11" s="15" t="s">
        <v>131</v>
      </c>
      <c r="D11" s="118">
        <f>SUM('Horas TV'!C11:AC11)</f>
        <v>13</v>
      </c>
      <c r="H11" s="116"/>
      <c r="I11" s="15" t="s">
        <v>154</v>
      </c>
      <c r="J11" s="121">
        <f>SUM('Horas Amazon'!C12:AC12)</f>
        <v>0</v>
      </c>
      <c r="K11" s="2"/>
      <c r="L11" s="116"/>
      <c r="M11" s="15" t="s">
        <v>131</v>
      </c>
      <c r="N11" s="124">
        <f>SUM('Horas Volte'!C11:AC11)</f>
        <v>0</v>
      </c>
    </row>
    <row r="12" spans="1:14">
      <c r="A12" s="2"/>
      <c r="B12" s="116"/>
      <c r="C12" s="15" t="s">
        <v>122</v>
      </c>
      <c r="D12" s="118">
        <f>SUM('Horas TV'!C12:AC12)</f>
        <v>6</v>
      </c>
      <c r="H12" s="116"/>
      <c r="I12" s="15" t="s">
        <v>155</v>
      </c>
      <c r="J12" s="121">
        <f>SUM('Horas Amazon'!C13:AC13)</f>
        <v>35</v>
      </c>
      <c r="K12" s="2"/>
      <c r="L12" s="116"/>
      <c r="M12" s="15" t="s">
        <v>122</v>
      </c>
      <c r="N12" s="124">
        <f>SUM('Horas Volte'!C12:AC12)</f>
        <v>68</v>
      </c>
    </row>
    <row r="13" spans="1:14">
      <c r="A13" s="2"/>
      <c r="B13" s="116"/>
      <c r="C13" s="15" t="s">
        <v>108</v>
      </c>
      <c r="D13" s="118">
        <f>SUM('Horas TV'!C13:AC13)</f>
        <v>26</v>
      </c>
      <c r="H13" s="116"/>
      <c r="I13" s="15" t="s">
        <v>117</v>
      </c>
      <c r="J13" s="121">
        <f>SUM('Horas Amazon'!C14:AC14)</f>
        <v>0</v>
      </c>
      <c r="K13" s="2"/>
      <c r="L13" s="116"/>
      <c r="M13" s="15" t="s">
        <v>108</v>
      </c>
      <c r="N13" s="124">
        <f>SUM('Horas Volte'!C13:AC13)</f>
        <v>16</v>
      </c>
    </row>
    <row r="14" spans="1:14">
      <c r="A14" s="2"/>
      <c r="B14" s="116"/>
      <c r="C14" s="15" t="s">
        <v>123</v>
      </c>
      <c r="D14" s="118">
        <f>SUM('Horas TV'!C14:AC14)</f>
        <v>34</v>
      </c>
      <c r="H14" s="116"/>
      <c r="I14" s="15" t="s">
        <v>112</v>
      </c>
      <c r="J14" s="121">
        <f>SUM('Horas Amazon'!C15:AC15)</f>
        <v>0</v>
      </c>
      <c r="K14" s="2"/>
      <c r="L14" s="116"/>
      <c r="M14" s="15" t="s">
        <v>123</v>
      </c>
      <c r="N14" s="124">
        <f>SUM('Horas Volte'!C14:AC14)</f>
        <v>46</v>
      </c>
    </row>
    <row r="15" spans="1:14">
      <c r="A15" s="2"/>
      <c r="B15" s="116"/>
      <c r="C15" s="15" t="s">
        <v>110</v>
      </c>
      <c r="D15" s="118">
        <f>SUM('Horas TV'!C15:AC15)</f>
        <v>11</v>
      </c>
      <c r="H15" s="116"/>
      <c r="I15" s="15" t="s">
        <v>156</v>
      </c>
      <c r="J15" s="121">
        <f>SUM('Horas Amazon'!C16:AC16)</f>
        <v>0</v>
      </c>
      <c r="K15" s="2"/>
      <c r="L15" s="116"/>
      <c r="M15" s="15" t="s">
        <v>110</v>
      </c>
      <c r="N15" s="124">
        <f>SUM('Horas Volte'!C15:AC15)</f>
        <v>83</v>
      </c>
    </row>
    <row r="16" spans="1:14" ht="15.75" thickBot="1">
      <c r="A16" s="2"/>
      <c r="B16" s="116"/>
      <c r="C16" s="15" t="s">
        <v>113</v>
      </c>
      <c r="D16" s="118">
        <f>SUM('Horas TV'!C16:AC16)</f>
        <v>11</v>
      </c>
      <c r="H16" s="116"/>
      <c r="I16" s="15" t="s">
        <v>114</v>
      </c>
      <c r="J16" s="121">
        <f>SUM('Horas Amazon'!C17:AC17)</f>
        <v>0</v>
      </c>
      <c r="K16" s="2"/>
      <c r="L16" s="116"/>
      <c r="M16" s="15" t="s">
        <v>86</v>
      </c>
      <c r="N16" s="124">
        <f>SUM('Horas Volte'!C16:AC16)</f>
        <v>45</v>
      </c>
    </row>
    <row r="17" spans="1:14" ht="15.75" thickBot="1">
      <c r="A17" s="2"/>
      <c r="B17" s="119" t="s">
        <v>164</v>
      </c>
      <c r="C17" s="4" t="s">
        <v>0</v>
      </c>
      <c r="D17" s="120" t="s">
        <v>2</v>
      </c>
      <c r="H17" s="116"/>
      <c r="I17" s="15" t="s">
        <v>157</v>
      </c>
      <c r="J17" s="121">
        <f>SUM('Horas Amazon'!C18:AC18)</f>
        <v>0</v>
      </c>
      <c r="K17" s="2"/>
      <c r="L17" s="116"/>
      <c r="M17" s="15" t="s">
        <v>113</v>
      </c>
      <c r="N17" s="124">
        <f>SUM('Horas Volte'!C17:AC17)</f>
        <v>79</v>
      </c>
    </row>
    <row r="18" spans="1:14" ht="15.75" thickBot="1">
      <c r="A18" s="2"/>
      <c r="B18" s="116"/>
      <c r="C18" s="15" t="s">
        <v>151</v>
      </c>
      <c r="D18" s="121">
        <f>SUM('Horas TV'!C19:AC19)</f>
        <v>10</v>
      </c>
      <c r="H18" s="116"/>
      <c r="I18" s="15" t="s">
        <v>116</v>
      </c>
      <c r="J18" s="121">
        <f>SUM('Horas Amazon'!C19:AC19)</f>
        <v>0</v>
      </c>
      <c r="K18" s="2"/>
      <c r="L18" s="113" t="s">
        <v>168</v>
      </c>
      <c r="M18" s="114" t="s">
        <v>0</v>
      </c>
      <c r="N18" s="115" t="s">
        <v>2</v>
      </c>
    </row>
    <row r="19" spans="1:14">
      <c r="A19" s="2"/>
      <c r="B19" s="116"/>
      <c r="C19" s="15" t="s">
        <v>127</v>
      </c>
      <c r="D19" s="121">
        <f>SUM('Horas TV'!C20:AC20)</f>
        <v>30</v>
      </c>
      <c r="H19" s="122"/>
      <c r="I19" s="15" t="s">
        <v>119</v>
      </c>
      <c r="J19" s="123">
        <f>SUM('Horas Amazon'!C20:AC20)</f>
        <v>47</v>
      </c>
      <c r="K19" s="2"/>
      <c r="L19" s="116"/>
      <c r="M19" s="15" t="s">
        <v>151</v>
      </c>
      <c r="N19" s="124">
        <f>SUM('Horas Volte'!C20:AC20)</f>
        <v>10</v>
      </c>
    </row>
    <row r="20" spans="1:14">
      <c r="A20" s="2"/>
      <c r="B20" s="116"/>
      <c r="C20" s="15" t="s">
        <v>121</v>
      </c>
      <c r="D20" s="121">
        <f>SUM('Horas TV'!C21:AC21)</f>
        <v>61</v>
      </c>
      <c r="I20" s="2"/>
      <c r="J20" s="2"/>
      <c r="K20" s="2"/>
      <c r="L20" s="116"/>
      <c r="M20" s="15" t="s">
        <v>127</v>
      </c>
      <c r="N20" s="124">
        <f>SUM('Horas Volte'!C21:AC21)</f>
        <v>60</v>
      </c>
    </row>
    <row r="21" spans="1:14" ht="15.75" customHeight="1">
      <c r="A21" s="2"/>
      <c r="B21" s="116"/>
      <c r="C21" s="15" t="s">
        <v>154</v>
      </c>
      <c r="D21" s="121">
        <f>SUM('Horas TV'!C22:AC22)</f>
        <v>30</v>
      </c>
      <c r="I21" s="2"/>
      <c r="J21" s="2"/>
      <c r="K21" s="2"/>
      <c r="L21" s="116"/>
      <c r="M21" s="15" t="s">
        <v>121</v>
      </c>
      <c r="N21" s="124">
        <f>SUM('Horas Volte'!C22:AC22)</f>
        <v>66</v>
      </c>
    </row>
    <row r="22" spans="1:14" ht="15.75" customHeight="1">
      <c r="A22" s="2"/>
      <c r="B22" s="116"/>
      <c r="C22" s="15" t="s">
        <v>155</v>
      </c>
      <c r="D22" s="121">
        <f>SUM('Horas TV'!C23:AC23)</f>
        <v>10</v>
      </c>
      <c r="I22" s="2"/>
      <c r="J22" s="2"/>
      <c r="K22" s="2"/>
      <c r="L22" s="116"/>
      <c r="M22" s="15" t="s">
        <v>154</v>
      </c>
      <c r="N22" s="124">
        <f>SUM('Horas Volte'!C23:AC23)</f>
        <v>50</v>
      </c>
    </row>
    <row r="23" spans="1:14" ht="15.75" customHeight="1">
      <c r="A23" s="2"/>
      <c r="B23" s="116"/>
      <c r="C23" s="15" t="s">
        <v>117</v>
      </c>
      <c r="D23" s="121">
        <f>SUM('Horas TV'!C24:AC24)</f>
        <v>10</v>
      </c>
      <c r="I23" s="2"/>
      <c r="J23" s="2"/>
      <c r="K23" s="2"/>
      <c r="L23" s="116"/>
      <c r="M23" s="15" t="s">
        <v>155</v>
      </c>
      <c r="N23" s="124">
        <f>SUM('Horas Volte'!C24:AC24)</f>
        <v>50</v>
      </c>
    </row>
    <row r="24" spans="1:14" ht="15.75" customHeight="1">
      <c r="A24" s="2"/>
      <c r="B24" s="116"/>
      <c r="C24" s="15" t="s">
        <v>112</v>
      </c>
      <c r="D24" s="121">
        <f>SUM('Horas TV'!C25:AC25)</f>
        <v>10</v>
      </c>
      <c r="I24" s="2"/>
      <c r="J24" s="2"/>
      <c r="K24" s="2"/>
      <c r="L24" s="116"/>
      <c r="M24" s="15" t="s">
        <v>117</v>
      </c>
      <c r="N24" s="124">
        <f>SUM('Horas Volte'!C25:AC25)</f>
        <v>97</v>
      </c>
    </row>
    <row r="25" spans="1:14" ht="15.75" customHeight="1">
      <c r="A25" s="2"/>
      <c r="B25" s="116"/>
      <c r="C25" s="15" t="s">
        <v>156</v>
      </c>
      <c r="D25" s="121">
        <f>SUM('Horas TV'!C26:AC26)</f>
        <v>25</v>
      </c>
      <c r="I25" s="2"/>
      <c r="J25" s="2"/>
      <c r="K25" s="2"/>
      <c r="L25" s="116"/>
      <c r="M25" s="15" t="s">
        <v>112</v>
      </c>
      <c r="N25" s="124">
        <f>SUM('Horas Volte'!C26:AC26)</f>
        <v>113</v>
      </c>
    </row>
    <row r="26" spans="1:14" ht="15.75" customHeight="1">
      <c r="A26" s="2"/>
      <c r="B26" s="116"/>
      <c r="C26" s="15" t="s">
        <v>114</v>
      </c>
      <c r="D26" s="121">
        <f>SUM('Horas TV'!C27:AC27)</f>
        <v>30</v>
      </c>
      <c r="I26" s="2"/>
      <c r="J26" s="2"/>
      <c r="K26" s="2"/>
      <c r="L26" s="116"/>
      <c r="M26" s="15" t="s">
        <v>156</v>
      </c>
      <c r="N26" s="124">
        <f>SUM('Horas Volte'!C27:AC27)</f>
        <v>55</v>
      </c>
    </row>
    <row r="27" spans="1:14" ht="15.75" customHeight="1">
      <c r="A27" s="2"/>
      <c r="B27" s="116"/>
      <c r="C27" s="15" t="s">
        <v>157</v>
      </c>
      <c r="D27" s="121">
        <f>SUM('Horas TV'!C28:AC28)</f>
        <v>18</v>
      </c>
      <c r="I27" s="2"/>
      <c r="J27" s="2"/>
      <c r="K27" s="2"/>
      <c r="L27" s="116"/>
      <c r="M27" s="15" t="s">
        <v>114</v>
      </c>
      <c r="N27" s="124">
        <f>SUM('Horas Volte'!C28:AC28)</f>
        <v>93</v>
      </c>
    </row>
    <row r="28" spans="1:14" ht="15.75" customHeight="1">
      <c r="A28" s="2"/>
      <c r="B28" s="116"/>
      <c r="C28" s="15" t="s">
        <v>116</v>
      </c>
      <c r="D28" s="121">
        <f>SUM('Horas TV'!C29:AC29)</f>
        <v>10</v>
      </c>
      <c r="I28" s="2"/>
      <c r="J28" s="2"/>
      <c r="K28" s="2"/>
      <c r="L28" s="116"/>
      <c r="M28" s="15" t="s">
        <v>157</v>
      </c>
      <c r="N28" s="124">
        <f>SUM('Horas Volte'!C29:AC29)</f>
        <v>105</v>
      </c>
    </row>
    <row r="29" spans="1:14" ht="15.75" customHeight="1">
      <c r="A29" s="2"/>
      <c r="B29" s="122"/>
      <c r="C29" s="15" t="s">
        <v>119</v>
      </c>
      <c r="D29" s="123">
        <f>SUM('Horas TV'!C30:AC30)</f>
        <v>18</v>
      </c>
      <c r="I29" s="2"/>
      <c r="J29" s="2"/>
      <c r="K29" s="2"/>
      <c r="L29" s="116"/>
      <c r="M29" s="15" t="s">
        <v>116</v>
      </c>
      <c r="N29" s="124">
        <f>SUM('Horas Volte'!C30:AC30)</f>
        <v>80</v>
      </c>
    </row>
    <row r="30" spans="1:14" ht="15.75" customHeight="1">
      <c r="A30" s="2"/>
      <c r="B30" s="2"/>
      <c r="C30" s="2"/>
      <c r="D30" s="2"/>
      <c r="E30" s="2"/>
      <c r="F30" s="2"/>
      <c r="I30" s="2"/>
      <c r="J30" s="2"/>
      <c r="K30" s="2"/>
      <c r="L30" s="122"/>
      <c r="M30" s="15" t="s">
        <v>119</v>
      </c>
      <c r="N30" s="125">
        <f>SUM('Horas Volte'!C31:AC31)</f>
        <v>63</v>
      </c>
    </row>
    <row r="31" spans="1:14" ht="15.75" customHeight="1">
      <c r="A31" s="2"/>
      <c r="B31" s="2"/>
      <c r="C31" s="2"/>
      <c r="D31" s="2"/>
      <c r="E31" s="2"/>
      <c r="F31" s="2"/>
      <c r="I31" s="2"/>
      <c r="J31" s="2"/>
      <c r="K31" s="2"/>
      <c r="L31" s="2"/>
      <c r="M31" s="2"/>
    </row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95"/>
  <sheetViews>
    <sheetView tabSelected="1" workbookViewId="0">
      <selection activeCell="C25" sqref="C25"/>
    </sheetView>
  </sheetViews>
  <sheetFormatPr baseColWidth="10" defaultColWidth="12.5703125" defaultRowHeight="14.25"/>
  <cols>
    <col min="1" max="1" width="22.85546875" style="47" bestFit="1" customWidth="1"/>
    <col min="2" max="2" width="40.28515625" style="47" bestFit="1" customWidth="1"/>
    <col min="3" max="3" width="28.85546875" style="47" bestFit="1" customWidth="1"/>
    <col min="4" max="4" width="22" style="47" customWidth="1"/>
    <col min="5" max="5" width="15.7109375" style="47" customWidth="1"/>
    <col min="6" max="6" width="10.7109375" style="47" bestFit="1" customWidth="1"/>
    <col min="7" max="7" width="22.42578125" style="47" bestFit="1" customWidth="1"/>
    <col min="8" max="8" width="20.7109375" style="47" bestFit="1" customWidth="1"/>
    <col min="9" max="16384" width="12.5703125" style="47"/>
  </cols>
  <sheetData>
    <row r="1" spans="1:18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" thickBo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thickBot="1">
      <c r="A4" s="57" t="s">
        <v>169</v>
      </c>
      <c r="B4" s="57" t="s">
        <v>170</v>
      </c>
      <c r="C4" s="59" t="s">
        <v>0</v>
      </c>
      <c r="D4" s="57" t="s">
        <v>64</v>
      </c>
      <c r="E4" s="57" t="s">
        <v>65</v>
      </c>
      <c r="F4" s="57" t="s">
        <v>66</v>
      </c>
      <c r="G4" s="57" t="s">
        <v>10</v>
      </c>
      <c r="H4" s="5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2.5" customHeight="1">
      <c r="A5" s="55" t="s">
        <v>102</v>
      </c>
      <c r="B5" s="55" t="s">
        <v>87</v>
      </c>
      <c r="C5" s="60" t="s">
        <v>82</v>
      </c>
      <c r="D5" s="72">
        <v>11</v>
      </c>
      <c r="E5" s="72">
        <v>12</v>
      </c>
      <c r="F5" s="72">
        <v>9</v>
      </c>
      <c r="G5" s="72">
        <f>1198+169+143+108</f>
        <v>1618</v>
      </c>
      <c r="H5" s="72">
        <f>987+143+124+90</f>
        <v>1344</v>
      </c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22.5" customHeight="1">
      <c r="A6" s="48" t="s">
        <v>75</v>
      </c>
      <c r="B6" s="48" t="s">
        <v>88</v>
      </c>
      <c r="C6" s="62" t="s">
        <v>85</v>
      </c>
      <c r="D6" s="72">
        <v>18</v>
      </c>
      <c r="E6" s="72">
        <v>3</v>
      </c>
      <c r="F6" s="72">
        <v>10</v>
      </c>
      <c r="G6" s="71">
        <f>1730+204+107+231</f>
        <v>2272</v>
      </c>
      <c r="H6" s="71">
        <f>843+51+32+103</f>
        <v>1029</v>
      </c>
      <c r="I6" s="51"/>
      <c r="J6" s="51"/>
      <c r="K6" s="51"/>
      <c r="L6" s="51"/>
      <c r="M6" s="51"/>
      <c r="N6" s="51"/>
      <c r="O6" s="51"/>
      <c r="P6" s="51"/>
      <c r="Q6" s="51"/>
      <c r="R6" s="51"/>
    </row>
    <row r="7" spans="1:18" ht="22.5" customHeight="1">
      <c r="A7" s="48" t="s">
        <v>81</v>
      </c>
      <c r="B7" s="48" t="s">
        <v>89</v>
      </c>
      <c r="C7" s="61" t="s">
        <v>84</v>
      </c>
      <c r="D7" s="72">
        <v>14</v>
      </c>
      <c r="E7" s="72">
        <v>2</v>
      </c>
      <c r="F7" s="72">
        <v>11</v>
      </c>
      <c r="G7" s="71">
        <f>1457+60+68</f>
        <v>1585</v>
      </c>
      <c r="H7" s="71">
        <f>859+20+29</f>
        <v>908</v>
      </c>
      <c r="I7" s="51"/>
      <c r="J7" s="51"/>
      <c r="K7" s="51"/>
      <c r="L7" s="51"/>
      <c r="M7" s="51"/>
      <c r="N7" s="51"/>
      <c r="O7" s="51"/>
      <c r="P7" s="51"/>
      <c r="Q7" s="51"/>
      <c r="R7" s="51"/>
    </row>
    <row r="8" spans="1:18" ht="22.5" customHeight="1">
      <c r="A8" s="48" t="s">
        <v>70</v>
      </c>
      <c r="B8" s="48" t="s">
        <v>90</v>
      </c>
      <c r="C8" s="61" t="s">
        <v>74</v>
      </c>
      <c r="D8" s="72">
        <v>25</v>
      </c>
      <c r="E8" s="72">
        <v>5</v>
      </c>
      <c r="F8" s="72">
        <v>19</v>
      </c>
      <c r="G8" s="71">
        <f>656+121+176+139</f>
        <v>1092</v>
      </c>
      <c r="H8" s="71">
        <f>322+40+62+63</f>
        <v>487</v>
      </c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2.5" customHeight="1">
      <c r="A9" s="48" t="s">
        <v>103</v>
      </c>
      <c r="B9" s="48" t="s">
        <v>92</v>
      </c>
      <c r="C9" s="61" t="s">
        <v>76</v>
      </c>
      <c r="D9" s="72">
        <v>6</v>
      </c>
      <c r="E9" s="72">
        <f>IFERROR(VLOOKUP(B9,#REF!, 10,FALSE), 0)</f>
        <v>0</v>
      </c>
      <c r="F9" s="72">
        <v>5</v>
      </c>
      <c r="G9" s="71">
        <v>1164</v>
      </c>
      <c r="H9" s="71">
        <v>942</v>
      </c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22.5" customHeight="1">
      <c r="A10" s="48" t="s">
        <v>79</v>
      </c>
      <c r="B10" s="48" t="s">
        <v>95</v>
      </c>
      <c r="C10" s="61" t="s">
        <v>69</v>
      </c>
      <c r="D10" s="72">
        <v>9</v>
      </c>
      <c r="E10" s="72">
        <v>1</v>
      </c>
      <c r="F10" s="72">
        <v>9</v>
      </c>
      <c r="G10" s="71">
        <f>405+85+98</f>
        <v>588</v>
      </c>
      <c r="H10" s="71">
        <f>281+11+30</f>
        <v>322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 ht="22.5" customHeight="1">
      <c r="A11" s="48" t="s">
        <v>68</v>
      </c>
      <c r="B11" s="48" t="s">
        <v>93</v>
      </c>
      <c r="C11" s="61" t="s">
        <v>80</v>
      </c>
      <c r="D11" s="72">
        <v>29</v>
      </c>
      <c r="E11" s="72">
        <v>7</v>
      </c>
      <c r="F11" s="72">
        <v>28</v>
      </c>
      <c r="G11" s="71">
        <f>745+110+76</f>
        <v>931</v>
      </c>
      <c r="H11" s="71">
        <f>613+76+63</f>
        <v>752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</row>
    <row r="12" spans="1:18" ht="22.5" customHeight="1">
      <c r="A12" s="48" t="s">
        <v>104</v>
      </c>
      <c r="B12" s="48" t="s">
        <v>94</v>
      </c>
      <c r="C12" s="61" t="s">
        <v>73</v>
      </c>
      <c r="D12" s="72">
        <v>8</v>
      </c>
      <c r="E12" s="72">
        <v>2</v>
      </c>
      <c r="F12" s="72">
        <v>7</v>
      </c>
      <c r="G12" s="71">
        <f>1127+175+367+255</f>
        <v>1924</v>
      </c>
      <c r="H12" s="71">
        <f>600+75+194+163</f>
        <v>1032</v>
      </c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3" spans="1:18" ht="22.5" customHeight="1">
      <c r="A13" s="48" t="s">
        <v>77</v>
      </c>
      <c r="B13" s="48" t="s">
        <v>96</v>
      </c>
      <c r="C13" s="61" t="s">
        <v>71</v>
      </c>
      <c r="D13" s="72">
        <v>18</v>
      </c>
      <c r="E13" s="72">
        <v>2</v>
      </c>
      <c r="F13" s="72">
        <v>18</v>
      </c>
      <c r="G13" s="71">
        <f>1829+57</f>
        <v>1886</v>
      </c>
      <c r="H13" s="71">
        <f>1297+37</f>
        <v>1334</v>
      </c>
      <c r="I13" s="51"/>
      <c r="J13" s="51"/>
      <c r="K13" s="51"/>
      <c r="L13" s="51"/>
      <c r="M13" s="51"/>
      <c r="N13" s="51"/>
      <c r="O13" s="51"/>
      <c r="P13" s="51"/>
      <c r="Q13" s="51"/>
      <c r="R13" s="51"/>
    </row>
    <row r="14" spans="1:18" ht="19.5" customHeight="1">
      <c r="A14" s="48" t="s">
        <v>83</v>
      </c>
      <c r="B14" s="48" t="s">
        <v>91</v>
      </c>
      <c r="C14" s="61" t="s">
        <v>78</v>
      </c>
      <c r="D14" s="72">
        <v>21</v>
      </c>
      <c r="E14" s="72">
        <v>2</v>
      </c>
      <c r="F14" s="72">
        <v>17</v>
      </c>
      <c r="G14" s="71">
        <f>838+86+110</f>
        <v>1034</v>
      </c>
      <c r="H14" s="71">
        <f>439+38+75</f>
        <v>552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22.5" hidden="1" customHeight="1">
      <c r="B15" s="53" t="s">
        <v>97</v>
      </c>
      <c r="C15" s="63" t="s">
        <v>86</v>
      </c>
      <c r="D15" s="22">
        <v>9</v>
      </c>
      <c r="E15" s="22" t="e">
        <f>VLOOKUP(B15,#REF!,15,FALSE)</f>
        <v>#REF!</v>
      </c>
      <c r="F15" s="22" t="e">
        <f>VLOOKUP(B15,#REF!, 15,FALSE)</f>
        <v>#REF!</v>
      </c>
      <c r="G15" s="11">
        <v>265</v>
      </c>
      <c r="H15" s="11">
        <v>117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8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8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8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8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8"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8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8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2:1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2:18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2:18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18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18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18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18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18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2:18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18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2:1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2:18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2:18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2:18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2:18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2:18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2:18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2:18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2:1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2:18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2:1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2:18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2:18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2:18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2:18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2:18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2:18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2:18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18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18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1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18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18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18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18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18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18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18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18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2:18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2:18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2:18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2:18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2:18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2:18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2:1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2:18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2:18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2:18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2:18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2:18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2:18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2:18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2:1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2:18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2:18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2:18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2:18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2:18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2:18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2:18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2:18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2:18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2:1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2:18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2:18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2:18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2:18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2:18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2:18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2:18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2:18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2:18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2:1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2:18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2:18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2:18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2:18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2:18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2:18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2:18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2:18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2:18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2:1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2:18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2:18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2:18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2:18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2:18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2:18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2:18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2:1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2:18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2:18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2:18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2:18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2:18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2:18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2:18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2:18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2:18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2:1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2:18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2:18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2:18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2:18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2:18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2:18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2:18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2:18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2:18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2: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2:18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2:18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2:18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2:18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2:18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2:18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2:18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2:18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2:1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2:18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2:18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2:18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2:18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2:18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2:1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2:18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2:18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2:18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2:18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2:18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2:18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2:1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2:18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2:18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2:18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2:18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2:18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2:18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2:18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2:18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2:18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2:18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2:18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2:18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2:18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2:18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2:1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2:18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2:18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2:18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2:1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2:18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2:18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2:18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2:18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2:18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2:18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2:1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2:18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2:18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2:18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2:18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2:18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2:1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2:18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2:18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2:18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2:18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2:18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2:18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2:18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2:18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2:18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2:1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2:18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2:18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2:18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2:18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2:18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2:18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2:18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2:18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2:18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2:1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2:18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2:18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2:18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2:18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2:18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2:18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2:18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2:18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2:1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2:18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2:18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2:18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2:18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2:18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2:18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2:18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2:18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2:18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2:1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2:18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2:18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2:18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2:18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2:18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2:18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2:18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2:18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2:18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2:1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2:18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2:18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2:18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2:18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2:18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2:18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2:18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2:18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2:18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2:1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2:18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2:18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2:18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2:18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2:18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2:18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2:18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2:18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2:18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2:1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2:18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2:18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2:18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2:18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2:18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2:18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2:18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2:18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2:18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2:1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2:18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2:18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2:18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2:18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2:18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2:18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2:18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2:18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2:18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2: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2:18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2:18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2:18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2:18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2:18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2:18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2:18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2:18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2:18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2:1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2:18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2:18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2:18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2:18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2:18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2:18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2:18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2:18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2:18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2:1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2:18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2:18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2:18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2:18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2:18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2:18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2:18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2:18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2:18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2:1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2:18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2:18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2:18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2:18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2:18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2:18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2:18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2:18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2:18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2:1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2:18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2:18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2:18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2:18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2:18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2:18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2:18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2:18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2:18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2:1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2:18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2:18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2:18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2:18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2:18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2:18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2:18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2:18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2:18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2:1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2:18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2:18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2:18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2:18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2:18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2:18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2:18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2:18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2:18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2:1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2:18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2:18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2:18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2:18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2:18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2:18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2:18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2:18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2:18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2:1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2:18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2:18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2:18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2:18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2:18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2:18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2:18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2:18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2:18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2:1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2:18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2:18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2:18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2:18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2:18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2:18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2:18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2:18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2:18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2: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2:18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2:18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2:18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2:18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2:18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2:18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2:18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2:18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2:18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2:1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2:18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2:18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2:18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2:18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2:18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2:18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2:18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2:18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2:18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2:1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2:18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2:18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2:18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2:18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2:18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2:18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2:18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2:18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2:18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2:1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2:18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2:18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2:18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2:18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2:18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2:18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2:18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2:18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2:18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2:1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2:18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2:18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2:18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2:18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2:18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2:18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2:18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2:18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2:18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2:1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2:18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2:18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2:18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2:18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2:18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2:18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2:18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2:18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2:18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2:1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2:18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2:18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2:18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2:18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2:18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2:18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2:18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2:18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2:18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2:1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2:18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2:18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2:18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2:18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2:18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2:18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2:18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2:18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2:18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2:1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2:18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2:18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2:18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2:18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2:18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2:18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2:18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2:18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2:18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2:1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2:18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2:18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2:18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2:18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2:18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2:18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2:18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2:18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2:18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2: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2:18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2:18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2:18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2:18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2:18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2:18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2:18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2:18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2:18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2:1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2:18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2:18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2:18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2:18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2:18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2:18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2:18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2:18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2:18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2:1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2:18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2:18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2:18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2:18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2:18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2:18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2:18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2:18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2:18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2:1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2:18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2:18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2:18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2:18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2:18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2:18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2:18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2:18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2:18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2:1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2:18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2:18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2:18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2:18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2:18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2:18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2:18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2:18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2:18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2:1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2:18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2:18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2:18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2:18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2:18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2:18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2:18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2:18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2:18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2:1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2:18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2:18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2:18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2:18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2:18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2:18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2:18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2:18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2:18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2:1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2:18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2:18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2:18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2:18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2:18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2:18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2:18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2:18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2:18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2:1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2:18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2:18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2:18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2:18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2:18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2:18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2:18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2:18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2:18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2:1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2:18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2:18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2:18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2:18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2:18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2:18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2:18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2:18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2:18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2: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2:18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2:18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2:18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2:18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2:18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2:18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2:18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2:18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2:18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2:1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2:18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2:18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2:18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2:18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2:18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2:18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2:18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2:18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2:18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2:1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2:18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2:18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2:18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2:18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2:18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2:18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2:18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2:18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2:18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2:1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2:18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2:18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2:18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2:18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2:18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2:18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2:18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2:18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2:18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2:1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2:18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2:18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2:18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2:18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2:18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2:18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2:18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2:18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2:18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2:1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2:18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2:18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2:18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2:18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2:18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2:18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2:18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2:18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2:18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2:1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2:18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2:18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2:18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2:18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2:18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2:18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2:18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2:18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2:18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2:1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2:18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2:18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2:18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2:18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2:18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2:18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2:18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2:18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2:18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2:1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2:18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2:18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2:18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2:18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2:18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2:18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2:18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2:18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2:18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2:1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2:18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2:18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2:18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2:18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2:18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2:18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2:18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2:18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2:18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2: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2:18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2:18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2:18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2:18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2:18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2:18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2:18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2:18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2:18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2:1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2:18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2:18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2:18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2:18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2:18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2:18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2:18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2:18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2:18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2:1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2:18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2:18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2:18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2:18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2:18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2:18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2:18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2:18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2:18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2:1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2:18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2:18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2:18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2:18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2:18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2:18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2:18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2:18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2:18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2:1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2:18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2:18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2:18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2:18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2:18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2:18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2:18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2:18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2:18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2:1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2:18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2:18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2:18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2:18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2:18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2:18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2:18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2:18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2:18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2:1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2:18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2:18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2:18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2:18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2:18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2:18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2:18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2:18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2:18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2:1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2:18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2:18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2:18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2:18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2:18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2:18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2:18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</sheetData>
  <sortState ref="A5:H14">
    <sortCondition ref="A5:A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TV</vt:lpstr>
      <vt:lpstr>Amazon</vt:lpstr>
      <vt:lpstr>Volte</vt:lpstr>
      <vt:lpstr>OUT</vt:lpstr>
      <vt:lpstr>Horas TV</vt:lpstr>
      <vt:lpstr>Horas Amazon</vt:lpstr>
      <vt:lpstr>Horas Volte</vt:lpstr>
      <vt:lpstr>Horas Ordenadas</vt:lpstr>
      <vt:lpstr>OUT ALFABETICO</vt:lpstr>
      <vt:lpstr>TV ALFABETICO</vt:lpstr>
      <vt:lpstr>AMAZON ORDENADO</vt:lpstr>
      <vt:lpstr>VOLTE ORDENADO</vt:lpstr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 SORIANO MONTERO</dc:creator>
  <cp:lastModifiedBy>DANIEL  MARTIN MONGE</cp:lastModifiedBy>
  <dcterms:created xsi:type="dcterms:W3CDTF">2006-09-16T00:00:00Z</dcterms:created>
  <dcterms:modified xsi:type="dcterms:W3CDTF">2024-08-28T14:23:02Z</dcterms:modified>
</cp:coreProperties>
</file>