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game results" sheetId="2" r:id="rId5"/>
    <sheet state="visible" name="rating" sheetId="3" r:id="rId6"/>
    <sheet state="visible" name="Macro Analysis" sheetId="4" r:id="rId7"/>
    <sheet state="visible" name="Micro Analysis" sheetId="5" r:id="rId8"/>
  </sheets>
  <definedNames/>
  <calcPr/>
</workbook>
</file>

<file path=xl/sharedStrings.xml><?xml version="1.0" encoding="utf-8"?>
<sst xmlns="http://schemas.openxmlformats.org/spreadsheetml/2006/main" count="453" uniqueCount="117">
  <si>
    <t>Hitler Win</t>
  </si>
  <si>
    <t>Hitler Games</t>
  </si>
  <si>
    <t>Hitler Win %</t>
  </si>
  <si>
    <t>Fascist Win</t>
  </si>
  <si>
    <t>Fascist Games</t>
  </si>
  <si>
    <t>Fascist Win %</t>
  </si>
  <si>
    <t>Liberal Win</t>
  </si>
  <si>
    <t>Liberal Games</t>
  </si>
  <si>
    <t>Liberal Win %</t>
  </si>
  <si>
    <t>Total wins</t>
  </si>
  <si>
    <t>Total Games</t>
  </si>
  <si>
    <t>Total Win %</t>
  </si>
  <si>
    <t>Amy</t>
  </si>
  <si>
    <t>Arshia</t>
  </si>
  <si>
    <t>Bryan</t>
  </si>
  <si>
    <t>Cadence</t>
  </si>
  <si>
    <t>Carol</t>
  </si>
  <si>
    <t>Chelsea</t>
  </si>
  <si>
    <t>Claire</t>
  </si>
  <si>
    <t>Danielle</t>
  </si>
  <si>
    <t>David</t>
  </si>
  <si>
    <t>Dillon</t>
  </si>
  <si>
    <t>Isaac</t>
  </si>
  <si>
    <t>James</t>
  </si>
  <si>
    <t>Jemma</t>
  </si>
  <si>
    <t>Julian</t>
  </si>
  <si>
    <t>Richard</t>
  </si>
  <si>
    <t>Ryden</t>
  </si>
  <si>
    <t>Tricia</t>
  </si>
  <si>
    <t>Yanqi</t>
  </si>
  <si>
    <t>Role</t>
  </si>
  <si>
    <t>Names</t>
  </si>
  <si>
    <t>Winner</t>
  </si>
  <si>
    <t>Hitler</t>
  </si>
  <si>
    <t>L</t>
  </si>
  <si>
    <t>Fascists</t>
  </si>
  <si>
    <t>Bryan, Cadence, Julian</t>
  </si>
  <si>
    <t>Liberals</t>
  </si>
  <si>
    <t>Arshia, David, Dillon, James, Yanqi</t>
  </si>
  <si>
    <t>Arshia, James</t>
  </si>
  <si>
    <t>David, Julian, Bryan, Amy</t>
  </si>
  <si>
    <t>Julian, Arshia</t>
  </si>
  <si>
    <t>David, Jemma, Bryan, Amy</t>
  </si>
  <si>
    <t>David, Jemma, Bryan, Julian</t>
  </si>
  <si>
    <t>Julian, Amy</t>
  </si>
  <si>
    <t>David, Jemma, Arshia, Bryan</t>
  </si>
  <si>
    <t>Julian, Arshia, Bryan</t>
  </si>
  <si>
    <t>F</t>
  </si>
  <si>
    <t>Arshia, Bryan, David</t>
  </si>
  <si>
    <t>James, Bryan, David</t>
  </si>
  <si>
    <t>Julian, Yanqi</t>
  </si>
  <si>
    <t>Tricia, Jemma, Chelsea, Arshia</t>
  </si>
  <si>
    <t>Julian, Chelsea</t>
  </si>
  <si>
    <t>Tricia, Jemma, Bryan, Yanqi</t>
  </si>
  <si>
    <t>James, David, Julian</t>
  </si>
  <si>
    <t>Bryan, Chelsea, Arshia, Richard, Dillon</t>
  </si>
  <si>
    <t>James, Bryan, Julian</t>
  </si>
  <si>
    <t>Chelsea, Arshia, David, Dillon, Richard</t>
  </si>
  <si>
    <t>Julian, James, Tricia, David</t>
  </si>
  <si>
    <t>Julian, Tricia, Yanqi, Bryan</t>
  </si>
  <si>
    <t>Yanqi, Amy</t>
  </si>
  <si>
    <t>Tricia, David, Bryan, James</t>
  </si>
  <si>
    <t>David, Yanqi, Julian</t>
  </si>
  <si>
    <t>Julian, Claire, James</t>
  </si>
  <si>
    <t>Cadence, Jemma, Tricia, Yanqi, Bryan</t>
  </si>
  <si>
    <t>Julian, David</t>
  </si>
  <si>
    <t>Yanqi, Bryan, Tricia, James</t>
  </si>
  <si>
    <t>Julian, Yanqi, David</t>
  </si>
  <si>
    <t>Yanqi, Tricia</t>
  </si>
  <si>
    <t>Bryan, Julian, David, Carol, Chelsea</t>
  </si>
  <si>
    <t>Bryan, James</t>
  </si>
  <si>
    <t>Yanqi, Julian, David, Tricia, Chelsea</t>
  </si>
  <si>
    <t>Bryan, Julian, David, Carol</t>
  </si>
  <si>
    <t>Bryan, James, Julian, David</t>
  </si>
  <si>
    <t>Bryan, Tricia</t>
  </si>
  <si>
    <t>David, James, Carol, Yanqi</t>
  </si>
  <si>
    <t>Bryan, David, Tricia</t>
  </si>
  <si>
    <t>Julian, Danielle, Tricia</t>
  </si>
  <si>
    <t>Julian, Arshia, Tricia, Yanqi</t>
  </si>
  <si>
    <t>David, James, Yanqi</t>
  </si>
  <si>
    <t>Tricia, David, James</t>
  </si>
  <si>
    <t>Arshia, David, Claire</t>
  </si>
  <si>
    <t>Julian, Carol, Richard, James, Bryan</t>
  </si>
  <si>
    <t>Isaac, James</t>
  </si>
  <si>
    <t>Cadence, Julian, Amy, David, Danielle</t>
  </si>
  <si>
    <t>David, James</t>
  </si>
  <si>
    <t>Danielle, Arshia, Julian, Amy, Isaac</t>
  </si>
  <si>
    <t>Isaac, Amy</t>
  </si>
  <si>
    <t>Cadence, Danielle, Arshia, Julian, David</t>
  </si>
  <si>
    <t>Cadence, Isaac</t>
  </si>
  <si>
    <t>Danielle, James, David, Amy, Arshia</t>
  </si>
  <si>
    <t>Julian, Arshia, Danielle</t>
  </si>
  <si>
    <t>Cadence, Tricia, Amy, David, James</t>
  </si>
  <si>
    <t>James, David, Arshia</t>
  </si>
  <si>
    <t>Cadence, Danielle, Julian, Amy, Isaac</t>
  </si>
  <si>
    <t>Cadence, Arshia, Julian</t>
  </si>
  <si>
    <t>Tricia, Danielle, Amy, David, Isaac</t>
  </si>
  <si>
    <t>Danielle, David, Tricia</t>
  </si>
  <si>
    <t>Amy, Isaac, Cadence, Julian, James</t>
  </si>
  <si>
    <t>Tricia, Danielle, David</t>
  </si>
  <si>
    <t>Arshia, Cadence, James, Amy, Isaac</t>
  </si>
  <si>
    <t>Cadence, Danielle, Tricia</t>
  </si>
  <si>
    <t>Amy, Isaac, Julian, David, James, Arshia</t>
  </si>
  <si>
    <t>Julian, Carol, Ryden</t>
  </si>
  <si>
    <t>Chelsea, David, James, Cadence, Tricia, Isaac</t>
  </si>
  <si>
    <t>Chelsea, Ryden</t>
  </si>
  <si>
    <t>Julian, Carol, David, James, Tricia</t>
  </si>
  <si>
    <t>David, Isaac, Cadence</t>
  </si>
  <si>
    <t>Bryan, Julian, Arshia, Chelsea, Claire</t>
  </si>
  <si>
    <t>James, Arshia, Carol</t>
  </si>
  <si>
    <t>Cadence, Jemma, Julian, Claire, Isaac</t>
  </si>
  <si>
    <t>Name</t>
  </si>
  <si>
    <t>Rating</t>
  </si>
  <si>
    <t>μ (Skill)</t>
  </si>
  <si>
    <t>φ (Deviation)</t>
  </si>
  <si>
    <t>σ (Volatility)</t>
  </si>
  <si>
    <t>Last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</si>
</sst>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Rating vs.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rating!$B$1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rating!$A$2:$A$19</c:f>
            </c:strRef>
          </c:cat>
          <c:val>
            <c:numRef>
              <c:f>rating!$B$2:$B$19</c:f>
              <c:numCache/>
            </c:numRef>
          </c:val>
        </c:ser>
        <c:axId val="186725216"/>
        <c:axId val="245390015"/>
      </c:barChart>
      <c:catAx>
        <c:axId val="18672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390015"/>
      </c:catAx>
      <c:valAx>
        <c:axId val="245390015"/>
        <c:scaling>
          <c:orientation val="minMax"/>
          <c:max val="5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252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Win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stats!$M$2:$M$1000</c:f>
              <c:numCache/>
            </c:numRef>
          </c:val>
        </c:ser>
        <c:axId val="1196656994"/>
        <c:axId val="989088070"/>
      </c:barChart>
      <c:catAx>
        <c:axId val="1196656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088070"/>
      </c:catAx>
      <c:valAx>
        <c:axId val="98908807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6569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Wins by Roles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stats!$B$1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stats!$B$2:$B$1000</c:f>
              <c:numCache/>
            </c:numRef>
          </c:val>
        </c:ser>
        <c:ser>
          <c:idx val="1"/>
          <c:order val="1"/>
          <c:tx>
            <c:strRef>
              <c:f>stats!$E$1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stats!$E$2:$E$1000</c:f>
              <c:numCache/>
            </c:numRef>
          </c:val>
        </c:ser>
        <c:ser>
          <c:idx val="2"/>
          <c:order val="2"/>
          <c:tx>
            <c:strRef>
              <c:f>stats!$H$1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stats!$H$2:$H$1000</c:f>
              <c:numCache/>
            </c:numRef>
          </c:val>
        </c:ser>
        <c:overlap val="100"/>
        <c:axId val="1846867330"/>
        <c:axId val="1220009872"/>
      </c:barChart>
      <c:catAx>
        <c:axId val="1846867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009872"/>
      </c:catAx>
      <c:valAx>
        <c:axId val="122000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867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Games by Roles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stats!$C$1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stats!$C$2:$C$1000</c:f>
              <c:numCache/>
            </c:numRef>
          </c:val>
        </c:ser>
        <c:ser>
          <c:idx val="1"/>
          <c:order val="1"/>
          <c:tx>
            <c:strRef>
              <c:f>stats!$F$1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stats!$F$2:$F$1000</c:f>
              <c:numCache/>
            </c:numRef>
          </c:val>
        </c:ser>
        <c:ser>
          <c:idx val="2"/>
          <c:order val="2"/>
          <c:tx>
            <c:strRef>
              <c:f>stats!$I$1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stats!$I$2:$I$1000</c:f>
              <c:numCache/>
            </c:numRef>
          </c:val>
        </c:ser>
        <c:overlap val="100"/>
        <c:axId val="1986112697"/>
        <c:axId val="173337"/>
      </c:barChart>
      <c:catAx>
        <c:axId val="1986112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37"/>
      </c:catAx>
      <c:valAx>
        <c:axId val="173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112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Hitler Wins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stats!$B$1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stats!$B$2:$B$1000</c:f>
              <c:numCache/>
            </c:numRef>
          </c:val>
        </c:ser>
        <c:axId val="1460884900"/>
        <c:axId val="1629804809"/>
      </c:barChart>
      <c:catAx>
        <c:axId val="1460884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804809"/>
      </c:catAx>
      <c:valAx>
        <c:axId val="1629804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0884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Hitler Win%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stats!$D$1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stats!$D$2:$D$1000</c:f>
              <c:numCache/>
            </c:numRef>
          </c:val>
        </c:ser>
        <c:axId val="506005281"/>
        <c:axId val="564110036"/>
      </c:barChart>
      <c:catAx>
        <c:axId val="506005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110036"/>
      </c:catAx>
      <c:valAx>
        <c:axId val="56411003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005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Fascist Wins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stats!$E$1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stats!$E$2:$E$1000</c:f>
              <c:numCache/>
            </c:numRef>
          </c:val>
        </c:ser>
        <c:axId val="1406911809"/>
        <c:axId val="1589495176"/>
      </c:barChart>
      <c:catAx>
        <c:axId val="1406911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9495176"/>
      </c:catAx>
      <c:valAx>
        <c:axId val="1589495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911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Fascist Win%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stats!$G$1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stats!$G$2:$G$1000</c:f>
              <c:numCache/>
            </c:numRef>
          </c:val>
        </c:ser>
        <c:axId val="259208308"/>
        <c:axId val="45331566"/>
      </c:barChart>
      <c:catAx>
        <c:axId val="259208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31566"/>
      </c:catAx>
      <c:valAx>
        <c:axId val="45331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208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Liberal Wins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stats!$H$2:$H$1000</c:f>
              <c:numCache/>
            </c:numRef>
          </c:val>
        </c:ser>
        <c:axId val="88644648"/>
        <c:axId val="953408707"/>
      </c:barChart>
      <c:catAx>
        <c:axId val="88644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408707"/>
      </c:catAx>
      <c:valAx>
        <c:axId val="9534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44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Liberal Games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stats!$I$2:$I$1000</c:f>
              <c:numCache/>
            </c:numRef>
          </c:val>
        </c:ser>
        <c:axId val="2047808178"/>
        <c:axId val="925026066"/>
      </c:barChart>
      <c:catAx>
        <c:axId val="2047808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026066"/>
      </c:catAx>
      <c:valAx>
        <c:axId val="925026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808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Liberal Win%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stats!$J$2:$J$1000</c:f>
              <c:numCache/>
            </c:numRef>
          </c:val>
        </c:ser>
        <c:axId val="1023767998"/>
        <c:axId val="482901830"/>
      </c:barChart>
      <c:catAx>
        <c:axId val="1023767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901830"/>
      </c:catAx>
      <c:valAx>
        <c:axId val="482901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767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Hitler Pick%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stats!$C$1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Pt>
            <c:idx val="991"/>
          </c:dPt>
          <c:dPt>
            <c:idx val="992"/>
          </c:dPt>
          <c:dPt>
            <c:idx val="993"/>
          </c:dPt>
          <c:dPt>
            <c:idx val="994"/>
          </c:dPt>
          <c:dPt>
            <c:idx val="995"/>
          </c:dPt>
          <c:dPt>
            <c:idx val="996"/>
          </c:dPt>
          <c:dPt>
            <c:idx val="997"/>
          </c:dPt>
          <c:dPt>
            <c:idx val="99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stats!$A$2:$A$1000</c:f>
            </c:strRef>
          </c:cat>
          <c:val>
            <c:numRef>
              <c:f>stats!$C$2:$C$1000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Hitler Games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stats!$C$2:$C$1000</c:f>
              <c:numCache/>
            </c:numRef>
          </c:val>
        </c:ser>
        <c:axId val="1814893732"/>
        <c:axId val="1632733943"/>
      </c:barChart>
      <c:catAx>
        <c:axId val="1814893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2733943"/>
      </c:catAx>
      <c:valAx>
        <c:axId val="1632733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893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Fascist Games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stats!$F$1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stats!$A$2:$A$1000</c:f>
            </c:strRef>
          </c:cat>
          <c:val>
            <c:numRef>
              <c:f>stats!$F$2:$F$1000</c:f>
              <c:numCache/>
            </c:numRef>
          </c:val>
        </c:ser>
        <c:axId val="1023009408"/>
        <c:axId val="596358217"/>
      </c:barChart>
      <c:catAx>
        <c:axId val="102300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358217"/>
      </c:catAx>
      <c:valAx>
        <c:axId val="596358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009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2.xml"/><Relationship Id="rId10" Type="http://schemas.openxmlformats.org/officeDocument/2006/relationships/chart" Target="../charts/chart11.xml"/><Relationship Id="rId13" Type="http://schemas.openxmlformats.org/officeDocument/2006/relationships/chart" Target="../charts/chart14.xml"/><Relationship Id="rId12" Type="http://schemas.openxmlformats.org/officeDocument/2006/relationships/chart" Target="../charts/chart13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0</xdr:row>
      <xdr:rowOff>171450</xdr:rowOff>
    </xdr:from>
    <xdr:ext cx="5715000" cy="4476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190500</xdr:colOff>
      <xdr:row>1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1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123825</xdr:colOff>
      <xdr:row>1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57150</xdr:colOff>
      <xdr:row>19</xdr:row>
      <xdr:rowOff>19050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190500</xdr:colOff>
      <xdr:row>19</xdr:row>
      <xdr:rowOff>19050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57150</xdr:colOff>
      <xdr:row>37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190500</xdr:colOff>
      <xdr:row>37</xdr:row>
      <xdr:rowOff>28575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57150</xdr:colOff>
      <xdr:row>55</xdr:row>
      <xdr:rowOff>38100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6</xdr:col>
      <xdr:colOff>123825</xdr:colOff>
      <xdr:row>55</xdr:row>
      <xdr:rowOff>38100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12</xdr:col>
      <xdr:colOff>190500</xdr:colOff>
      <xdr:row>55</xdr:row>
      <xdr:rowOff>38100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18</xdr:col>
      <xdr:colOff>257175</xdr:colOff>
      <xdr:row>19</xdr:row>
      <xdr:rowOff>19050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6</xdr:col>
      <xdr:colOff>123825</xdr:colOff>
      <xdr:row>19</xdr:row>
      <xdr:rowOff>19050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6</xdr:col>
      <xdr:colOff>123825</xdr:colOff>
      <xdr:row>37</xdr:row>
      <xdr:rowOff>28575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5"/>
    <col customWidth="1" min="4" max="4" width="9.88"/>
    <col customWidth="1" min="5" max="5" width="10.13"/>
    <col customWidth="1" min="6" max="6" width="12.5"/>
    <col customWidth="1" min="7" max="7" width="11.88"/>
    <col customWidth="1" min="8" max="8" width="9.75"/>
    <col customWidth="1" min="9" max="9" width="12.25"/>
    <col customWidth="1" min="10" max="10" width="11.25"/>
    <col customWidth="1" min="11" max="11" width="8.75"/>
    <col customWidth="1" min="12" max="13" width="10.38"/>
    <col customWidth="1" min="14" max="14" width="31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>
        <f>IFERROR(__xludf.DUMMYFUNCTION("COUNTIF(QUERY('game results'!$A$1:$C1000,""select B where (A matches 'Hitler' and C matches 'F')"",-1),A2)"),1.0)</f>
        <v>1</v>
      </c>
      <c r="C2" s="3">
        <f>IFERROR(__xludf.DUMMYFUNCTION("COUNTIF(QUERY('game results'!$A$1:$C1000,""select B where A matches 'Hitler'"",-1),A2)"),2.0)</f>
        <v>2</v>
      </c>
      <c r="D2" s="4">
        <f t="shared" ref="D2:D19" si="2">IF(C2&lt;&gt;0, B2/C2, "NIL")</f>
        <v>0.5</v>
      </c>
      <c r="E2" s="3">
        <f>IFERROR(__xludf.DUMMYFUNCTION("COUNT(ARRAYFORMULA(SEARCH(A2, QUERY('game results'!$A$1:$C1000,""select B where A matches 'Fascists' and C matches 'F'"",-1))))"),1.0)</f>
        <v>1</v>
      </c>
      <c r="F2" s="3">
        <f>IFERROR(__xludf.DUMMYFUNCTION("COUNT(ARRAYFORMULA(SEARCH(A2, QUERY('game results'!$A$1:$C1000,""select B where A matches 'Fascists'"",-1))))"),3.0)</f>
        <v>3</v>
      </c>
      <c r="G2" s="4">
        <f t="shared" ref="G2:G19" si="3">IF(F2&lt;&gt;0, E2/F2, "NIL")</f>
        <v>0.3333333333</v>
      </c>
      <c r="H2" s="3">
        <f>IFERROR(__xludf.DUMMYFUNCTION("COUNT(ARRAYFORMULA(SEARCH(A2, QUERY('game results'!$A$1:$C1000,""select B where A matches 'Liberals' and C matches 'L'"",-1))))"),7.0)</f>
        <v>7</v>
      </c>
      <c r="I2" s="3">
        <f>IFERROR(__xludf.DUMMYFUNCTION("COUNT(ARRAYFORMULA(SEARCH(A2, QUERY('game results'!$A$1:$C1000,""select B where A matches 'Liberals'"",-1))))"),11.0)</f>
        <v>11</v>
      </c>
      <c r="J2" s="4">
        <f t="shared" ref="J2:J19" si="4">IF(I2&lt;&gt;0, H2/I2, "NIL")</f>
        <v>0.6363636364</v>
      </c>
      <c r="K2" s="3">
        <f t="shared" ref="K2:L2" si="1">B2+E2+H2</f>
        <v>9</v>
      </c>
      <c r="L2" s="3">
        <f t="shared" si="1"/>
        <v>16</v>
      </c>
      <c r="M2" s="4">
        <f t="shared" ref="M2:M19" si="6">IF(L2&lt;&gt;0, K2/L2, "NIL")</f>
        <v>0.5625</v>
      </c>
    </row>
    <row r="3">
      <c r="A3" s="1" t="s">
        <v>13</v>
      </c>
      <c r="B3" s="2">
        <f>IFERROR(__xludf.DUMMYFUNCTION("COUNTIF(QUERY('game results'!$A$1:$C1000,""select B where (A matches 'Hitler' and C matches 'F')"",-1),A3)"),4.0)</f>
        <v>4</v>
      </c>
      <c r="C3" s="3">
        <f>IFERROR(__xludf.DUMMYFUNCTION("COUNTIF(QUERY('game results'!$A$1:$C1000,""select B where A matches 'Hitler'"",-1),A3)"),7.0)</f>
        <v>7</v>
      </c>
      <c r="D3" s="4">
        <f t="shared" si="2"/>
        <v>0.5714285714</v>
      </c>
      <c r="E3" s="3">
        <f>IFERROR(__xludf.DUMMYFUNCTION("COUNT(ARRAYFORMULA(SEARCH(A3, QUERY('game results'!$A$1:$C1000,""select B where A matches 'Fascists' and C matches 'F'"",-1))))"),3.0)</f>
        <v>3</v>
      </c>
      <c r="F3" s="3">
        <f>IFERROR(__xludf.DUMMYFUNCTION("COUNT(ARRAYFORMULA(SEARCH(A3, QUERY('game results'!$A$1:$C1000,""select B where A matches 'Fascists'"",-1))))"),8.0)</f>
        <v>8</v>
      </c>
      <c r="G3" s="4">
        <f t="shared" si="3"/>
        <v>0.375</v>
      </c>
      <c r="H3" s="3">
        <f>IFERROR(__xludf.DUMMYFUNCTION("COUNT(ARRAYFORMULA(SEARCH(A3, QUERY('game results'!$A$1:$C1000,""select B where A matches 'Liberals' and C matches 'L'"",-1))))"),7.0)</f>
        <v>7</v>
      </c>
      <c r="I3" s="3">
        <f>IFERROR(__xludf.DUMMYFUNCTION("COUNT(ARRAYFORMULA(SEARCH(A3, QUERY('game results'!$A$1:$C1000,""select B where A matches 'Liberals'"",-1))))"),14.0)</f>
        <v>14</v>
      </c>
      <c r="J3" s="4">
        <f t="shared" si="4"/>
        <v>0.5</v>
      </c>
      <c r="K3" s="3">
        <f t="shared" ref="K3:L3" si="5">B3+E3+H3</f>
        <v>14</v>
      </c>
      <c r="L3" s="3">
        <f t="shared" si="5"/>
        <v>29</v>
      </c>
      <c r="M3" s="4">
        <f t="shared" si="6"/>
        <v>0.4827586207</v>
      </c>
    </row>
    <row r="4">
      <c r="A4" s="1" t="s">
        <v>14</v>
      </c>
      <c r="B4" s="2">
        <f>IFERROR(__xludf.DUMMYFUNCTION("COUNTIF(QUERY('game results'!$A$1:$C1000,""select B where (A matches 'Hitler' and C matches 'F')"",-1),A4)"),1.0)</f>
        <v>1</v>
      </c>
      <c r="C4" s="3">
        <f>IFERROR(__xludf.DUMMYFUNCTION("COUNTIF(QUERY('game results'!$A$1:$C1000,""select B where A matches 'Hitler'"",-1),A4)"),2.0)</f>
        <v>2</v>
      </c>
      <c r="D4" s="4">
        <f t="shared" si="2"/>
        <v>0.5</v>
      </c>
      <c r="E4" s="3">
        <f>IFERROR(__xludf.DUMMYFUNCTION("COUNT(ARRAYFORMULA(SEARCH(A4, QUERY('game results'!$A$1:$C1000,""select B where A matches 'Fascists' and C matches 'F'"",-1))))"),1.0)</f>
        <v>1</v>
      </c>
      <c r="F4" s="3">
        <f>IFERROR(__xludf.DUMMYFUNCTION("COUNT(ARRAYFORMULA(SEARCH(A4, QUERY('game results'!$A$1:$C1000,""select B where A matches 'Fascists'"",-1))))"),6.0)</f>
        <v>6</v>
      </c>
      <c r="G4" s="4">
        <f t="shared" si="3"/>
        <v>0.1666666667</v>
      </c>
      <c r="H4" s="3">
        <f>IFERROR(__xludf.DUMMYFUNCTION("COUNT(ARRAYFORMULA(SEARCH(A4, QUERY('game results'!$A$1:$C1000,""select B where A matches 'Liberals' and C matches 'L'"",-1))))"),11.0)</f>
        <v>11</v>
      </c>
      <c r="I4" s="3">
        <f>IFERROR(__xludf.DUMMYFUNCTION("COUNT(ARRAYFORMULA(SEARCH(A4, QUERY('game results'!$A$1:$C1000,""select B where A matches 'Liberals'"",-1))))"),19.0)</f>
        <v>19</v>
      </c>
      <c r="J4" s="4">
        <f t="shared" si="4"/>
        <v>0.5789473684</v>
      </c>
      <c r="K4" s="3">
        <f t="shared" ref="K4:L4" si="7">B4+E4+H4</f>
        <v>13</v>
      </c>
      <c r="L4" s="3">
        <f t="shared" si="7"/>
        <v>27</v>
      </c>
      <c r="M4" s="4">
        <f t="shared" si="6"/>
        <v>0.4814814815</v>
      </c>
    </row>
    <row r="5">
      <c r="A5" s="1" t="s">
        <v>15</v>
      </c>
      <c r="B5" s="2">
        <f>IFERROR(__xludf.DUMMYFUNCTION("COUNTIF(QUERY('game results'!$A$1:$C1000,""select B where (A matches 'Hitler' and C matches 'F')"",-1),A5)"),0.0)</f>
        <v>0</v>
      </c>
      <c r="C5" s="3">
        <f>IFERROR(__xludf.DUMMYFUNCTION("COUNTIF(QUERY('game results'!$A$1:$C1000,""select B where A matches 'Hitler'"",-1),A5)"),1.0)</f>
        <v>1</v>
      </c>
      <c r="D5" s="4">
        <f t="shared" si="2"/>
        <v>0</v>
      </c>
      <c r="E5" s="3">
        <f>IFERROR(__xludf.DUMMYFUNCTION("COUNT(ARRAYFORMULA(SEARCH(A5, QUERY('game results'!$A$1:$C1000,""select B where A matches 'Fascists' and C matches 'F'"",-1))))"),3.0)</f>
        <v>3</v>
      </c>
      <c r="F5" s="3">
        <f>IFERROR(__xludf.DUMMYFUNCTION("COUNT(ARRAYFORMULA(SEARCH(A5, QUERY('game results'!$A$1:$C1000,""select B where A matches 'Fascists'"",-1))))"),5.0)</f>
        <v>5</v>
      </c>
      <c r="G5" s="4">
        <f t="shared" si="3"/>
        <v>0.6</v>
      </c>
      <c r="H5" s="3">
        <f>IFERROR(__xludf.DUMMYFUNCTION("COUNT(ARRAYFORMULA(SEARCH(A5, QUERY('game results'!$A$1:$C1000,""select B where A matches 'Liberals' and C matches 'L'"",-1))))"),5.0)</f>
        <v>5</v>
      </c>
      <c r="I5" s="3">
        <f>IFERROR(__xludf.DUMMYFUNCTION("COUNT(ARRAYFORMULA(SEARCH(A5, QUERY('game results'!$A$1:$C1000,""select B where A matches 'Liberals'"",-1))))"),9.0)</f>
        <v>9</v>
      </c>
      <c r="J5" s="4">
        <f t="shared" si="4"/>
        <v>0.5555555556</v>
      </c>
      <c r="K5" s="3">
        <f t="shared" ref="K5:L5" si="8">B5+E5+H5</f>
        <v>8</v>
      </c>
      <c r="L5" s="3">
        <f t="shared" si="8"/>
        <v>15</v>
      </c>
      <c r="M5" s="4">
        <f t="shared" si="6"/>
        <v>0.5333333333</v>
      </c>
    </row>
    <row r="6">
      <c r="A6" s="1" t="s">
        <v>16</v>
      </c>
      <c r="B6" s="2">
        <f>IFERROR(__xludf.DUMMYFUNCTION("COUNTIF(QUERY('game results'!$A$1:$C1000,""select B where (A matches 'Hitler' and C matches 'F')"",-1),A6)"),0.0)</f>
        <v>0</v>
      </c>
      <c r="C6" s="3">
        <f>IFERROR(__xludf.DUMMYFUNCTION("COUNTIF(QUERY('game results'!$A$1:$C1000,""select B where A matches 'Hitler'"",-1),A6)"),1.0)</f>
        <v>1</v>
      </c>
      <c r="D6" s="4">
        <f t="shared" si="2"/>
        <v>0</v>
      </c>
      <c r="E6" s="3">
        <f>IFERROR(__xludf.DUMMYFUNCTION("COUNT(ARRAYFORMULA(SEARCH(A6, QUERY('game results'!$A$1:$C1000,""select B where A matches 'Fascists' and C matches 'F'"",-1))))"),3.0)</f>
        <v>3</v>
      </c>
      <c r="F6" s="3">
        <f>IFERROR(__xludf.DUMMYFUNCTION("COUNT(ARRAYFORMULA(SEARCH(A6, QUERY('game results'!$A$1:$C1000,""select B where A matches 'Fascists'"",-1))))"),4.0)</f>
        <v>4</v>
      </c>
      <c r="G6" s="4">
        <f t="shared" si="3"/>
        <v>0.75</v>
      </c>
      <c r="H6" s="3">
        <f>IFERROR(__xludf.DUMMYFUNCTION("COUNT(ARRAYFORMULA(SEARCH(A6, QUERY('game results'!$A$1:$C1000,""select B where A matches 'Liberals' and C matches 'L'"",-1))))"),2.0)</f>
        <v>2</v>
      </c>
      <c r="I6" s="3">
        <f>IFERROR(__xludf.DUMMYFUNCTION("COUNT(ARRAYFORMULA(SEARCH(A6, QUERY('game results'!$A$1:$C1000,""select B where A matches 'Liberals'"",-1))))"),5.0)</f>
        <v>5</v>
      </c>
      <c r="J6" s="4">
        <f t="shared" si="4"/>
        <v>0.4</v>
      </c>
      <c r="K6" s="3">
        <f t="shared" ref="K6:L6" si="9">B6+E6+H6</f>
        <v>5</v>
      </c>
      <c r="L6" s="3">
        <f t="shared" si="9"/>
        <v>10</v>
      </c>
      <c r="M6" s="4">
        <f t="shared" si="6"/>
        <v>0.5</v>
      </c>
    </row>
    <row r="7">
      <c r="A7" s="5" t="s">
        <v>17</v>
      </c>
      <c r="B7" s="2">
        <f>IFERROR(__xludf.DUMMYFUNCTION("COUNTIF(QUERY('game results'!$A$1:$C1000,""select B where (A matches 'Hitler' and C matches 'F')"",-1),A7)"),1.0)</f>
        <v>1</v>
      </c>
      <c r="C7" s="2">
        <f>IFERROR(__xludf.DUMMYFUNCTION("COUNTIF(QUERY('game results'!$A$1:$C1000,""select B where A matches 'Hitler'"",-1),A7)"),2.0)</f>
        <v>2</v>
      </c>
      <c r="D7" s="6">
        <f t="shared" si="2"/>
        <v>0.5</v>
      </c>
      <c r="E7" s="2">
        <f>IFERROR(__xludf.DUMMYFUNCTION("COUNT(ARRAYFORMULA(SEARCH(A7, QUERY('game results'!$A$1:$C1000,""select B where A matches 'Fascists' and C matches 'F'"",-1))))"),2.0)</f>
        <v>2</v>
      </c>
      <c r="F7" s="2">
        <f>IFERROR(__xludf.DUMMYFUNCTION("COUNT(ARRAYFORMULA(SEARCH(A7, QUERY('game results'!$A$1:$C1000,""select B where A matches 'Fascists'"",-1))))"),2.0)</f>
        <v>2</v>
      </c>
      <c r="G7" s="6">
        <f t="shared" si="3"/>
        <v>1</v>
      </c>
      <c r="H7" s="2">
        <f>IFERROR(__xludf.DUMMYFUNCTION("COUNT(ARRAYFORMULA(SEARCH(A7, QUERY('game results'!$A$1:$C1000,""select B where A matches 'Liberals' and C matches 'L'"",-1))))"),1.0)</f>
        <v>1</v>
      </c>
      <c r="I7" s="2">
        <f>IFERROR(__xludf.DUMMYFUNCTION("COUNT(ARRAYFORMULA(SEARCH(A7, QUERY('game results'!$A$1:$C1000,""select B where A matches 'Liberals'"",-1))))"),7.0)</f>
        <v>7</v>
      </c>
      <c r="J7" s="7">
        <f t="shared" si="4"/>
        <v>0.1428571429</v>
      </c>
      <c r="K7" s="2">
        <f t="shared" ref="K7:L7" si="10">B7+E7+H7</f>
        <v>4</v>
      </c>
      <c r="L7" s="2">
        <f t="shared" si="10"/>
        <v>11</v>
      </c>
      <c r="M7" s="7">
        <f t="shared" si="6"/>
        <v>0.3636363636</v>
      </c>
    </row>
    <row r="8">
      <c r="A8" s="1" t="s">
        <v>18</v>
      </c>
      <c r="B8" s="2">
        <f>IFERROR(__xludf.DUMMYFUNCTION("COUNTIF(QUERY('game results'!$A$1:$C1000,""select B where (A matches 'Hitler' and C matches 'F')"",-1),A8)"),0.0)</f>
        <v>0</v>
      </c>
      <c r="C8" s="3">
        <f>IFERROR(__xludf.DUMMYFUNCTION("COUNTIF(QUERY('game results'!$A$1:$C1000,""select B where A matches 'Hitler'"",-1),A8)"),0.0)</f>
        <v>0</v>
      </c>
      <c r="D8" s="4" t="str">
        <f t="shared" si="2"/>
        <v>NIL</v>
      </c>
      <c r="E8" s="3">
        <f>IFERROR(__xludf.DUMMYFUNCTION("COUNT(ARRAYFORMULA(SEARCH(A8, QUERY('game results'!$A$1:$C1000,""select B where A matches 'Fascists' and C matches 'F'"",-1))))"),1.0)</f>
        <v>1</v>
      </c>
      <c r="F8" s="3">
        <f>IFERROR(__xludf.DUMMYFUNCTION("COUNT(ARRAYFORMULA(SEARCH(A8, QUERY('game results'!$A$1:$C1000,""select B where A matches 'Fascists'"",-1))))"),2.0)</f>
        <v>2</v>
      </c>
      <c r="G8" s="4">
        <f t="shared" si="3"/>
        <v>0.5</v>
      </c>
      <c r="H8" s="3">
        <f>IFERROR(__xludf.DUMMYFUNCTION("COUNT(ARRAYFORMULA(SEARCH(A8, QUERY('game results'!$A$1:$C1000,""select B where A matches 'Liberals' and C matches 'L'"",-1))))"),0.0)</f>
        <v>0</v>
      </c>
      <c r="I8" s="3">
        <f>IFERROR(__xludf.DUMMYFUNCTION("COUNT(ARRAYFORMULA(SEARCH(A8, QUERY('game results'!$A$1:$C1000,""select B where A matches 'Liberals'"",-1))))"),2.0)</f>
        <v>2</v>
      </c>
      <c r="J8" s="4">
        <f t="shared" si="4"/>
        <v>0</v>
      </c>
      <c r="K8" s="3">
        <f t="shared" ref="K8:L8" si="11">B8+E8+H8</f>
        <v>1</v>
      </c>
      <c r="L8" s="3">
        <f t="shared" si="11"/>
        <v>4</v>
      </c>
      <c r="M8" s="4">
        <f t="shared" si="6"/>
        <v>0.25</v>
      </c>
    </row>
    <row r="9">
      <c r="A9" s="1" t="s">
        <v>19</v>
      </c>
      <c r="B9" s="2">
        <f>IFERROR(__xludf.DUMMYFUNCTION("COUNTIF(QUERY('game results'!$A$1:$C1000,""select B where (A matches 'Hitler' and C matches 'F')"",-1),A9)"),0.0)</f>
        <v>0</v>
      </c>
      <c r="C9" s="3">
        <f>IFERROR(__xludf.DUMMYFUNCTION("COUNTIF(QUERY('game results'!$A$1:$C1000,""select B where A matches 'Hitler'"",-1),A9)"),0.0)</f>
        <v>0</v>
      </c>
      <c r="D9" s="4" t="str">
        <f t="shared" si="2"/>
        <v>NIL</v>
      </c>
      <c r="E9" s="3">
        <f>IFERROR(__xludf.DUMMYFUNCTION("COUNT(ARRAYFORMULA(SEARCH(A9, QUERY('game results'!$A$1:$C1000,""select B where A matches 'Fascists' and C matches 'F'"",-1))))"),2.0)</f>
        <v>2</v>
      </c>
      <c r="F9" s="3">
        <f>IFERROR(__xludf.DUMMYFUNCTION("COUNT(ARRAYFORMULA(SEARCH(A9, QUERY('game results'!$A$1:$C1000,""select B where A matches 'Fascists'"",-1))))"),4.0)</f>
        <v>4</v>
      </c>
      <c r="G9" s="4">
        <f t="shared" si="3"/>
        <v>0.5</v>
      </c>
      <c r="H9" s="3">
        <f>IFERROR(__xludf.DUMMYFUNCTION("COUNT(ARRAYFORMULA(SEARCH(A9, QUERY('game results'!$A$1:$C1000,""select B where A matches 'Liberals' and C matches 'L'"",-1))))"),5.0)</f>
        <v>5</v>
      </c>
      <c r="I9" s="3">
        <f>IFERROR(__xludf.DUMMYFUNCTION("COUNT(ARRAYFORMULA(SEARCH(A9, QUERY('game results'!$A$1:$C1000,""select B where A matches 'Liberals'"",-1))))"),7.0)</f>
        <v>7</v>
      </c>
      <c r="J9" s="4">
        <f t="shared" si="4"/>
        <v>0.7142857143</v>
      </c>
      <c r="K9" s="3">
        <f t="shared" ref="K9:L9" si="12">B9+E9+H9</f>
        <v>7</v>
      </c>
      <c r="L9" s="3">
        <f t="shared" si="12"/>
        <v>11</v>
      </c>
      <c r="M9" s="4">
        <f t="shared" si="6"/>
        <v>0.6363636364</v>
      </c>
    </row>
    <row r="10">
      <c r="A10" s="1" t="s">
        <v>20</v>
      </c>
      <c r="B10" s="2">
        <f>IFERROR(__xludf.DUMMYFUNCTION("COUNTIF(QUERY('game results'!$A$1:$C1000,""select B where (A matches 'Hitler' and C matches 'F')"",-1),A10)"),0.0)</f>
        <v>0</v>
      </c>
      <c r="C10" s="3">
        <f>IFERROR(__xludf.DUMMYFUNCTION("COUNTIF(QUERY('game results'!$A$1:$C1000,""select B where A matches 'Hitler'"",-1),A10)"),1.0)</f>
        <v>1</v>
      </c>
      <c r="D10" s="4">
        <f t="shared" si="2"/>
        <v>0</v>
      </c>
      <c r="E10" s="3">
        <f>IFERROR(__xludf.DUMMYFUNCTION("COUNT(ARRAYFORMULA(SEARCH(A10, QUERY('game results'!$A$1:$C1000,""select B where A matches 'Fascists' and C matches 'F'"",-1))))"),5.0)</f>
        <v>5</v>
      </c>
      <c r="F10" s="3">
        <f>IFERROR(__xludf.DUMMYFUNCTION("COUNT(ARRAYFORMULA(SEARCH(A10, QUERY('game results'!$A$1:$C1000,""select B where A matches 'Fascists'"",-1))))"),11.0)</f>
        <v>11</v>
      </c>
      <c r="G10" s="4">
        <f t="shared" si="3"/>
        <v>0.4545454545</v>
      </c>
      <c r="H10" s="3">
        <f>IFERROR(__xludf.DUMMYFUNCTION("COUNT(ARRAYFORMULA(SEARCH(A10, QUERY('game results'!$A$1:$C1000,""select B where A matches 'Liberals' and C matches 'L'"",-1))))"),18.0)</f>
        <v>18</v>
      </c>
      <c r="I10" s="3">
        <f>IFERROR(__xludf.DUMMYFUNCTION("COUNT(ARRAYFORMULA(SEARCH(A10, QUERY('game results'!$A$1:$C1000,""select B where A matches 'Liberals'"",-1))))"),28.0)</f>
        <v>28</v>
      </c>
      <c r="J10" s="4">
        <f t="shared" si="4"/>
        <v>0.6428571429</v>
      </c>
      <c r="K10" s="3">
        <f t="shared" ref="K10:L10" si="13">B10+E10+H10</f>
        <v>23</v>
      </c>
      <c r="L10" s="3">
        <f t="shared" si="13"/>
        <v>40</v>
      </c>
      <c r="M10" s="4">
        <f t="shared" si="6"/>
        <v>0.575</v>
      </c>
    </row>
    <row r="11">
      <c r="A11" s="1" t="s">
        <v>21</v>
      </c>
      <c r="B11" s="2">
        <f>IFERROR(__xludf.DUMMYFUNCTION("COUNTIF(QUERY('game results'!$A$1:$C1000,""select B where (A matches 'Hitler' and C matches 'F')"",-1),A11)"),0.0)</f>
        <v>0</v>
      </c>
      <c r="C11" s="3">
        <f>IFERROR(__xludf.DUMMYFUNCTION("COUNTIF(QUERY('game results'!$A$1:$C1000,""select B where A matches 'Hitler'"",-1),A11)"),0.0)</f>
        <v>0</v>
      </c>
      <c r="D11" s="4" t="str">
        <f t="shared" si="2"/>
        <v>NIL</v>
      </c>
      <c r="E11" s="3">
        <f>IFERROR(__xludf.DUMMYFUNCTION("COUNT(ARRAYFORMULA(SEARCH(A11, QUERY('game results'!$A$1:$C1000,""select B where A matches 'Fascists' and C matches 'F'"",-1))))"),0.0)</f>
        <v>0</v>
      </c>
      <c r="F11" s="3">
        <f>IFERROR(__xludf.DUMMYFUNCTION("COUNT(ARRAYFORMULA(SEARCH(A11, QUERY('game results'!$A$1:$C1000,""select B where A matches 'Fascists'"",-1))))"),0.0)</f>
        <v>0</v>
      </c>
      <c r="G11" s="4" t="str">
        <f t="shared" si="3"/>
        <v>NIL</v>
      </c>
      <c r="H11" s="3">
        <f>IFERROR(__xludf.DUMMYFUNCTION("COUNT(ARRAYFORMULA(SEARCH(A11, QUERY('game results'!$A$1:$C1000,""select B where A matches 'Liberals' and C matches 'L'"",-1))))"),1.0)</f>
        <v>1</v>
      </c>
      <c r="I11" s="3">
        <f>IFERROR(__xludf.DUMMYFUNCTION("COUNT(ARRAYFORMULA(SEARCH(A11, QUERY('game results'!$A$1:$C1000,""select B where A matches 'Liberals'"",-1))))"),3.0)</f>
        <v>3</v>
      </c>
      <c r="J11" s="4">
        <f t="shared" si="4"/>
        <v>0.3333333333</v>
      </c>
      <c r="K11" s="3">
        <f t="shared" ref="K11:L11" si="14">B11+E11+H11</f>
        <v>1</v>
      </c>
      <c r="L11" s="3">
        <f t="shared" si="14"/>
        <v>3</v>
      </c>
      <c r="M11" s="4">
        <f t="shared" si="6"/>
        <v>0.3333333333</v>
      </c>
    </row>
    <row r="12">
      <c r="A12" s="1" t="s">
        <v>22</v>
      </c>
      <c r="B12" s="2">
        <f>IFERROR(__xludf.DUMMYFUNCTION("COUNTIF(QUERY('game results'!$A$1:$C1000,""select B where (A matches 'Hitler' and C matches 'F')"",-1),A12)"),0.0)</f>
        <v>0</v>
      </c>
      <c r="C12" s="3">
        <f>IFERROR(__xludf.DUMMYFUNCTION("COUNTIF(QUERY('game results'!$A$1:$C1000,""select B where A matches 'Hitler'"",-1),A12)"),1.0)</f>
        <v>1</v>
      </c>
      <c r="D12" s="4">
        <f t="shared" si="2"/>
        <v>0</v>
      </c>
      <c r="E12" s="3">
        <f>IFERROR(__xludf.DUMMYFUNCTION("COUNT(ARRAYFORMULA(SEARCH(A12, QUERY('game results'!$A$1:$C1000,""select B where A matches 'Fascists' and C matches 'F'"",-1))))"),2.0)</f>
        <v>2</v>
      </c>
      <c r="F12" s="3">
        <f>IFERROR(__xludf.DUMMYFUNCTION("COUNT(ARRAYFORMULA(SEARCH(A12, QUERY('game results'!$A$1:$C1000,""select B where A matches 'Fascists'"",-1))))"),4.0)</f>
        <v>4</v>
      </c>
      <c r="G12" s="4">
        <f t="shared" si="3"/>
        <v>0.5</v>
      </c>
      <c r="H12" s="3">
        <f>IFERROR(__xludf.DUMMYFUNCTION("COUNT(ARRAYFORMULA(SEARCH(A12, QUERY('game results'!$A$1:$C1000,""select B where A matches 'Liberals' and C matches 'L'"",-1))))"),3.0)</f>
        <v>3</v>
      </c>
      <c r="I12" s="3">
        <f>IFERROR(__xludf.DUMMYFUNCTION("COUNT(ARRAYFORMULA(SEARCH(A12, QUERY('game results'!$A$1:$C1000,""select B where A matches 'Liberals'"",-1))))"),8.0)</f>
        <v>8</v>
      </c>
      <c r="J12" s="4">
        <f t="shared" si="4"/>
        <v>0.375</v>
      </c>
      <c r="K12" s="3">
        <f t="shared" ref="K12:L12" si="15">B12+E12+H12</f>
        <v>5</v>
      </c>
      <c r="L12" s="3">
        <f t="shared" si="15"/>
        <v>13</v>
      </c>
      <c r="M12" s="4">
        <f t="shared" si="6"/>
        <v>0.3846153846</v>
      </c>
    </row>
    <row r="13">
      <c r="A13" s="1" t="s">
        <v>23</v>
      </c>
      <c r="B13" s="2">
        <f>IFERROR(__xludf.DUMMYFUNCTION("COUNTIF(QUERY('game results'!$A$1:$C1000,""select B where (A matches 'Hitler' and C matches 'F')"",-1),A13)"),1.0)</f>
        <v>1</v>
      </c>
      <c r="C13" s="3">
        <f>IFERROR(__xludf.DUMMYFUNCTION("COUNTIF(QUERY('game results'!$A$1:$C1000,""select B where A matches 'Hitler'"",-1),A13)"),10.0)</f>
        <v>10</v>
      </c>
      <c r="D13" s="4">
        <f t="shared" si="2"/>
        <v>0.1</v>
      </c>
      <c r="E13" s="3">
        <f>IFERROR(__xludf.DUMMYFUNCTION("COUNT(ARRAYFORMULA(SEARCH(A13, QUERY('game results'!$A$1:$C1000,""select B where A matches 'Fascists' and C matches 'F'"",-1))))"),5.0)</f>
        <v>5</v>
      </c>
      <c r="F13" s="3">
        <f>IFERROR(__xludf.DUMMYFUNCTION("COUNT(ARRAYFORMULA(SEARCH(A13, QUERY('game results'!$A$1:$C1000,""select B where A matches 'Fascists'"",-1))))"),12.0)</f>
        <v>12</v>
      </c>
      <c r="G13" s="4">
        <f t="shared" si="3"/>
        <v>0.4166666667</v>
      </c>
      <c r="H13" s="3">
        <f>IFERROR(__xludf.DUMMYFUNCTION("COUNT(ARRAYFORMULA(SEARCH(A13, QUERY('game results'!$A$1:$C1000,""select B where A matches 'Liberals' and C matches 'L'"",-1))))"),8.0)</f>
        <v>8</v>
      </c>
      <c r="I13" s="3">
        <f>IFERROR(__xludf.DUMMYFUNCTION("COUNT(ARRAYFORMULA(SEARCH(A13, QUERY('game results'!$A$1:$C1000,""select B where A matches 'Liberals'"",-1))))"),17.0)</f>
        <v>17</v>
      </c>
      <c r="J13" s="4">
        <f t="shared" si="4"/>
        <v>0.4705882353</v>
      </c>
      <c r="K13" s="3">
        <f t="shared" ref="K13:L13" si="16">B13+E13+H13</f>
        <v>14</v>
      </c>
      <c r="L13" s="3">
        <f t="shared" si="16"/>
        <v>39</v>
      </c>
      <c r="M13" s="4">
        <f t="shared" si="6"/>
        <v>0.358974359</v>
      </c>
    </row>
    <row r="14">
      <c r="A14" s="1" t="s">
        <v>24</v>
      </c>
      <c r="B14" s="2">
        <f>IFERROR(__xludf.DUMMYFUNCTION("COUNTIF(QUERY('game results'!$A$1:$C1000,""select B where (A matches 'Hitler' and C matches 'F')"",-1),A14)"),0.0)</f>
        <v>0</v>
      </c>
      <c r="C14" s="3">
        <f>IFERROR(__xludf.DUMMYFUNCTION("COUNTIF(QUERY('game results'!$A$1:$C1000,""select B where A matches 'Hitler'"",-1),A14)"),1.0)</f>
        <v>1</v>
      </c>
      <c r="D14" s="4">
        <f t="shared" si="2"/>
        <v>0</v>
      </c>
      <c r="E14" s="3">
        <f>IFERROR(__xludf.DUMMYFUNCTION("COUNT(ARRAYFORMULA(SEARCH(A14, QUERY('game results'!$A$1:$C1000,""select B where A matches 'Fascists' and C matches 'F'"",-1))))"),0.0)</f>
        <v>0</v>
      </c>
      <c r="F14" s="3">
        <f>IFERROR(__xludf.DUMMYFUNCTION("COUNT(ARRAYFORMULA(SEARCH(A14, QUERY('game results'!$A$1:$C1000,""select B where A matches 'Fascists'"",-1))))"),0.0)</f>
        <v>0</v>
      </c>
      <c r="G14" s="4" t="str">
        <f t="shared" si="3"/>
        <v>NIL</v>
      </c>
      <c r="H14" s="3">
        <f>IFERROR(__xludf.DUMMYFUNCTION("COUNT(ARRAYFORMULA(SEARCH(A14, QUERY('game results'!$A$1:$C1000,""select B where A matches 'Liberals' and C matches 'L'"",-1))))"),4.0)</f>
        <v>4</v>
      </c>
      <c r="I14" s="3">
        <f>IFERROR(__xludf.DUMMYFUNCTION("COUNT(ARRAYFORMULA(SEARCH(A14, QUERY('game results'!$A$1:$C1000,""select B where A matches 'Liberals'"",-1))))"),7.0)</f>
        <v>7</v>
      </c>
      <c r="J14" s="4">
        <f t="shared" si="4"/>
        <v>0.5714285714</v>
      </c>
      <c r="K14" s="3">
        <f t="shared" ref="K14:L14" si="17">B14+E14+H14</f>
        <v>4</v>
      </c>
      <c r="L14" s="3">
        <f t="shared" si="17"/>
        <v>8</v>
      </c>
      <c r="M14" s="4">
        <f t="shared" si="6"/>
        <v>0.5</v>
      </c>
    </row>
    <row r="15">
      <c r="A15" s="1" t="s">
        <v>25</v>
      </c>
      <c r="B15" s="2">
        <f>IFERROR(__xludf.DUMMYFUNCTION("COUNTIF(QUERY('game results'!$A$1:$C1000,""select B where (A matches 'Hitler' and C matches 'F')"",-1),A15)"),4.0)</f>
        <v>4</v>
      </c>
      <c r="C15" s="3">
        <f>IFERROR(__xludf.DUMMYFUNCTION("COUNTIF(QUERY('game results'!$A$1:$C1000,""select B where A matches 'Hitler'"",-1),A15)"),8.0)</f>
        <v>8</v>
      </c>
      <c r="D15" s="4">
        <f t="shared" si="2"/>
        <v>0.5</v>
      </c>
      <c r="E15" s="3">
        <f>IFERROR(__xludf.DUMMYFUNCTION("COUNT(ARRAYFORMULA(SEARCH(A15, QUERY('game results'!$A$1:$C1000,""select B where A matches 'Fascists' and C matches 'F'"",-1))))"),5.0)</f>
        <v>5</v>
      </c>
      <c r="F15" s="3">
        <f>IFERROR(__xludf.DUMMYFUNCTION("COUNT(ARRAYFORMULA(SEARCH(A15, QUERY('game results'!$A$1:$C1000,""select B where A matches 'Fascists'"",-1))))"),13.0)</f>
        <v>13</v>
      </c>
      <c r="G15" s="4">
        <f t="shared" si="3"/>
        <v>0.3846153846</v>
      </c>
      <c r="H15" s="3">
        <f>IFERROR(__xludf.DUMMYFUNCTION("COUNT(ARRAYFORMULA(SEARCH(A15, QUERY('game results'!$A$1:$C1000,""select B where A matches 'Liberals' and C matches 'L'"",-1))))"),14.0)</f>
        <v>14</v>
      </c>
      <c r="I15" s="3">
        <f>IFERROR(__xludf.DUMMYFUNCTION("COUNT(ARRAYFORMULA(SEARCH(A15, QUERY('game results'!$A$1:$C1000,""select B where A matches 'Liberals'"",-1))))"),23.0)</f>
        <v>23</v>
      </c>
      <c r="J15" s="4">
        <f t="shared" si="4"/>
        <v>0.6086956522</v>
      </c>
      <c r="K15" s="3">
        <f t="shared" ref="K15:L15" si="18">B15+E15+H15</f>
        <v>23</v>
      </c>
      <c r="L15" s="3">
        <f t="shared" si="18"/>
        <v>44</v>
      </c>
      <c r="M15" s="4">
        <f t="shared" si="6"/>
        <v>0.5227272727</v>
      </c>
    </row>
    <row r="16">
      <c r="A16" s="1" t="s">
        <v>26</v>
      </c>
      <c r="B16" s="2">
        <f>IFERROR(__xludf.DUMMYFUNCTION("COUNTIF(QUERY('game results'!$A$1:$C1000,""select B where (A matches 'Hitler' and C matches 'F')"",-1),A16)"),0.0)</f>
        <v>0</v>
      </c>
      <c r="C16" s="3">
        <f>IFERROR(__xludf.DUMMYFUNCTION("COUNTIF(QUERY('game results'!$A$1:$C1000,""select B where A matches 'Hitler'"",-1),A16)"),0.0)</f>
        <v>0</v>
      </c>
      <c r="D16" s="4" t="str">
        <f t="shared" si="2"/>
        <v>NIL</v>
      </c>
      <c r="E16" s="3">
        <f>IFERROR(__xludf.DUMMYFUNCTION("COUNT(ARRAYFORMULA(SEARCH(A16, QUERY('game results'!$A$1:$C1000,""select B where A matches 'Fascists' and C matches 'F'"",-1))))"),0.0)</f>
        <v>0</v>
      </c>
      <c r="F16" s="3">
        <f>IFERROR(__xludf.DUMMYFUNCTION("COUNT(ARRAYFORMULA(SEARCH(A16, QUERY('game results'!$A$1:$C1000,""select B where A matches 'Fascists'"",-1))))"),0.0)</f>
        <v>0</v>
      </c>
      <c r="G16" s="4" t="str">
        <f t="shared" si="3"/>
        <v>NIL</v>
      </c>
      <c r="H16" s="3">
        <f>IFERROR(__xludf.DUMMYFUNCTION("COUNT(ARRAYFORMULA(SEARCH(A16, QUERY('game results'!$A$1:$C1000,""select B where A matches 'Liberals' and C matches 'L'"",-1))))"),0.0)</f>
        <v>0</v>
      </c>
      <c r="I16" s="3">
        <f>IFERROR(__xludf.DUMMYFUNCTION("COUNT(ARRAYFORMULA(SEARCH(A16, QUERY('game results'!$A$1:$C1000,""select B where A matches 'Liberals'"",-1))))"),3.0)</f>
        <v>3</v>
      </c>
      <c r="J16" s="4">
        <f t="shared" si="4"/>
        <v>0</v>
      </c>
      <c r="K16" s="3">
        <f t="shared" ref="K16:L16" si="19">B16+E16+H16</f>
        <v>0</v>
      </c>
      <c r="L16" s="3">
        <f t="shared" si="19"/>
        <v>3</v>
      </c>
      <c r="M16" s="4">
        <f t="shared" si="6"/>
        <v>0</v>
      </c>
    </row>
    <row r="17">
      <c r="A17" s="1" t="s">
        <v>27</v>
      </c>
      <c r="B17" s="2">
        <f>IFERROR(__xludf.DUMMYFUNCTION("COUNTIF(QUERY('game results'!$A$1:$C1000,""select B where (A matches 'Hitler' and C matches 'F')"",-1),A17)"),1.0)</f>
        <v>1</v>
      </c>
      <c r="C17" s="3">
        <f>IFERROR(__xludf.DUMMYFUNCTION("COUNTIF(QUERY('game results'!$A$1:$C1000,""select B where A matches 'Hitler'"",-1),A17)"),1.0)</f>
        <v>1</v>
      </c>
      <c r="D17" s="4">
        <f t="shared" si="2"/>
        <v>1</v>
      </c>
      <c r="E17" s="3">
        <f>IFERROR(__xludf.DUMMYFUNCTION("COUNT(ARRAYFORMULA(SEARCH(A17, QUERY('game results'!$A$1:$C1000,""select B where A matches 'Fascists' and C matches 'F'"",-1))))"),2.0)</f>
        <v>2</v>
      </c>
      <c r="F17" s="3">
        <f>IFERROR(__xludf.DUMMYFUNCTION("COUNT(ARRAYFORMULA(SEARCH(A17, QUERY('game results'!$A$1:$C1000,""select B where A matches 'Fascists'"",-1))))"),2.0)</f>
        <v>2</v>
      </c>
      <c r="G17" s="4">
        <f t="shared" si="3"/>
        <v>1</v>
      </c>
      <c r="H17" s="3">
        <f>IFERROR(__xludf.DUMMYFUNCTION("COUNT(ARRAYFORMULA(SEARCH(A17, QUERY('game results'!$A$1:$C1000,""select B where A matches 'Liberals' and C matches 'L'"",-1))))"),0.0)</f>
        <v>0</v>
      </c>
      <c r="I17" s="3">
        <f>IFERROR(__xludf.DUMMYFUNCTION("COUNT(ARRAYFORMULA(SEARCH(A17, QUERY('game results'!$A$1:$C1000,""select B where A matches 'Liberals'"",-1))))"),0.0)</f>
        <v>0</v>
      </c>
      <c r="J17" s="4" t="str">
        <f t="shared" si="4"/>
        <v>NIL</v>
      </c>
      <c r="K17" s="3">
        <f t="shared" ref="K17:L17" si="20">B17+E17+H17</f>
        <v>3</v>
      </c>
      <c r="L17" s="3">
        <f t="shared" si="20"/>
        <v>3</v>
      </c>
      <c r="M17" s="4">
        <f t="shared" si="6"/>
        <v>1</v>
      </c>
    </row>
    <row r="18">
      <c r="A18" s="1" t="s">
        <v>28</v>
      </c>
      <c r="B18" s="2">
        <f>IFERROR(__xludf.DUMMYFUNCTION("COUNTIF(QUERY('game results'!$A$1:$C1000,""select B where (A matches 'Hitler' and C matches 'F')"",-1),A18)"),2.0)</f>
        <v>2</v>
      </c>
      <c r="C18" s="3">
        <f>IFERROR(__xludf.DUMMYFUNCTION("COUNTIF(QUERY('game results'!$A$1:$C1000,""select B where A matches 'Hitler'"",-1),A18)"),3.0)</f>
        <v>3</v>
      </c>
      <c r="D18" s="4">
        <f t="shared" si="2"/>
        <v>0.6666666667</v>
      </c>
      <c r="E18" s="3">
        <f>IFERROR(__xludf.DUMMYFUNCTION("COUNT(ARRAYFORMULA(SEARCH(A18, QUERY('game results'!$A$1:$C1000,""select B where A matches 'Fascists' and C matches 'F'"",-1))))"),4.0)</f>
        <v>4</v>
      </c>
      <c r="F18" s="3">
        <f>IFERROR(__xludf.DUMMYFUNCTION("COUNT(ARRAYFORMULA(SEARCH(A18, QUERY('game results'!$A$1:$C1000,""select B where A matches 'Fascists'"",-1))))"),6.0)</f>
        <v>6</v>
      </c>
      <c r="G18" s="4">
        <f t="shared" si="3"/>
        <v>0.6666666667</v>
      </c>
      <c r="H18" s="3">
        <f>IFERROR(__xludf.DUMMYFUNCTION("COUNT(ARRAYFORMULA(SEARCH(A18, QUERY('game results'!$A$1:$C1000,""select B where A matches 'Liberals' and C matches 'L'"",-1))))"),11.0)</f>
        <v>11</v>
      </c>
      <c r="I18" s="3">
        <f>IFERROR(__xludf.DUMMYFUNCTION("COUNT(ARRAYFORMULA(SEARCH(A18, QUERY('game results'!$A$1:$C1000,""select B where A matches 'Liberals'"",-1))))"),16.0)</f>
        <v>16</v>
      </c>
      <c r="J18" s="4">
        <f t="shared" si="4"/>
        <v>0.6875</v>
      </c>
      <c r="K18" s="3">
        <f t="shared" ref="K18:L18" si="21">B18+E18+H18</f>
        <v>17</v>
      </c>
      <c r="L18" s="3">
        <f t="shared" si="21"/>
        <v>25</v>
      </c>
      <c r="M18" s="4">
        <f t="shared" si="6"/>
        <v>0.68</v>
      </c>
    </row>
    <row r="19">
      <c r="A19" s="1" t="s">
        <v>29</v>
      </c>
      <c r="B19" s="2">
        <f>IFERROR(__xludf.DUMMYFUNCTION("COUNTIF(QUERY('game results'!$A$1:$C1000,""select B where (A matches 'Hitler' and C matches 'F')"",-1),A19)"),3.0)</f>
        <v>3</v>
      </c>
      <c r="C19" s="3">
        <f>IFERROR(__xludf.DUMMYFUNCTION("COUNTIF(QUERY('game results'!$A$1:$C1000,""select B where A matches 'Hitler'"",-1),A19)"),4.0)</f>
        <v>4</v>
      </c>
      <c r="D19" s="4">
        <f t="shared" si="2"/>
        <v>0.75</v>
      </c>
      <c r="E19" s="3">
        <f>IFERROR(__xludf.DUMMYFUNCTION("COUNT(ARRAYFORMULA(SEARCH(A19, QUERY('game results'!$A$1:$C1000,""select B where A matches 'Fascists' and C matches 'F'"",-1))))"),3.0)</f>
        <v>3</v>
      </c>
      <c r="F19" s="3">
        <f>IFERROR(__xludf.DUMMYFUNCTION("COUNT(ARRAYFORMULA(SEARCH(A19, QUERY('game results'!$A$1:$C1000,""select B where A matches 'Fascists'"",-1))))"),6.0)</f>
        <v>6</v>
      </c>
      <c r="G19" s="4">
        <f t="shared" si="3"/>
        <v>0.5</v>
      </c>
      <c r="H19" s="3">
        <f>IFERROR(__xludf.DUMMYFUNCTION("COUNT(ARRAYFORMULA(SEARCH(A19, QUERY('game results'!$A$1:$C1000,""select B where A matches 'Liberals' and C matches 'L'"",-1))))"),9.0)</f>
        <v>9</v>
      </c>
      <c r="I19" s="3">
        <f>IFERROR(__xludf.DUMMYFUNCTION("COUNT(ARRAYFORMULA(SEARCH(A19, QUERY('game results'!$A$1:$C1000,""select B where A matches 'Liberals'"",-1))))"),11.0)</f>
        <v>11</v>
      </c>
      <c r="J19" s="4">
        <f t="shared" si="4"/>
        <v>0.8181818182</v>
      </c>
      <c r="K19" s="3">
        <f t="shared" ref="K19:L19" si="22">B19+E19+H19</f>
        <v>15</v>
      </c>
      <c r="L19" s="3">
        <f t="shared" si="22"/>
        <v>21</v>
      </c>
      <c r="M19" s="4">
        <f t="shared" si="6"/>
        <v>0.7142857143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</cols>
  <sheetData>
    <row r="1">
      <c r="A1" s="1" t="s">
        <v>30</v>
      </c>
      <c r="B1" s="1" t="s">
        <v>31</v>
      </c>
      <c r="C1" s="1" t="s">
        <v>32</v>
      </c>
    </row>
    <row r="2">
      <c r="A2" s="5" t="s">
        <v>33</v>
      </c>
      <c r="B2" s="5" t="s">
        <v>28</v>
      </c>
      <c r="C2" s="5" t="s">
        <v>34</v>
      </c>
    </row>
    <row r="3">
      <c r="A3" s="5" t="s">
        <v>35</v>
      </c>
      <c r="B3" s="8" t="s">
        <v>36</v>
      </c>
      <c r="C3" s="5" t="s">
        <v>34</v>
      </c>
    </row>
    <row r="4">
      <c r="A4" s="5" t="s">
        <v>37</v>
      </c>
      <c r="B4" s="8" t="s">
        <v>38</v>
      </c>
      <c r="C4" s="5" t="s">
        <v>34</v>
      </c>
    </row>
    <row r="6">
      <c r="A6" s="5" t="s">
        <v>33</v>
      </c>
      <c r="B6" s="1" t="s">
        <v>24</v>
      </c>
      <c r="C6" s="1" t="s">
        <v>34</v>
      </c>
    </row>
    <row r="7">
      <c r="A7" s="5" t="s">
        <v>35</v>
      </c>
      <c r="B7" s="1" t="s">
        <v>39</v>
      </c>
      <c r="C7" s="1" t="s">
        <v>34</v>
      </c>
    </row>
    <row r="8">
      <c r="A8" s="5" t="s">
        <v>37</v>
      </c>
      <c r="B8" s="1" t="s">
        <v>40</v>
      </c>
      <c r="C8" s="1" t="s">
        <v>34</v>
      </c>
    </row>
    <row r="10">
      <c r="A10" s="5" t="s">
        <v>33</v>
      </c>
      <c r="B10" s="1" t="s">
        <v>23</v>
      </c>
      <c r="C10" s="1" t="s">
        <v>34</v>
      </c>
    </row>
    <row r="11">
      <c r="A11" s="5" t="s">
        <v>35</v>
      </c>
      <c r="B11" s="1" t="s">
        <v>41</v>
      </c>
      <c r="C11" s="1" t="s">
        <v>34</v>
      </c>
    </row>
    <row r="12">
      <c r="A12" s="5" t="s">
        <v>37</v>
      </c>
      <c r="B12" s="1" t="s">
        <v>42</v>
      </c>
      <c r="C12" s="1" t="s">
        <v>34</v>
      </c>
    </row>
    <row r="14">
      <c r="A14" s="5" t="s">
        <v>33</v>
      </c>
      <c r="B14" s="1" t="s">
        <v>12</v>
      </c>
      <c r="C14" s="1" t="s">
        <v>34</v>
      </c>
    </row>
    <row r="15">
      <c r="A15" s="5" t="s">
        <v>35</v>
      </c>
      <c r="B15" s="1" t="s">
        <v>39</v>
      </c>
      <c r="C15" s="1" t="s">
        <v>34</v>
      </c>
    </row>
    <row r="16">
      <c r="A16" s="5" t="s">
        <v>37</v>
      </c>
      <c r="B16" s="1" t="s">
        <v>43</v>
      </c>
      <c r="C16" s="1" t="s">
        <v>34</v>
      </c>
    </row>
    <row r="18">
      <c r="A18" s="1" t="s">
        <v>33</v>
      </c>
      <c r="B18" s="1" t="s">
        <v>23</v>
      </c>
      <c r="C18" s="1" t="s">
        <v>34</v>
      </c>
    </row>
    <row r="19">
      <c r="A19" s="1" t="s">
        <v>35</v>
      </c>
      <c r="B19" s="1" t="s">
        <v>44</v>
      </c>
      <c r="C19" s="1" t="s">
        <v>34</v>
      </c>
    </row>
    <row r="20">
      <c r="A20" s="1" t="s">
        <v>37</v>
      </c>
      <c r="B20" s="1" t="s">
        <v>45</v>
      </c>
      <c r="C20" s="1" t="s">
        <v>34</v>
      </c>
    </row>
    <row r="22">
      <c r="A22" s="1" t="s">
        <v>33</v>
      </c>
      <c r="B22" s="1" t="s">
        <v>23</v>
      </c>
      <c r="C22" s="1" t="s">
        <v>34</v>
      </c>
    </row>
    <row r="23">
      <c r="A23" s="1" t="s">
        <v>35</v>
      </c>
      <c r="B23" s="1" t="s">
        <v>20</v>
      </c>
      <c r="C23" s="1" t="s">
        <v>34</v>
      </c>
    </row>
    <row r="24">
      <c r="A24" s="1" t="s">
        <v>37</v>
      </c>
      <c r="B24" s="1" t="s">
        <v>46</v>
      </c>
      <c r="C24" s="1" t="s">
        <v>34</v>
      </c>
    </row>
    <row r="26">
      <c r="A26" s="1" t="s">
        <v>33</v>
      </c>
      <c r="B26" s="1" t="s">
        <v>25</v>
      </c>
      <c r="C26" s="1" t="s">
        <v>47</v>
      </c>
    </row>
    <row r="27">
      <c r="A27" s="1" t="s">
        <v>35</v>
      </c>
      <c r="B27" s="1" t="s">
        <v>23</v>
      </c>
      <c r="C27" s="1" t="s">
        <v>47</v>
      </c>
    </row>
    <row r="28">
      <c r="A28" s="1" t="s">
        <v>37</v>
      </c>
      <c r="B28" s="1" t="s">
        <v>48</v>
      </c>
      <c r="C28" s="1" t="s">
        <v>47</v>
      </c>
    </row>
    <row r="30">
      <c r="A30" s="1" t="s">
        <v>33</v>
      </c>
      <c r="B30" s="1" t="s">
        <v>13</v>
      </c>
      <c r="C30" s="1" t="s">
        <v>34</v>
      </c>
    </row>
    <row r="31">
      <c r="A31" s="1" t="s">
        <v>35</v>
      </c>
      <c r="B31" s="1" t="s">
        <v>25</v>
      </c>
      <c r="C31" s="1" t="s">
        <v>34</v>
      </c>
    </row>
    <row r="32">
      <c r="A32" s="1" t="s">
        <v>37</v>
      </c>
      <c r="B32" s="1" t="s">
        <v>49</v>
      </c>
      <c r="C32" s="1" t="s">
        <v>34</v>
      </c>
    </row>
    <row r="34">
      <c r="A34" s="1" t="s">
        <v>33</v>
      </c>
      <c r="B34" s="1" t="s">
        <v>14</v>
      </c>
      <c r="C34" s="1" t="s">
        <v>47</v>
      </c>
    </row>
    <row r="35">
      <c r="A35" s="1" t="s">
        <v>35</v>
      </c>
      <c r="B35" s="1" t="s">
        <v>50</v>
      </c>
      <c r="C35" s="1" t="s">
        <v>47</v>
      </c>
    </row>
    <row r="36">
      <c r="A36" s="1" t="s">
        <v>37</v>
      </c>
      <c r="B36" s="1" t="s">
        <v>51</v>
      </c>
      <c r="C36" s="1" t="s">
        <v>47</v>
      </c>
    </row>
    <row r="38">
      <c r="A38" s="1" t="s">
        <v>33</v>
      </c>
      <c r="B38" s="1" t="s">
        <v>13</v>
      </c>
      <c r="C38" s="1" t="s">
        <v>47</v>
      </c>
    </row>
    <row r="39">
      <c r="A39" s="1" t="s">
        <v>35</v>
      </c>
      <c r="B39" s="1" t="s">
        <v>52</v>
      </c>
      <c r="C39" s="1" t="s">
        <v>47</v>
      </c>
    </row>
    <row r="40">
      <c r="A40" s="1" t="s">
        <v>37</v>
      </c>
      <c r="B40" s="1" t="s">
        <v>53</v>
      </c>
      <c r="C40" s="1" t="s">
        <v>47</v>
      </c>
    </row>
    <row r="42">
      <c r="A42" s="1" t="s">
        <v>33</v>
      </c>
      <c r="B42" s="1" t="s">
        <v>29</v>
      </c>
      <c r="C42" s="1" t="s">
        <v>47</v>
      </c>
    </row>
    <row r="43">
      <c r="A43" s="1" t="s">
        <v>35</v>
      </c>
      <c r="B43" s="1" t="s">
        <v>54</v>
      </c>
      <c r="C43" s="1" t="s">
        <v>47</v>
      </c>
    </row>
    <row r="44">
      <c r="A44" s="1" t="s">
        <v>37</v>
      </c>
      <c r="B44" s="1" t="s">
        <v>55</v>
      </c>
      <c r="C44" s="1" t="s">
        <v>47</v>
      </c>
    </row>
    <row r="46">
      <c r="A46" s="1" t="s">
        <v>33</v>
      </c>
      <c r="B46" s="1" t="s">
        <v>29</v>
      </c>
      <c r="C46" s="1" t="s">
        <v>47</v>
      </c>
    </row>
    <row r="47">
      <c r="A47" s="1" t="s">
        <v>35</v>
      </c>
      <c r="B47" s="1" t="s">
        <v>56</v>
      </c>
      <c r="C47" s="1" t="s">
        <v>47</v>
      </c>
    </row>
    <row r="48">
      <c r="A48" s="1" t="s">
        <v>37</v>
      </c>
      <c r="B48" s="1" t="s">
        <v>57</v>
      </c>
      <c r="C48" s="1" t="s">
        <v>47</v>
      </c>
    </row>
    <row r="50">
      <c r="A50" s="1" t="s">
        <v>33</v>
      </c>
      <c r="B50" s="1" t="s">
        <v>14</v>
      </c>
      <c r="C50" s="1" t="s">
        <v>34</v>
      </c>
    </row>
    <row r="51">
      <c r="A51" s="1" t="s">
        <v>35</v>
      </c>
      <c r="B51" s="1" t="s">
        <v>29</v>
      </c>
      <c r="C51" s="1" t="s">
        <v>34</v>
      </c>
    </row>
    <row r="52">
      <c r="A52" s="1" t="s">
        <v>37</v>
      </c>
      <c r="B52" s="1" t="s">
        <v>58</v>
      </c>
      <c r="C52" s="1" t="s">
        <v>34</v>
      </c>
    </row>
    <row r="54">
      <c r="A54" s="1" t="s">
        <v>33</v>
      </c>
      <c r="B54" s="1" t="s">
        <v>23</v>
      </c>
      <c r="C54" s="1" t="s">
        <v>34</v>
      </c>
    </row>
    <row r="55">
      <c r="A55" s="1" t="s">
        <v>35</v>
      </c>
      <c r="B55" s="1" t="s">
        <v>20</v>
      </c>
      <c r="C55" s="1" t="s">
        <v>34</v>
      </c>
    </row>
    <row r="56">
      <c r="A56" s="1" t="s">
        <v>37</v>
      </c>
      <c r="B56" s="1" t="s">
        <v>59</v>
      </c>
      <c r="C56" s="1" t="s">
        <v>34</v>
      </c>
    </row>
    <row r="58">
      <c r="A58" s="1" t="s">
        <v>33</v>
      </c>
      <c r="B58" s="1" t="s">
        <v>25</v>
      </c>
      <c r="C58" s="1" t="s">
        <v>47</v>
      </c>
    </row>
    <row r="59">
      <c r="A59" s="1" t="s">
        <v>35</v>
      </c>
      <c r="B59" s="1" t="s">
        <v>60</v>
      </c>
      <c r="C59" s="1" t="s">
        <v>47</v>
      </c>
    </row>
    <row r="60">
      <c r="A60" s="1" t="s">
        <v>37</v>
      </c>
      <c r="B60" s="1" t="s">
        <v>61</v>
      </c>
      <c r="C60" s="1" t="s">
        <v>47</v>
      </c>
    </row>
    <row r="62">
      <c r="A62" s="1" t="s">
        <v>33</v>
      </c>
      <c r="B62" s="1" t="s">
        <v>23</v>
      </c>
      <c r="C62" s="1" t="s">
        <v>34</v>
      </c>
    </row>
    <row r="63">
      <c r="A63" s="1" t="s">
        <v>35</v>
      </c>
      <c r="B63" s="1" t="s">
        <v>14</v>
      </c>
      <c r="C63" s="1" t="s">
        <v>34</v>
      </c>
    </row>
    <row r="64">
      <c r="A64" s="1" t="s">
        <v>37</v>
      </c>
      <c r="B64" s="1" t="s">
        <v>62</v>
      </c>
      <c r="C64" s="1" t="s">
        <v>34</v>
      </c>
    </row>
    <row r="66">
      <c r="A66" s="1" t="s">
        <v>33</v>
      </c>
      <c r="B66" s="1" t="s">
        <v>20</v>
      </c>
      <c r="C66" s="1" t="s">
        <v>34</v>
      </c>
    </row>
    <row r="67">
      <c r="A67" s="1" t="s">
        <v>35</v>
      </c>
      <c r="B67" s="1" t="s">
        <v>63</v>
      </c>
      <c r="C67" s="1" t="s">
        <v>34</v>
      </c>
    </row>
    <row r="68">
      <c r="A68" s="1" t="s">
        <v>37</v>
      </c>
      <c r="B68" s="1" t="s">
        <v>64</v>
      </c>
      <c r="C68" s="1" t="s">
        <v>34</v>
      </c>
    </row>
    <row r="70">
      <c r="A70" s="1" t="s">
        <v>33</v>
      </c>
      <c r="B70" s="1" t="s">
        <v>17</v>
      </c>
      <c r="C70" s="1" t="s">
        <v>34</v>
      </c>
    </row>
    <row r="71">
      <c r="A71" s="1" t="s">
        <v>35</v>
      </c>
      <c r="B71" s="1" t="s">
        <v>65</v>
      </c>
      <c r="C71" s="1" t="s">
        <v>34</v>
      </c>
    </row>
    <row r="72">
      <c r="A72" s="1" t="s">
        <v>37</v>
      </c>
      <c r="B72" s="1" t="s">
        <v>66</v>
      </c>
      <c r="C72" s="1" t="s">
        <v>34</v>
      </c>
    </row>
    <row r="74">
      <c r="A74" s="1" t="s">
        <v>33</v>
      </c>
      <c r="B74" s="1" t="s">
        <v>23</v>
      </c>
      <c r="C74" s="1" t="s">
        <v>34</v>
      </c>
    </row>
    <row r="75">
      <c r="A75" s="1" t="s">
        <v>35</v>
      </c>
      <c r="B75" s="1" t="s">
        <v>14</v>
      </c>
      <c r="C75" s="1" t="s">
        <v>34</v>
      </c>
    </row>
    <row r="76">
      <c r="A76" s="1" t="s">
        <v>37</v>
      </c>
      <c r="B76" s="1" t="s">
        <v>67</v>
      </c>
      <c r="C76" s="1" t="s">
        <v>34</v>
      </c>
    </row>
    <row r="78">
      <c r="A78" s="1" t="s">
        <v>33</v>
      </c>
      <c r="B78" s="1" t="s">
        <v>23</v>
      </c>
      <c r="C78" s="1" t="s">
        <v>47</v>
      </c>
    </row>
    <row r="79">
      <c r="A79" s="1" t="s">
        <v>35</v>
      </c>
      <c r="B79" s="1" t="s">
        <v>68</v>
      </c>
      <c r="C79" s="1" t="s">
        <v>47</v>
      </c>
    </row>
    <row r="80">
      <c r="A80" s="1" t="s">
        <v>37</v>
      </c>
      <c r="B80" s="1" t="s">
        <v>69</v>
      </c>
      <c r="C80" s="1" t="s">
        <v>47</v>
      </c>
    </row>
    <row r="82">
      <c r="A82" s="1" t="s">
        <v>33</v>
      </c>
      <c r="B82" s="1" t="s">
        <v>16</v>
      </c>
      <c r="C82" s="1" t="s">
        <v>34</v>
      </c>
    </row>
    <row r="83">
      <c r="A83" s="1" t="s">
        <v>35</v>
      </c>
      <c r="B83" s="1" t="s">
        <v>70</v>
      </c>
      <c r="C83" s="1" t="s">
        <v>34</v>
      </c>
    </row>
    <row r="84">
      <c r="A84" s="1" t="s">
        <v>37</v>
      </c>
      <c r="B84" s="1" t="s">
        <v>71</v>
      </c>
      <c r="C84" s="1" t="s">
        <v>34</v>
      </c>
    </row>
    <row r="86">
      <c r="A86" s="1" t="s">
        <v>33</v>
      </c>
      <c r="B86" s="1" t="s">
        <v>29</v>
      </c>
      <c r="C86" s="1" t="s">
        <v>34</v>
      </c>
    </row>
    <row r="87">
      <c r="A87" s="1" t="s">
        <v>35</v>
      </c>
      <c r="B87" s="1" t="s">
        <v>23</v>
      </c>
      <c r="C87" s="1" t="s">
        <v>34</v>
      </c>
    </row>
    <row r="88">
      <c r="A88" s="1" t="s">
        <v>37</v>
      </c>
      <c r="B88" s="1" t="s">
        <v>72</v>
      </c>
      <c r="C88" s="1" t="s">
        <v>34</v>
      </c>
    </row>
    <row r="90">
      <c r="A90" s="1" t="s">
        <v>33</v>
      </c>
      <c r="B90" s="1" t="s">
        <v>29</v>
      </c>
      <c r="C90" s="1" t="s">
        <v>47</v>
      </c>
    </row>
    <row r="91">
      <c r="A91" s="1" t="s">
        <v>35</v>
      </c>
      <c r="B91" s="1" t="s">
        <v>16</v>
      </c>
      <c r="C91" s="1" t="s">
        <v>47</v>
      </c>
    </row>
    <row r="92">
      <c r="A92" s="1" t="s">
        <v>37</v>
      </c>
      <c r="B92" s="1" t="s">
        <v>73</v>
      </c>
      <c r="C92" s="1" t="s">
        <v>47</v>
      </c>
    </row>
    <row r="94">
      <c r="A94" s="1" t="s">
        <v>33</v>
      </c>
      <c r="B94" s="1" t="s">
        <v>25</v>
      </c>
      <c r="C94" s="1" t="s">
        <v>34</v>
      </c>
    </row>
    <row r="95">
      <c r="A95" s="1" t="s">
        <v>35</v>
      </c>
      <c r="B95" s="1" t="s">
        <v>74</v>
      </c>
      <c r="C95" s="1" t="s">
        <v>34</v>
      </c>
    </row>
    <row r="96">
      <c r="A96" s="1" t="s">
        <v>37</v>
      </c>
      <c r="B96" s="1" t="s">
        <v>75</v>
      </c>
      <c r="C96" s="1" t="s">
        <v>34</v>
      </c>
    </row>
    <row r="98">
      <c r="A98" s="1" t="s">
        <v>33</v>
      </c>
      <c r="B98" s="1" t="s">
        <v>25</v>
      </c>
      <c r="C98" s="1" t="s">
        <v>34</v>
      </c>
    </row>
    <row r="99">
      <c r="A99" s="1" t="s">
        <v>35</v>
      </c>
      <c r="B99" s="1" t="s">
        <v>29</v>
      </c>
      <c r="C99" s="1" t="s">
        <v>34</v>
      </c>
    </row>
    <row r="100">
      <c r="A100" s="1" t="s">
        <v>37</v>
      </c>
      <c r="B100" s="1" t="s">
        <v>76</v>
      </c>
      <c r="C100" s="1" t="s">
        <v>34</v>
      </c>
    </row>
    <row r="102">
      <c r="A102" s="5" t="s">
        <v>33</v>
      </c>
      <c r="B102" s="1" t="s">
        <v>13</v>
      </c>
      <c r="C102" s="1" t="s">
        <v>34</v>
      </c>
    </row>
    <row r="103">
      <c r="A103" s="5" t="s">
        <v>35</v>
      </c>
      <c r="B103" s="1" t="s">
        <v>16</v>
      </c>
      <c r="C103" s="1" t="s">
        <v>34</v>
      </c>
    </row>
    <row r="104">
      <c r="A104" s="5" t="s">
        <v>37</v>
      </c>
      <c r="B104" s="1" t="s">
        <v>77</v>
      </c>
      <c r="C104" s="1" t="s">
        <v>34</v>
      </c>
    </row>
    <row r="106">
      <c r="A106" s="5" t="s">
        <v>33</v>
      </c>
      <c r="B106" s="1" t="s">
        <v>23</v>
      </c>
      <c r="C106" s="1" t="s">
        <v>34</v>
      </c>
    </row>
    <row r="107">
      <c r="A107" s="5" t="s">
        <v>35</v>
      </c>
      <c r="B107" s="1" t="s">
        <v>20</v>
      </c>
      <c r="C107" s="1" t="s">
        <v>34</v>
      </c>
    </row>
    <row r="108">
      <c r="A108" s="5" t="s">
        <v>37</v>
      </c>
      <c r="B108" s="1" t="s">
        <v>78</v>
      </c>
      <c r="C108" s="1" t="s">
        <v>34</v>
      </c>
    </row>
    <row r="110">
      <c r="A110" s="5" t="s">
        <v>33</v>
      </c>
      <c r="B110" s="1" t="s">
        <v>25</v>
      </c>
      <c r="C110" s="1" t="s">
        <v>47</v>
      </c>
    </row>
    <row r="111">
      <c r="A111" s="5" t="s">
        <v>35</v>
      </c>
      <c r="B111" s="1" t="s">
        <v>28</v>
      </c>
      <c r="C111" s="1" t="s">
        <v>47</v>
      </c>
    </row>
    <row r="112">
      <c r="A112" s="5" t="s">
        <v>37</v>
      </c>
      <c r="B112" s="1" t="s">
        <v>79</v>
      </c>
      <c r="C112" s="1" t="s">
        <v>47</v>
      </c>
    </row>
    <row r="114">
      <c r="A114" s="5" t="s">
        <v>33</v>
      </c>
      <c r="B114" s="1" t="s">
        <v>25</v>
      </c>
      <c r="C114" s="1" t="s">
        <v>34</v>
      </c>
    </row>
    <row r="115">
      <c r="A115" s="5" t="s">
        <v>35</v>
      </c>
      <c r="B115" s="1" t="s">
        <v>29</v>
      </c>
      <c r="C115" s="1" t="s">
        <v>34</v>
      </c>
    </row>
    <row r="116">
      <c r="A116" s="5" t="s">
        <v>37</v>
      </c>
      <c r="B116" s="1" t="s">
        <v>80</v>
      </c>
      <c r="C116" s="1" t="s">
        <v>34</v>
      </c>
    </row>
    <row r="118">
      <c r="A118" s="5" t="s">
        <v>33</v>
      </c>
      <c r="B118" s="1" t="s">
        <v>17</v>
      </c>
      <c r="C118" s="1" t="s">
        <v>47</v>
      </c>
    </row>
    <row r="119">
      <c r="A119" s="5" t="s">
        <v>35</v>
      </c>
      <c r="B119" s="1" t="s">
        <v>81</v>
      </c>
      <c r="C119" s="1" t="s">
        <v>47</v>
      </c>
    </row>
    <row r="120">
      <c r="A120" s="5" t="s">
        <v>37</v>
      </c>
      <c r="B120" s="1" t="s">
        <v>82</v>
      </c>
      <c r="C120" s="1" t="s">
        <v>47</v>
      </c>
    </row>
    <row r="122">
      <c r="A122" s="5" t="s">
        <v>33</v>
      </c>
      <c r="B122" s="1" t="s">
        <v>13</v>
      </c>
      <c r="C122" s="1" t="s">
        <v>34</v>
      </c>
    </row>
    <row r="123">
      <c r="A123" s="5" t="s">
        <v>35</v>
      </c>
      <c r="B123" s="1" t="s">
        <v>83</v>
      </c>
      <c r="C123" s="1" t="s">
        <v>34</v>
      </c>
    </row>
    <row r="124">
      <c r="A124" s="5" t="s">
        <v>37</v>
      </c>
      <c r="B124" s="1" t="s">
        <v>84</v>
      </c>
      <c r="C124" s="1" t="s">
        <v>34</v>
      </c>
    </row>
    <row r="126">
      <c r="A126" s="5" t="s">
        <v>33</v>
      </c>
      <c r="B126" s="1" t="s">
        <v>15</v>
      </c>
      <c r="C126" s="1" t="s">
        <v>34</v>
      </c>
    </row>
    <row r="127">
      <c r="A127" s="5" t="s">
        <v>35</v>
      </c>
      <c r="B127" s="1" t="s">
        <v>85</v>
      </c>
      <c r="C127" s="1" t="s">
        <v>34</v>
      </c>
    </row>
    <row r="128">
      <c r="A128" s="5" t="s">
        <v>37</v>
      </c>
      <c r="B128" s="1" t="s">
        <v>86</v>
      </c>
      <c r="C128" s="1" t="s">
        <v>34</v>
      </c>
    </row>
    <row r="130">
      <c r="A130" s="5" t="s">
        <v>33</v>
      </c>
      <c r="B130" s="1" t="s">
        <v>23</v>
      </c>
      <c r="C130" s="1" t="s">
        <v>34</v>
      </c>
    </row>
    <row r="131">
      <c r="A131" s="5" t="s">
        <v>35</v>
      </c>
      <c r="B131" s="1" t="s">
        <v>87</v>
      </c>
      <c r="C131" s="1" t="s">
        <v>34</v>
      </c>
    </row>
    <row r="132">
      <c r="A132" s="5" t="s">
        <v>37</v>
      </c>
      <c r="B132" s="1" t="s">
        <v>88</v>
      </c>
      <c r="C132" s="1" t="s">
        <v>34</v>
      </c>
    </row>
    <row r="134">
      <c r="A134" s="5" t="s">
        <v>33</v>
      </c>
      <c r="B134" s="1" t="s">
        <v>25</v>
      </c>
      <c r="C134" s="1" t="s">
        <v>47</v>
      </c>
    </row>
    <row r="135">
      <c r="A135" s="5" t="s">
        <v>35</v>
      </c>
      <c r="B135" s="1" t="s">
        <v>89</v>
      </c>
      <c r="C135" s="1" t="s">
        <v>47</v>
      </c>
    </row>
    <row r="136">
      <c r="A136" s="5" t="s">
        <v>37</v>
      </c>
      <c r="B136" s="1" t="s">
        <v>90</v>
      </c>
      <c r="C136" s="1" t="s">
        <v>47</v>
      </c>
    </row>
    <row r="138">
      <c r="A138" s="5" t="s">
        <v>33</v>
      </c>
      <c r="B138" s="1" t="s">
        <v>22</v>
      </c>
      <c r="C138" s="1" t="s">
        <v>34</v>
      </c>
    </row>
    <row r="139">
      <c r="A139" s="5" t="s">
        <v>35</v>
      </c>
      <c r="B139" s="1" t="s">
        <v>91</v>
      </c>
      <c r="C139" s="1" t="s">
        <v>34</v>
      </c>
    </row>
    <row r="140">
      <c r="A140" s="5" t="s">
        <v>37</v>
      </c>
      <c r="B140" s="1" t="s">
        <v>92</v>
      </c>
      <c r="C140" s="1" t="s">
        <v>34</v>
      </c>
    </row>
    <row r="142">
      <c r="A142" s="5" t="s">
        <v>33</v>
      </c>
      <c r="B142" s="1" t="s">
        <v>28</v>
      </c>
      <c r="C142" s="1" t="s">
        <v>47</v>
      </c>
    </row>
    <row r="143">
      <c r="A143" s="5" t="s">
        <v>35</v>
      </c>
      <c r="B143" s="1" t="s">
        <v>93</v>
      </c>
      <c r="C143" s="1" t="s">
        <v>47</v>
      </c>
    </row>
    <row r="144">
      <c r="A144" s="5" t="s">
        <v>37</v>
      </c>
      <c r="B144" s="1" t="s">
        <v>94</v>
      </c>
      <c r="C144" s="1" t="s">
        <v>47</v>
      </c>
    </row>
    <row r="146">
      <c r="A146" s="5" t="s">
        <v>33</v>
      </c>
      <c r="B146" s="1" t="s">
        <v>23</v>
      </c>
      <c r="C146" s="1" t="s">
        <v>34</v>
      </c>
    </row>
    <row r="147">
      <c r="A147" s="5" t="s">
        <v>35</v>
      </c>
      <c r="B147" s="1" t="s">
        <v>95</v>
      </c>
      <c r="C147" s="1" t="s">
        <v>34</v>
      </c>
    </row>
    <row r="148">
      <c r="A148" s="5" t="s">
        <v>37</v>
      </c>
      <c r="B148" s="1" t="s">
        <v>96</v>
      </c>
      <c r="C148" s="1" t="s">
        <v>34</v>
      </c>
    </row>
    <row r="150">
      <c r="A150" s="5" t="s">
        <v>33</v>
      </c>
      <c r="B150" s="1" t="s">
        <v>13</v>
      </c>
      <c r="C150" s="1" t="s">
        <v>47</v>
      </c>
    </row>
    <row r="151">
      <c r="A151" s="5" t="s">
        <v>35</v>
      </c>
      <c r="B151" s="1" t="s">
        <v>97</v>
      </c>
      <c r="C151" s="1" t="s">
        <v>47</v>
      </c>
    </row>
    <row r="152">
      <c r="A152" s="5" t="s">
        <v>37</v>
      </c>
      <c r="B152" s="1" t="s">
        <v>98</v>
      </c>
      <c r="C152" s="1" t="s">
        <v>47</v>
      </c>
    </row>
    <row r="154">
      <c r="A154" s="5" t="s">
        <v>33</v>
      </c>
      <c r="B154" s="1" t="s">
        <v>25</v>
      </c>
      <c r="C154" s="1" t="s">
        <v>34</v>
      </c>
    </row>
    <row r="155">
      <c r="A155" s="5" t="s">
        <v>35</v>
      </c>
      <c r="B155" s="1" t="s">
        <v>99</v>
      </c>
      <c r="C155" s="1" t="s">
        <v>34</v>
      </c>
    </row>
    <row r="156">
      <c r="A156" s="5" t="s">
        <v>37</v>
      </c>
      <c r="B156" s="1" t="s">
        <v>100</v>
      </c>
      <c r="C156" s="1" t="s">
        <v>34</v>
      </c>
    </row>
    <row r="158">
      <c r="A158" s="5" t="s">
        <v>33</v>
      </c>
      <c r="B158" s="1" t="s">
        <v>27</v>
      </c>
      <c r="C158" s="1" t="s">
        <v>47</v>
      </c>
    </row>
    <row r="159">
      <c r="A159" s="5" t="s">
        <v>35</v>
      </c>
      <c r="B159" s="1" t="s">
        <v>101</v>
      </c>
      <c r="C159" s="1" t="s">
        <v>47</v>
      </c>
    </row>
    <row r="160">
      <c r="A160" s="5" t="s">
        <v>37</v>
      </c>
      <c r="B160" s="1" t="s">
        <v>102</v>
      </c>
      <c r="C160" s="1" t="s">
        <v>47</v>
      </c>
    </row>
    <row r="162">
      <c r="A162" s="5" t="s">
        <v>33</v>
      </c>
      <c r="B162" s="1" t="s">
        <v>13</v>
      </c>
      <c r="C162" s="1" t="s">
        <v>47</v>
      </c>
    </row>
    <row r="163">
      <c r="A163" s="5" t="s">
        <v>35</v>
      </c>
      <c r="B163" s="1" t="s">
        <v>103</v>
      </c>
      <c r="C163" s="1" t="s">
        <v>47</v>
      </c>
    </row>
    <row r="164">
      <c r="A164" s="5" t="s">
        <v>37</v>
      </c>
      <c r="B164" s="1" t="s">
        <v>104</v>
      </c>
      <c r="C164" s="1" t="s">
        <v>47</v>
      </c>
    </row>
    <row r="166">
      <c r="A166" s="5" t="s">
        <v>33</v>
      </c>
      <c r="B166" s="1" t="s">
        <v>13</v>
      </c>
      <c r="C166" s="1" t="s">
        <v>47</v>
      </c>
    </row>
    <row r="167">
      <c r="A167" s="5" t="s">
        <v>35</v>
      </c>
      <c r="B167" s="1" t="s">
        <v>105</v>
      </c>
      <c r="C167" s="1" t="s">
        <v>47</v>
      </c>
    </row>
    <row r="168">
      <c r="A168" s="5" t="s">
        <v>37</v>
      </c>
      <c r="B168" s="1" t="s">
        <v>106</v>
      </c>
      <c r="C168" s="1" t="s">
        <v>47</v>
      </c>
    </row>
    <row r="170">
      <c r="A170" s="1" t="s">
        <v>33</v>
      </c>
      <c r="B170" s="1" t="s">
        <v>28</v>
      </c>
      <c r="C170" s="1" t="s">
        <v>47</v>
      </c>
    </row>
    <row r="171">
      <c r="A171" s="1" t="s">
        <v>35</v>
      </c>
      <c r="B171" s="1" t="s">
        <v>107</v>
      </c>
      <c r="C171" s="1" t="s">
        <v>47</v>
      </c>
    </row>
    <row r="172">
      <c r="A172" s="1" t="s">
        <v>37</v>
      </c>
      <c r="B172" s="1" t="s">
        <v>108</v>
      </c>
      <c r="C172" s="1" t="s">
        <v>47</v>
      </c>
    </row>
    <row r="174">
      <c r="A174" s="1" t="s">
        <v>33</v>
      </c>
      <c r="B174" s="1" t="s">
        <v>12</v>
      </c>
      <c r="C174" s="1" t="s">
        <v>47</v>
      </c>
    </row>
    <row r="175">
      <c r="A175" s="1" t="s">
        <v>35</v>
      </c>
      <c r="B175" s="1" t="s">
        <v>109</v>
      </c>
      <c r="C175" s="1" t="s">
        <v>47</v>
      </c>
    </row>
    <row r="176">
      <c r="A176" s="1" t="s">
        <v>37</v>
      </c>
      <c r="B176" s="1" t="s">
        <v>110</v>
      </c>
      <c r="C176" s="1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111</v>
      </c>
      <c r="B1" s="9" t="s">
        <v>112</v>
      </c>
      <c r="C1" s="1" t="s">
        <v>113</v>
      </c>
      <c r="D1" s="1" t="s">
        <v>114</v>
      </c>
      <c r="E1" s="1" t="s">
        <v>115</v>
      </c>
      <c r="G1" s="1" t="s">
        <v>116</v>
      </c>
      <c r="H1" s="1">
        <v>176.0</v>
      </c>
    </row>
    <row r="2">
      <c r="A2" s="1" t="s">
        <v>29</v>
      </c>
      <c r="B2" s="9">
        <f t="shared" ref="B2:B19" si="1">70+30*(C2-2*D2)</f>
        <v>72.38348032</v>
      </c>
      <c r="C2" s="1">
        <v>0.5876185000891612</v>
      </c>
      <c r="D2" s="1">
        <v>0.2540845780771132</v>
      </c>
      <c r="E2" s="1">
        <v>0.05999571221558439</v>
      </c>
    </row>
    <row r="3">
      <c r="A3" s="1" t="s">
        <v>28</v>
      </c>
      <c r="B3" s="9">
        <f t="shared" si="1"/>
        <v>69.29621718</v>
      </c>
      <c r="C3" s="1">
        <v>0.487444987798113</v>
      </c>
      <c r="D3" s="1">
        <v>0.2554522076262642</v>
      </c>
      <c r="E3" s="1">
        <v>0.059995491784250884</v>
      </c>
    </row>
    <row r="4">
      <c r="A4" s="1" t="s">
        <v>19</v>
      </c>
      <c r="B4" s="9">
        <f t="shared" si="1"/>
        <v>67.79609035</v>
      </c>
      <c r="C4" s="1">
        <v>0.5407936760015742</v>
      </c>
      <c r="D4" s="1">
        <v>0.30712866552056545</v>
      </c>
      <c r="E4" s="1">
        <v>0.05999776012761295</v>
      </c>
    </row>
    <row r="5">
      <c r="A5" s="1" t="s">
        <v>20</v>
      </c>
      <c r="B5" s="9">
        <f t="shared" si="1"/>
        <v>68.08253088</v>
      </c>
      <c r="C5" s="1">
        <v>0.41613830595682366</v>
      </c>
      <c r="D5" s="1">
        <v>0.24002697162952924</v>
      </c>
      <c r="E5" s="1">
        <v>0.05999224645467514</v>
      </c>
    </row>
    <row r="6">
      <c r="A6" s="1" t="s">
        <v>25</v>
      </c>
      <c r="B6" s="9">
        <f t="shared" si="1"/>
        <v>61.05445924</v>
      </c>
      <c r="C6" s="1">
        <v>0.18683643696746777</v>
      </c>
      <c r="D6" s="1">
        <v>0.2425105644410706</v>
      </c>
      <c r="E6" s="1">
        <v>0.05999155994908738</v>
      </c>
    </row>
    <row r="7">
      <c r="A7" s="1" t="s">
        <v>12</v>
      </c>
      <c r="B7" s="9">
        <f t="shared" si="1"/>
        <v>64.04591999</v>
      </c>
      <c r="C7" s="1">
        <v>0.3567450003491688</v>
      </c>
      <c r="D7" s="1">
        <v>0.2776071669848551</v>
      </c>
      <c r="E7" s="1">
        <v>0.05999679389234733</v>
      </c>
    </row>
    <row r="8">
      <c r="A8" s="1" t="s">
        <v>27</v>
      </c>
      <c r="B8" s="9">
        <f t="shared" si="1"/>
        <v>62.43495251</v>
      </c>
      <c r="C8" s="1">
        <v>0.8336180633672144</v>
      </c>
      <c r="D8" s="1">
        <v>0.542893156489124</v>
      </c>
      <c r="E8" s="1">
        <v>0.0599993036456914</v>
      </c>
    </row>
    <row r="9">
      <c r="A9" s="1" t="s">
        <v>14</v>
      </c>
      <c r="B9" s="9">
        <f t="shared" si="1"/>
        <v>60.68091294</v>
      </c>
      <c r="C9" s="1">
        <v>0.1919372402748657</v>
      </c>
      <c r="D9" s="1">
        <v>0.25128673786400757</v>
      </c>
      <c r="E9" s="1">
        <v>0.05999479335364118</v>
      </c>
    </row>
    <row r="10">
      <c r="A10" s="1" t="s">
        <v>15</v>
      </c>
      <c r="B10" s="9">
        <f t="shared" si="1"/>
        <v>60.03858202</v>
      </c>
      <c r="C10" s="1">
        <v>0.25096655968497983</v>
      </c>
      <c r="D10" s="1">
        <v>0.2915069128494212</v>
      </c>
      <c r="E10" s="1">
        <v>0.05999708996647656</v>
      </c>
    </row>
    <row r="11">
      <c r="A11" s="1" t="s">
        <v>13</v>
      </c>
      <c r="B11" s="9">
        <f t="shared" si="1"/>
        <v>58.7273766</v>
      </c>
      <c r="C11" s="1">
        <v>0.1426832530298396</v>
      </c>
      <c r="D11" s="1">
        <v>0.25921868321177804</v>
      </c>
      <c r="E11" s="1">
        <v>0.05999460133670121</v>
      </c>
    </row>
    <row r="12">
      <c r="A12" s="1" t="s">
        <v>23</v>
      </c>
      <c r="B12" s="9">
        <f t="shared" si="1"/>
        <v>52.93776871</v>
      </c>
      <c r="C12" s="1">
        <v>-0.05502398976045384</v>
      </c>
      <c r="D12" s="1">
        <v>0.25685852667746123</v>
      </c>
      <c r="E12" s="1">
        <v>0.05999238250115644</v>
      </c>
    </row>
    <row r="13">
      <c r="A13" s="1" t="s">
        <v>24</v>
      </c>
      <c r="B13" s="9">
        <f t="shared" si="1"/>
        <v>50.7426049</v>
      </c>
      <c r="C13" s="1">
        <v>0.10465681369635105</v>
      </c>
      <c r="D13" s="1">
        <v>0.37328499187716213</v>
      </c>
      <c r="E13" s="1">
        <v>0.05999839936486529</v>
      </c>
    </row>
    <row r="14">
      <c r="A14" s="1" t="s">
        <v>22</v>
      </c>
      <c r="B14" s="9">
        <f t="shared" si="1"/>
        <v>50.86853428</v>
      </c>
      <c r="C14" s="1">
        <v>-8.848715476263008E-4</v>
      </c>
      <c r="D14" s="1">
        <v>0.3184153262867835</v>
      </c>
      <c r="E14" s="1">
        <v>0.05999747423018797</v>
      </c>
    </row>
    <row r="15">
      <c r="A15" s="1" t="s">
        <v>16</v>
      </c>
      <c r="B15" s="9">
        <f t="shared" si="1"/>
        <v>51.59430925</v>
      </c>
      <c r="C15" s="1">
        <v>0.0871712248499307</v>
      </c>
      <c r="D15" s="1">
        <v>0.35034712484604</v>
      </c>
      <c r="E15" s="1">
        <v>0.05999807321447164</v>
      </c>
    </row>
    <row r="16">
      <c r="A16" s="5" t="s">
        <v>17</v>
      </c>
      <c r="B16" s="9">
        <f t="shared" si="1"/>
        <v>45.13561353</v>
      </c>
      <c r="C16" s="1">
        <v>-0.1295727429724099</v>
      </c>
      <c r="D16" s="1">
        <v>0.3496200697033102</v>
      </c>
      <c r="E16" s="1">
        <v>0.05999782906779175</v>
      </c>
    </row>
    <row r="17">
      <c r="A17" s="1" t="s">
        <v>21</v>
      </c>
      <c r="B17" s="9">
        <f t="shared" si="1"/>
        <v>32.48790052</v>
      </c>
      <c r="C17" s="1">
        <v>-0.0900687043883695</v>
      </c>
      <c r="D17" s="1">
        <v>0.5801673057594162</v>
      </c>
      <c r="E17" s="1">
        <v>0.05999933864749411</v>
      </c>
    </row>
    <row r="18">
      <c r="A18" s="1" t="s">
        <v>18</v>
      </c>
      <c r="B18" s="9">
        <f t="shared" si="1"/>
        <v>30.45134065</v>
      </c>
      <c r="C18" s="1">
        <v>-0.27396619134704825</v>
      </c>
      <c r="D18" s="1">
        <v>0.5221612268346864</v>
      </c>
      <c r="E18" s="1">
        <v>0.05999914541143777</v>
      </c>
    </row>
    <row r="19">
      <c r="A19" s="1" t="s">
        <v>26</v>
      </c>
      <c r="B19" s="9">
        <f t="shared" si="1"/>
        <v>15.0003804</v>
      </c>
      <c r="C19" s="1">
        <v>-0.5964644225460127</v>
      </c>
      <c r="D19" s="1">
        <v>0.6184281154555202</v>
      </c>
      <c r="E19" s="1">
        <v>0.059999282017951606</v>
      </c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