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Calculations!$AB$21:$AB$42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Calculations!$X$21:$X$58</definedName>
    <definedName name="yB">Calculations!$Y$21:$Y$58</definedName>
    <definedName name="Zs">Calculations!$W$21:$W$41</definedName>
  </definedNames>
  <calcPr calcId="145621"/>
</workbook>
</file>

<file path=xl/calcChain.xml><?xml version="1.0" encoding="utf-8"?>
<calcChain xmlns="http://schemas.openxmlformats.org/spreadsheetml/2006/main">
  <c r="G36" i="1" l="1"/>
  <c r="H36" i="1" s="1"/>
  <c r="I36" i="1"/>
  <c r="J36" i="1" s="1"/>
  <c r="N36" i="1"/>
  <c r="G37" i="1"/>
  <c r="H37" i="1" s="1"/>
  <c r="I37" i="1"/>
  <c r="J37" i="1" s="1"/>
  <c r="K37" i="1" l="1"/>
  <c r="L37" i="1"/>
  <c r="N37" i="1"/>
  <c r="K36" i="1"/>
  <c r="L36" i="1"/>
  <c r="X22" i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 l="1"/>
  <c r="Y22" i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V36" i="1" l="1"/>
  <c r="V37" i="1"/>
  <c r="V34" i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G3" i="2" l="1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37" i="1" l="1"/>
  <c r="P37" i="1" s="1"/>
  <c r="Q37" i="1" s="1"/>
  <c r="O36" i="1"/>
  <c r="P36" i="1" s="1"/>
  <c r="Q36" i="1" s="1"/>
  <c r="O35" i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R36" i="1" l="1"/>
  <c r="T36" i="1" s="1"/>
  <c r="X36" i="1" s="1"/>
  <c r="S36" i="1"/>
  <c r="U36" i="1" s="1"/>
  <c r="S37" i="1"/>
  <c r="U37" i="1" s="1"/>
  <c r="R37" i="1"/>
  <c r="T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Y36" i="1" l="1"/>
  <c r="X37" i="1"/>
  <c r="Y35" i="1"/>
  <c r="Y34" i="1"/>
  <c r="Y5" i="1"/>
  <c r="Y8" i="1" s="1"/>
  <c r="X9" i="1"/>
  <c r="Y9" i="1"/>
  <c r="Y37" i="1" l="1"/>
  <c r="O21" i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W21" i="1" s="1"/>
  <c r="W37" i="1" l="1"/>
  <c r="W36" i="1"/>
  <c r="W35" i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E19" i="2" l="1"/>
  <c r="Y28" i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35" i="1" s="1"/>
  <c r="AF35" i="1" s="1"/>
  <c r="AD36" i="1"/>
  <c r="AF36" i="1" s="1"/>
  <c r="AD37" i="1"/>
  <c r="AF37" i="1" s="1"/>
  <c r="AD34" i="1"/>
  <c r="AF34" i="1" s="1"/>
  <c r="AD33" i="1"/>
  <c r="AF33" i="1" s="1"/>
  <c r="AD27" i="1"/>
  <c r="AF27" i="1" s="1"/>
  <c r="AD24" i="1"/>
  <c r="AF24" i="1" s="1"/>
  <c r="AD25" i="1"/>
  <c r="AF25" i="1" s="1"/>
  <c r="AD29" i="1"/>
  <c r="AF29" i="1" s="1"/>
  <c r="AD23" i="1"/>
  <c r="AF23" i="1" s="1"/>
  <c r="AD31" i="1" l="1"/>
  <c r="AF31" i="1" s="1"/>
  <c r="AD30" i="1"/>
  <c r="AF30" i="1" s="1"/>
  <c r="AD32" i="1"/>
  <c r="AF32" i="1" s="1"/>
  <c r="AD28" i="1"/>
  <c r="AF28" i="1" s="1"/>
  <c r="AD26" i="1"/>
  <c r="AF26" i="1" s="1"/>
  <c r="AC4" i="1"/>
  <c r="AC3" i="1"/>
  <c r="AC6" i="1" s="1"/>
  <c r="Z36" i="1" l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AA31" i="1" s="1"/>
  <c r="Z29" i="1"/>
  <c r="AA29" i="1" s="1"/>
  <c r="Z33" i="1"/>
  <c r="AA33" i="1" s="1"/>
  <c r="Z27" i="1"/>
  <c r="AA27" i="1" s="1"/>
  <c r="Z26" i="1"/>
  <c r="Z30" i="1"/>
  <c r="AA30" i="1" s="1"/>
  <c r="AA26" i="1" l="1"/>
  <c r="AA36" i="1"/>
  <c r="AB36" i="1" s="1"/>
  <c r="AA37" i="1"/>
  <c r="AB37" i="1" s="1"/>
  <c r="AA23" i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4" i="1"/>
  <c r="AB31" i="1"/>
  <c r="AB25" i="1"/>
  <c r="AB30" i="1"/>
  <c r="AC26" i="1" l="1"/>
  <c r="AE26" i="1" s="1"/>
  <c r="AB26" i="1"/>
  <c r="AC36" i="1"/>
  <c r="AE36" i="1" s="1"/>
  <c r="AC37" i="1"/>
  <c r="AE37" i="1" s="1"/>
  <c r="AC33" i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32" i="1"/>
  <c r="AE32" i="1" s="1"/>
  <c r="AC29" i="1"/>
  <c r="AE29" i="1" s="1"/>
  <c r="AC30" i="1"/>
  <c r="AE30" i="1" s="1"/>
  <c r="AC28" i="1"/>
  <c r="AE28" i="1" s="1"/>
  <c r="AB23" i="1"/>
  <c r="AC9" i="1" s="1"/>
  <c r="AI36" i="1" l="1"/>
  <c r="AJ36" i="1" s="1"/>
  <c r="AI37" i="1"/>
  <c r="AJ37" i="1" s="1"/>
  <c r="AI34" i="1"/>
  <c r="AJ34" i="1" s="1"/>
  <c r="AI35" i="1"/>
  <c r="AJ35" i="1" s="1"/>
  <c r="AC10" i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<sst xmlns="http://schemas.openxmlformats.org/spreadsheetml/2006/main" count="103" uniqueCount="89">
  <si>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</si>
  <si>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</si>
  <si>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</si>
  <si>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</si>
  <si>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</si>
  <si>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</si>
  <si>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</si>
  <si>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</si>
  <si>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</si>
  <si>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</si>
  <si>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</si>
  <si>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</si>
  <si>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</si>
  <si>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</si>
  <si>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</si>
  <si>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</si>
  <si>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</si>
  <si>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</si>
  <si>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</si>
  <si>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</si>
  <si>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</si>
  <si>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</si>
  <si>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</si>
  <si>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</si>
  <si>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</si>
  <si>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</si>
  <si>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</si>
  <si>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</si>
  <si>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</si>
  <si>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</si>
  <si>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</si>
  <si>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</si>
  <si>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</si>
  <si>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</si>
  <si>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</si>
  <si>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</si>
  <si>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</si>
  <si>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</si>
  <si>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</si>
  <si>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</si>
  <si>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</si>
  <si>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</si>
  <si>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</si>
  <si>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</si>
  <si>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</si>
  <si>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</si>
  <si>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</si>
  <si>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</si>
  <si>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</si>
  <si>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</si>
  <si>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</si>
  <si>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</si>
  <si>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</si>
  <si>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</si>
  <si>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</si>
  <si>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</si>
  <si>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</si>
  <si>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</si>
  <si>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</si>
  <si>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</si>
  <si>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</si>
  <si>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</si>
  <si>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</si>
  <si>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</si>
  <si>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</si>
  <si>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</si>
  <si>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</si>
  <si>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</si>
  <si>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</si>
  <si>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</si>
  <si>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</si>
  <si>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</si>
  <si>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</si>
  <si>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</si>
  <si>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</si>
  <si>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</si>
  <si>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</si>
  <si>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</si>
  <si>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</si>
  <si>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</si>
  <si>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</si>
  <si>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</si>
  <si>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</si>
  <si>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BS/ZERO</t>
  </si>
  <si>
    <t>CSS13</t>
  </si>
  <si>
    <t xml:space="preserve">BS </t>
  </si>
  <si>
    <t>1,3934877.413,1527444.733,3363.101,</t>
  </si>
  <si>
    <t>Manualy correct rotation and elevation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</si>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</sst>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Calculations!$AH$23:$AH$57</c:f>
              <c:numCache>
                <c:formatCode>General</c:formatCode>
                <c:ptCount val="35"/>
                <c:pt idx="0">
                  <c:v>0</c:v>
                </c:pt>
                <c:pt idx="1">
                  <c:v>8.48</c:v>
                </c:pt>
                <c:pt idx="2">
                  <c:v>11.61</c:v>
                </c:pt>
                <c:pt idx="3">
                  <c:v>12.55</c:v>
                </c:pt>
                <c:pt idx="4">
                  <c:v>14.56</c:v>
                </c:pt>
                <c:pt idx="5">
                  <c:v>36.770000000000003</c:v>
                </c:pt>
                <c:pt idx="6">
                  <c:v>63.12</c:v>
                </c:pt>
                <c:pt idx="7">
                  <c:v>66.09</c:v>
                </c:pt>
                <c:pt idx="8">
                  <c:v>72.040000000000006</c:v>
                </c:pt>
                <c:pt idx="9">
                  <c:v>86.63</c:v>
                </c:pt>
                <c:pt idx="10">
                  <c:v>89.43</c:v>
                </c:pt>
                <c:pt idx="11">
                  <c:v>181.67</c:v>
                </c:pt>
                <c:pt idx="12">
                  <c:v>211.78</c:v>
                </c:pt>
              </c:numCache>
            </c:numRef>
          </c:xVal>
          <c:yVal>
            <c:numRef>
              <c:f>Calculations!$AI$23:$AI$57</c:f>
              <c:numCache>
                <c:formatCode>General</c:formatCode>
                <c:ptCount val="35"/>
                <c:pt idx="0">
                  <c:v>8.9600000000000009</c:v>
                </c:pt>
                <c:pt idx="1">
                  <c:v>3.15</c:v>
                </c:pt>
                <c:pt idx="2">
                  <c:v>1.56</c:v>
                </c:pt>
                <c:pt idx="3">
                  <c:v>1.04</c:v>
                </c:pt>
                <c:pt idx="4">
                  <c:v>0</c:v>
                </c:pt>
                <c:pt idx="5">
                  <c:v>0.69</c:v>
                </c:pt>
                <c:pt idx="6">
                  <c:v>0.77</c:v>
                </c:pt>
                <c:pt idx="7">
                  <c:v>1.08</c:v>
                </c:pt>
                <c:pt idx="8">
                  <c:v>2.12</c:v>
                </c:pt>
                <c:pt idx="9">
                  <c:v>2.66</c:v>
                </c:pt>
                <c:pt idx="10">
                  <c:v>3.03</c:v>
                </c:pt>
                <c:pt idx="11">
                  <c:v>4.6399999999999997</c:v>
                </c:pt>
                <c:pt idx="12">
                  <c:v>6.8</c:v>
                </c:pt>
                <c:pt idx="13">
                  <c:v>8.9600000000000009</c:v>
                </c:pt>
                <c:pt idx="14">
                  <c:v>8.9600000000000009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18944"/>
        <c:axId val="106420864"/>
      </c:scatterChart>
      <c:valAx>
        <c:axId val="10641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20864"/>
        <c:crosses val="autoZero"/>
        <c:crossBetween val="midCat"/>
      </c:valAx>
      <c:valAx>
        <c:axId val="10642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418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Calculations!$R$23:$R$33</c:f>
              <c:numCache>
                <c:formatCode>0.00</c:formatCode>
                <c:ptCount val="11"/>
                <c:pt idx="0">
                  <c:v>22.836212423155338</c:v>
                </c:pt>
                <c:pt idx="1">
                  <c:v>16.214710078705284</c:v>
                </c:pt>
                <c:pt idx="2">
                  <c:v>13.23855703610305</c:v>
                </c:pt>
                <c:pt idx="3">
                  <c:v>12.454529502106844</c:v>
                </c:pt>
                <c:pt idx="4">
                  <c:v>10.965815385514819</c:v>
                </c:pt>
                <c:pt idx="5">
                  <c:v>-7.6184995620259084</c:v>
                </c:pt>
                <c:pt idx="6">
                  <c:v>-30.64168040364402</c:v>
                </c:pt>
                <c:pt idx="7">
                  <c:v>-33.279241013392763</c:v>
                </c:pt>
                <c:pt idx="8">
                  <c:v>-37.913639317982906</c:v>
                </c:pt>
                <c:pt idx="9">
                  <c:v>-52.181536782013694</c:v>
                </c:pt>
                <c:pt idx="10">
                  <c:v>-54.615095231652759</c:v>
                </c:pt>
              </c:numCache>
            </c:numRef>
          </c:xVal>
          <c:yVal>
            <c:numRef>
              <c:f>Calculations!$S$23:$S$33</c:f>
              <c:numCache>
                <c:formatCode>0.00</c:formatCode>
                <c:ptCount val="11"/>
                <c:pt idx="0">
                  <c:v>-39.290853828033825</c:v>
                </c:pt>
                <c:pt idx="1">
                  <c:v>-44.784501269073495</c:v>
                </c:pt>
                <c:pt idx="2">
                  <c:v>-45.891106902633695</c:v>
                </c:pt>
                <c:pt idx="3">
                  <c:v>-46.409829205672246</c:v>
                </c:pt>
                <c:pt idx="4">
                  <c:v>-47.851545945969711</c:v>
                </c:pt>
                <c:pt idx="5">
                  <c:v>-60.067734236092875</c:v>
                </c:pt>
                <c:pt idx="6">
                  <c:v>-72.903570905232797</c:v>
                </c:pt>
                <c:pt idx="7">
                  <c:v>-74.271055703417815</c:v>
                </c:pt>
                <c:pt idx="8">
                  <c:v>-78.144648722834745</c:v>
                </c:pt>
                <c:pt idx="9">
                  <c:v>-82.617501359866182</c:v>
                </c:pt>
                <c:pt idx="10">
                  <c:v>-83.995525411452434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4416"/>
        <c:axId val="121965952"/>
      </c:scatterChart>
      <c:valAx>
        <c:axId val="1219644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1965952"/>
        <c:crosses val="autoZero"/>
        <c:crossBetween val="midCat"/>
      </c:valAx>
      <c:valAx>
        <c:axId val="121965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1964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Calculations!$Z$21:$Z$37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1527468.2677999961</c:v>
                </c:pt>
                <c:pt idx="3">
                  <c:v>1527460.926248478</c:v>
                </c:pt>
                <c:pt idx="4">
                  <c:v>1527458.217255258</c:v>
                </c:pt>
                <c:pt idx="5">
                  <c:v>1527457.4050976511</c:v>
                </c:pt>
                <c:pt idx="6">
                  <c:v>1527455.6649267918</c:v>
                </c:pt>
                <c:pt idx="7">
                  <c:v>1527436.4482629485</c:v>
                </c:pt>
                <c:pt idx="8">
                  <c:v>1527413.638140949</c:v>
                </c:pt>
                <c:pt idx="9">
                  <c:v>1527411.0696482451</c:v>
                </c:pt>
                <c:pt idx="10">
                  <c:v>1527405.9188941</c:v>
                </c:pt>
                <c:pt idx="11">
                  <c:v>1527393.2926459506</c:v>
                </c:pt>
                <c:pt idx="12">
                  <c:v>1527390.8723850329</c:v>
                </c:pt>
                <c:pt idx="13">
                  <c:v>1527311.0442243044</c:v>
                </c:pt>
                <c:pt idx="14">
                  <c:v>1527284.9788764729</c:v>
                </c:pt>
                <c:pt idx="15">
                  <c:v>#N/A</c:v>
                </c:pt>
                <c:pt idx="16">
                  <c:v>#N/A</c:v>
                </c:pt>
              </c:numCache>
            </c:numRef>
          </c:xVal>
          <c:yVal>
            <c:numRef>
              <c:f>Calculations!$AA$21:$AA$37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3934836.9153159633</c:v>
                </c:pt>
                <c:pt idx="3">
                  <c:v>3934832.6655742666</c:v>
                </c:pt>
                <c:pt idx="4">
                  <c:v>3934831.0974423238</c:v>
                </c:pt>
                <c:pt idx="5">
                  <c:v>3934830.6273155343</c:v>
                </c:pt>
                <c:pt idx="6">
                  <c:v>3934829.6199975791</c:v>
                </c:pt>
                <c:pt idx="7">
                  <c:v>3934818.4962102692</c:v>
                </c:pt>
                <c:pt idx="8">
                  <c:v>3934805.2923082961</c:v>
                </c:pt>
                <c:pt idx="9">
                  <c:v>3934803.8055066965</c:v>
                </c:pt>
                <c:pt idx="10">
                  <c:v>3934800.8239333043</c:v>
                </c:pt>
                <c:pt idx="11">
                  <c:v>3934793.5150840636</c:v>
                </c:pt>
                <c:pt idx="12">
                  <c:v>3934792.1140881414</c:v>
                </c:pt>
                <c:pt idx="13">
                  <c:v>3934745.9046373996</c:v>
                </c:pt>
                <c:pt idx="14">
                  <c:v>3934730.8164104419</c:v>
                </c:pt>
                <c:pt idx="15">
                  <c:v>#N/A</c:v>
                </c:pt>
                <c:pt idx="1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32960"/>
        <c:axId val="123434496"/>
      </c:scatterChart>
      <c:valAx>
        <c:axId val="1234329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3434496"/>
        <c:crosses val="autoZero"/>
        <c:crossBetween val="midCat"/>
      </c:valAx>
      <c:valAx>
        <c:axId val="1234344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43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Calculations!$L$48:$L$74</c:f>
              <c:numCache>
                <c:formatCode>General</c:formatCode>
                <c:ptCount val="27"/>
              </c:numCache>
            </c:numRef>
          </c:xVal>
          <c:yVal>
            <c:numRef>
              <c:f>Calculations!$M$48:$M$74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(Calculations!$L$46:$L$47,Calculations!$L$75:$L$76)</c:f>
              <c:numCache>
                <c:formatCode>General</c:formatCode>
                <c:ptCount val="4"/>
              </c:numCache>
            </c:numRef>
          </c:xVal>
          <c:yVal>
            <c:numRef>
              <c:f>(Calculations!$M$46:$M$47,Calculations!$M$75:$M$76)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82368"/>
        <c:axId val="149883904"/>
      </c:scatterChart>
      <c:valAx>
        <c:axId val="14988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9883904"/>
        <c:crosses val="autoZero"/>
        <c:crossBetween val="midCat"/>
      </c:valAx>
      <c:valAx>
        <c:axId val="149883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9882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599262</xdr:colOff>
      <xdr:row>38</xdr:row>
      <xdr:rowOff>123749</xdr:rowOff>
    </xdr:from>
    <xdr:to>
      <xdr:col>34</xdr:col>
      <xdr:colOff>167833</xdr:colOff>
      <xdr:row>53</xdr:row>
      <xdr:rowOff>9449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705971</xdr:colOff>
      <xdr:row>39</xdr:row>
      <xdr:rowOff>8988</xdr:rowOff>
    </xdr:from>
    <xdr:to>
      <xdr:col>20</xdr:col>
      <xdr:colOff>654100</xdr:colOff>
      <xdr:row>53</xdr:row>
      <xdr:rowOff>85188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179294</xdr:colOff>
      <xdr:row>38</xdr:row>
      <xdr:rowOff>129988</xdr:rowOff>
    </xdr:from>
    <xdr:to>
      <xdr:col>27</xdr:col>
      <xdr:colOff>392206</xdr:colOff>
      <xdr:row>53</xdr:row>
      <xdr:rowOff>15688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76"/>
  <sheetViews>
    <sheetView tabSelected="1" topLeftCell="L22" zoomScale="85" zoomScaleNormal="85" workbookViewId="0">
      <selection activeCell="AJ23" sqref="AJ23:AJ35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55" t="s">
        <v>84</v>
      </c>
      <c r="B1" s="56"/>
      <c r="C1" s="51">
        <v>40838</v>
      </c>
      <c r="D1" s="44"/>
      <c r="E1" s="44"/>
      <c r="F1" s="44"/>
      <c r="M1" s="61" t="s">
        <v>21</v>
      </c>
      <c r="N1" s="61"/>
      <c r="O1" s="61"/>
      <c r="P1" s="61"/>
      <c r="Q1" s="61"/>
      <c r="R1" s="22"/>
      <c r="W1" s="58" t="s">
        <v>34</v>
      </c>
      <c r="X1" s="58"/>
      <c r="Y1" s="58"/>
      <c r="Z1" s="2"/>
      <c r="AA1" s="58" t="s">
        <v>56</v>
      </c>
      <c r="AB1" s="58"/>
      <c r="AC1" s="58"/>
    </row>
    <row r="2" spans="1:29" x14ac:dyDescent="0.25">
      <c r="A2" s="55" t="s">
        <v>16</v>
      </c>
      <c r="B2" s="56"/>
      <c r="C2" s="38">
        <v>4.8906000000000001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55" t="s">
        <v>66</v>
      </c>
      <c r="B3" s="56"/>
      <c r="C3" s="38"/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>SLOPE(yB,xB)</f>
        <v>0.57886152355619647</v>
      </c>
    </row>
    <row r="4" spans="1:29" ht="18" x14ac:dyDescent="0.35">
      <c r="A4" s="55" t="s">
        <v>67</v>
      </c>
      <c r="B4" s="56"/>
      <c r="C4" s="38"/>
      <c r="D4" s="44"/>
      <c r="E4" s="44"/>
      <c r="F4" s="44"/>
      <c r="M4" s="22">
        <v>0</v>
      </c>
      <c r="N4" s="20">
        <f>VALUE(MID(C10,FIND(",",C10,3)+1,FIND(",",C10,15)-FIND(",",C10,3)-1))</f>
        <v>1527444.733</v>
      </c>
      <c r="O4" s="20">
        <f>VALUE(MID(C10,FIND(",",C10,1)+1,FIND(",",C10,5)-FIND(",",C10,1)-1))</f>
        <v>3934877.4130000002</v>
      </c>
      <c r="P4" s="20">
        <f>VALUE(MID(C10,FIND(",",C10,17)+1,FIND(",",C10,27)-FIND(",",C10,17)-1))</f>
        <v>3363.1010000000001</v>
      </c>
      <c r="Q4" s="23"/>
      <c r="R4" s="22"/>
      <c r="W4" s="27"/>
      <c r="X4" s="20" t="e">
        <f ca="1">VALUE(OFFSET($P$3,MATCH($O$10,$M$4:$M$6,0),0))</f>
        <v>#VALUE!</v>
      </c>
      <c r="Y4" s="20" t="e">
        <f ca="1">OFFSET($P$3,MATCH($Q$10,$M$4:$M$6,0),0)</f>
        <v>#VALUE!</v>
      </c>
      <c r="Z4" s="2"/>
      <c r="AA4" s="26" t="s">
        <v>41</v>
      </c>
      <c r="AB4" s="26" t="s">
        <v>54</v>
      </c>
      <c r="AC4" s="28">
        <f>INTERCEPT(yB,xB)</f>
        <v>3050644.3066335134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 t="e">
        <f t="shared" ref="N5:N6" si="0">VALUE(MID(C11,FIND(",",C11,3)+1,FIND(",",C11,15)-FIND(",",C11,3)-1))</f>
        <v>#VALUE!</v>
      </c>
      <c r="O5" s="20" t="e">
        <f t="shared" ref="O5:O6" si="1">VALUE(MID(C11,FIND(",",C11,1)+1,FIND(",",C11,5)-FIND(",",C11,1)-1))</f>
        <v>#VALUE!</v>
      </c>
      <c r="P5" s="20" t="e">
        <f t="shared" ref="P5:P6" si="2">VALUE(MID(C11,FIND(",",C11,17)+1,FIND(",",C11,27)-FIND(",",C11,17)-1))</f>
        <v>#VALUE!</v>
      </c>
      <c r="Q5" s="24" t="e">
        <f>DEGREES(ATAN2(Old_Y1-Old_Y0,Old_X1-Old_X0))+IF(Old_X1-Old_X0&lt;0,360)</f>
        <v>#VALUE!</v>
      </c>
      <c r="R5" s="22"/>
      <c r="W5" s="21"/>
      <c r="X5" s="20">
        <f ca="1">VALUE(OFFSET($V$20,MATCH($O11,$A$21:$A$42,0),0))</f>
        <v>3363.1017562366378</v>
      </c>
      <c r="Y5" s="20">
        <f ca="1">OFFSET($V$20,MATCH($Q11,$A$21:$A$42,0),0)</f>
        <v>3363.4900307827611</v>
      </c>
      <c r="Z5" s="2"/>
      <c r="AA5" s="26"/>
      <c r="AB5" s="26"/>
      <c r="AC5" s="20"/>
    </row>
    <row r="6" spans="1:29" ht="18" x14ac:dyDescent="0.35">
      <c r="A6" s="57" t="s">
        <v>17</v>
      </c>
      <c r="B6" s="57"/>
      <c r="C6" s="32">
        <v>3</v>
      </c>
      <c r="D6" s="4"/>
      <c r="E6" s="44"/>
      <c r="F6" s="44"/>
      <c r="M6" s="22">
        <v>2</v>
      </c>
      <c r="N6" s="20" t="e">
        <f t="shared" si="0"/>
        <v>#VALUE!</v>
      </c>
      <c r="O6" s="20" t="e">
        <f t="shared" si="1"/>
        <v>#VALUE!</v>
      </c>
      <c r="P6" s="20" t="e">
        <f t="shared" si="2"/>
        <v>#VALUE!</v>
      </c>
      <c r="Q6" s="24" t="e">
        <f>DEGREES(ATAN2(Old_Y2-Old_Y0,Old_X2-Old_X0))+IF(Old_X2-Old_X0&lt;0,360)</f>
        <v>#VALUE!</v>
      </c>
      <c r="R6" s="22"/>
      <c r="W6" s="21"/>
      <c r="X6" s="20">
        <f ca="1">VALUE(OFFSET($V$20,MATCH($O12,$A$21:$A$52,0),0))</f>
        <v>3362.925754226781</v>
      </c>
      <c r="Y6" s="20">
        <f ca="1">VALUE(OFFSET($V$20,MATCH($O12,$A$21:$A$52,0),0))</f>
        <v>3362.925754226781</v>
      </c>
      <c r="Z6" s="5"/>
      <c r="AA6" s="26" t="s">
        <v>42</v>
      </c>
      <c r="AB6" s="21" t="s">
        <v>55</v>
      </c>
      <c r="AC6" s="20">
        <f>-1/mA</f>
        <v>-1.7275288809257314</v>
      </c>
    </row>
    <row r="7" spans="1:29" x14ac:dyDescent="0.25">
      <c r="A7" s="57" t="s">
        <v>18</v>
      </c>
      <c r="B7" s="57"/>
      <c r="C7" s="32">
        <v>15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8" t="s">
        <v>24</v>
      </c>
      <c r="P8" s="58"/>
      <c r="Q8" s="58" t="s">
        <v>25</v>
      </c>
      <c r="R8" s="58"/>
      <c r="W8" s="21" t="s">
        <v>35</v>
      </c>
      <c r="X8" s="20" t="e">
        <f ca="1">X5-X4</f>
        <v>#VALUE!</v>
      </c>
      <c r="Y8" s="20" t="e">
        <f ca="1">Y5-Y4</f>
        <v>#VALUE!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 t="e">
        <f ca="1">X6-X4</f>
        <v>#VALUE!</v>
      </c>
      <c r="Y9" s="20" t="e">
        <f ca="1">Y6-Y4</f>
        <v>#VALUE!</v>
      </c>
      <c r="AA9" s="31" t="s">
        <v>49</v>
      </c>
      <c r="AB9" s="31"/>
      <c r="AC9" s="20">
        <f>AVERAGE(DfromL)</f>
        <v>1.1749472209777978</v>
      </c>
    </row>
    <row r="10" spans="1:29" s="16" customFormat="1" x14ac:dyDescent="0.25">
      <c r="A10" s="53"/>
      <c r="B10" s="48"/>
      <c r="C10" s="35" t="s">
        <v>86</v>
      </c>
      <c r="D10" s="36"/>
      <c r="E10" s="37"/>
      <c r="F10" s="47"/>
      <c r="M10" s="62" t="s">
        <v>22</v>
      </c>
      <c r="N10" s="62"/>
      <c r="O10" s="32">
        <v>1</v>
      </c>
      <c r="P10" s="20" t="e">
        <f ca="1">OFFSET($Q$3,MATCH($O$10,$M$4:$M$6,0),0)</f>
        <v>#VALUE!</v>
      </c>
      <c r="Q10" s="32">
        <v>2</v>
      </c>
      <c r="R10" s="20" t="e">
        <f ca="1">OFFSET($Q$3,MATCH($O$10,$M$4:$M$6,0),0)</f>
        <v>#VALUE!</v>
      </c>
      <c r="W10" s="22"/>
      <c r="X10" s="22"/>
      <c r="Y10" s="22"/>
      <c r="AA10" s="31" t="s">
        <v>50</v>
      </c>
      <c r="AB10" s="31"/>
      <c r="AC10" s="20">
        <f>_xlfn.STDEV.P(DfromL)</f>
        <v>0.79318765153252291</v>
      </c>
    </row>
    <row r="11" spans="1:29" s="16" customFormat="1" x14ac:dyDescent="0.25">
      <c r="A11" s="14"/>
      <c r="B11" s="48"/>
      <c r="C11" s="35"/>
      <c r="D11" s="36"/>
      <c r="E11" s="37"/>
      <c r="F11" s="47"/>
      <c r="M11" s="58" t="s">
        <v>31</v>
      </c>
      <c r="N11" s="58"/>
      <c r="O11" s="32">
        <v>1</v>
      </c>
      <c r="P11" s="20">
        <f ca="1">OFFSET($N$20,MATCH($O11,$A$21:$A$42,0),0)</f>
        <v>0</v>
      </c>
      <c r="Q11" s="32">
        <v>2</v>
      </c>
      <c r="R11" s="20">
        <f ca="1">OFFSET($N$20,MATCH($Q11,$A$21:$A$42,0),0)</f>
        <v>147.42361111111111</v>
      </c>
      <c r="W11" s="21" t="s">
        <v>37</v>
      </c>
      <c r="X11" s="20">
        <v>0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/>
      <c r="D12" s="36"/>
      <c r="E12" s="37"/>
      <c r="F12" s="47"/>
      <c r="M12" s="58" t="s">
        <v>30</v>
      </c>
      <c r="N12" s="58"/>
      <c r="O12" s="32">
        <v>17</v>
      </c>
      <c r="P12" s="20">
        <f ca="1">OFFSET($N$20,MATCH($O12,$A$21:$A$52,0),0)</f>
        <v>1.6666666666666666E-3</v>
      </c>
      <c r="Q12" s="32">
        <v>16</v>
      </c>
      <c r="R12" s="20">
        <f ca="1">OFFSET($N$20,MATCH($Q12,$A$21:$A$42,0),0)</f>
        <v>147.40722222222223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>MIN(Zs)</f>
        <v>3353.8505392803386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8" t="s">
        <v>32</v>
      </c>
      <c r="N14" s="58"/>
      <c r="O14" s="22"/>
      <c r="P14" s="20" t="e">
        <f ca="1">P10-P11+IF(P11&gt;P10,360)</f>
        <v>#VALUE!</v>
      </c>
      <c r="Q14" s="20"/>
      <c r="R14" s="20" t="e">
        <f ca="1">R10-R11+IF(R11&gt;R10,360)</f>
        <v>#VALUE!</v>
      </c>
      <c r="W14" s="20"/>
      <c r="X14" s="20"/>
      <c r="Y14" s="20"/>
      <c r="AA14" s="20"/>
      <c r="AB14" s="20"/>
      <c r="AC14" s="20"/>
    </row>
    <row r="15" spans="1:29" x14ac:dyDescent="0.25">
      <c r="A15" s="6" t="s">
        <v>87</v>
      </c>
      <c r="B15" s="48"/>
      <c r="C15" s="48"/>
      <c r="D15" s="4"/>
      <c r="E15" s="44"/>
      <c r="F15" s="44"/>
      <c r="M15" s="58" t="s">
        <v>33</v>
      </c>
      <c r="N15" s="58"/>
      <c r="O15" s="22"/>
      <c r="P15" s="20" t="e">
        <f ca="1">P10-P12+IF(P12&gt;P10,360)</f>
        <v>#VALUE!</v>
      </c>
      <c r="Q15" s="20"/>
      <c r="R15" s="20" t="e">
        <f ca="1">R10-R12+IF(R12&gt;R10,360)</f>
        <v>#VALUE!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8" t="s">
        <v>39</v>
      </c>
      <c r="N17" s="58"/>
      <c r="O17" s="20">
        <v>0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9" t="s">
        <v>20</v>
      </c>
      <c r="U19" s="59"/>
      <c r="X19" s="60" t="s">
        <v>45</v>
      </c>
      <c r="Y19" s="60"/>
      <c r="Z19" s="60" t="s">
        <v>46</v>
      </c>
      <c r="AA19" s="60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81</v>
      </c>
      <c r="H20" s="12" t="s">
        <v>75</v>
      </c>
      <c r="I20" s="12" t="s">
        <v>80</v>
      </c>
      <c r="J20" s="12" t="s">
        <v>79</v>
      </c>
      <c r="K20" s="3" t="s">
        <v>73</v>
      </c>
      <c r="L20" s="3" t="s">
        <v>74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78</v>
      </c>
      <c r="R20" s="19" t="s">
        <v>76</v>
      </c>
      <c r="S20" s="19" t="s">
        <v>77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71</v>
      </c>
      <c r="AF20" s="19" t="s">
        <v>72</v>
      </c>
      <c r="AG20" s="19"/>
      <c r="AH20" s="19"/>
      <c r="AI20" s="19"/>
    </row>
    <row r="21" spans="1:36" x14ac:dyDescent="0.25">
      <c r="A21" s="44">
        <v>1</v>
      </c>
      <c r="B21" s="48">
        <v>0</v>
      </c>
      <c r="C21" s="48">
        <v>3.7495601851851852</v>
      </c>
      <c r="D21" s="44">
        <v>88.781999999999996</v>
      </c>
      <c r="E21" s="44">
        <v>4.9062000000000001</v>
      </c>
      <c r="F21" s="49" t="s">
        <v>83</v>
      </c>
      <c r="G21" s="43">
        <f>C21*24</f>
        <v>89.989444444444445</v>
      </c>
      <c r="H21" s="43">
        <f>RADIANS(G21)</f>
        <v>1.5706120975960749</v>
      </c>
      <c r="I21" s="43">
        <f t="shared" ref="I21:I33" si="3">B21*24</f>
        <v>0</v>
      </c>
      <c r="J21" s="39">
        <f>RADIANS(I21)</f>
        <v>0</v>
      </c>
      <c r="K21" s="39">
        <f>D21*SIN(H21)</f>
        <v>88.781998493351807</v>
      </c>
      <c r="L21" s="15">
        <f>D21*COS(H21)</f>
        <v>1.6356236637267332E-2</v>
      </c>
      <c r="M21" s="13"/>
      <c r="N21" s="16">
        <f t="shared" ref="N21:N33" si="4">I21+M21</f>
        <v>0</v>
      </c>
      <c r="O21" s="16">
        <f>$O$17</f>
        <v>0</v>
      </c>
      <c r="P21" s="16">
        <f>SUM(N21,O21)</f>
        <v>0</v>
      </c>
      <c r="Q21" s="16">
        <f>RADIANS(P21)</f>
        <v>0</v>
      </c>
      <c r="R21" s="16">
        <f t="shared" ref="R21:R33" si="5">K21*SIN(Q21)</f>
        <v>0</v>
      </c>
      <c r="S21" s="16">
        <f t="shared" ref="S21:S33" si="6">K21*COS(Q21)</f>
        <v>88.781998493351807</v>
      </c>
      <c r="T21" s="13">
        <f t="shared" ref="T21:T33" si="7">Old_X0+R21</f>
        <v>1527444.733</v>
      </c>
      <c r="U21" s="13">
        <f t="shared" ref="U21:U33" si="8">Old_Y0+S21</f>
        <v>3934966.1949984934</v>
      </c>
      <c r="V21" s="16">
        <f t="shared" ref="V21:V33" si="9">Old_Z0+HI+L21-E21</f>
        <v>3363.1017562366378</v>
      </c>
      <c r="W21" s="16">
        <f>IF(ISNUMBER(T21),V21+dZ,"")</f>
        <v>3363.1017562366378</v>
      </c>
      <c r="X21" s="16" t="str">
        <f t="shared" ref="X21:X37" si="10">IF(AND(A21&gt;=CS_Start,A21&lt;=CS_End),IF(OR(LEFT(UPPER(F21))="D"),"",T21),"")</f>
        <v/>
      </c>
      <c r="Y21" s="16" t="str">
        <f>IF(ISNUMBER(X21),U21,"")</f>
        <v/>
      </c>
      <c r="Z21" s="16" t="e">
        <f t="shared" ref="Z21:Z37" si="11">IF(X21="",NA(),VALUE((-mB*X21+Y21-bA)/(mA-mB)))</f>
        <v>#N/A</v>
      </c>
      <c r="AA21" s="16" t="e">
        <f t="shared" ref="AA21:AA37" si="12">IF(ISNA(Z21),NA(),VALUE(mA*Z21+bA))</f>
        <v>#N/A</v>
      </c>
      <c r="AB21" s="16" t="str">
        <f>IF(ISNUMBER(X21),SQRT((X21-Z21)^2+(Y21-AA21)^2),"")</f>
        <v/>
      </c>
      <c r="AC21" s="16" t="str">
        <f ca="1">IF(ISNUMBER(Z21),SQRT(($Z21-OFFSET($Z$20,MATCH(CS_Start,$A$21:$A$42,0),0))^2+($AA21-OFFSET($AA$20,MATCH(CS_Start,$A$21:$A$42,0),0))^2),"")</f>
        <v/>
      </c>
      <c r="AD21" s="16" t="str">
        <f t="shared" ref="AD21:AD23" si="13">IF(ISNUMBER(X21),W21-Min_Z,"")</f>
        <v/>
      </c>
    </row>
    <row r="22" spans="1:36" x14ac:dyDescent="0.25">
      <c r="A22" s="44">
        <v>2</v>
      </c>
      <c r="B22" s="48">
        <v>6.1426504629629628</v>
      </c>
      <c r="C22" s="48">
        <v>3.7404629629629631</v>
      </c>
      <c r="D22" s="44">
        <v>101.288</v>
      </c>
      <c r="E22" s="44">
        <v>4.9062000000000001</v>
      </c>
      <c r="F22" s="49" t="s">
        <v>85</v>
      </c>
      <c r="G22" s="43">
        <f t="shared" ref="G22:G33" si="14">C22*24</f>
        <v>89.771111111111111</v>
      </c>
      <c r="H22" s="43">
        <f t="shared" ref="H22:H33" si="15">RADIANS(G22)</f>
        <v>1.5668014620625541</v>
      </c>
      <c r="I22" s="43">
        <f t="shared" si="3"/>
        <v>147.42361111111111</v>
      </c>
      <c r="J22" s="39">
        <f t="shared" ref="J22:J33" si="16">RADIANS(I22)</f>
        <v>2.573027409068585</v>
      </c>
      <c r="K22" s="39">
        <f t="shared" ref="K22:K33" si="17">D22*SIN(H22)</f>
        <v>101.28719177630329</v>
      </c>
      <c r="L22" s="15">
        <f t="shared" ref="L22:L33" si="18">D22*COS(H22)</f>
        <v>0.40463078276082193</v>
      </c>
      <c r="M22" s="13"/>
      <c r="N22" s="16">
        <f t="shared" si="4"/>
        <v>147.42361111111111</v>
      </c>
      <c r="O22" s="16">
        <f t="shared" ref="O22:O37" si="19">$O$17</f>
        <v>0</v>
      </c>
      <c r="P22" s="16">
        <f t="shared" ref="P22:P33" si="20">SUM(N22,O22)</f>
        <v>147.42361111111111</v>
      </c>
      <c r="Q22" s="16">
        <f t="shared" ref="Q22:Q33" si="21">RADIANS(P22)</f>
        <v>2.573027409068585</v>
      </c>
      <c r="R22" s="16">
        <f t="shared" si="5"/>
        <v>54.53541156256663</v>
      </c>
      <c r="S22" s="16">
        <f t="shared" si="6"/>
        <v>-85.352118331246558</v>
      </c>
      <c r="T22" s="13">
        <f t="shared" si="7"/>
        <v>1527499.2684115625</v>
      </c>
      <c r="U22" s="13">
        <f t="shared" si="8"/>
        <v>3934792.0608816687</v>
      </c>
      <c r="V22" s="16">
        <f t="shared" si="9"/>
        <v>3363.4900307827611</v>
      </c>
      <c r="W22" s="16">
        <f t="shared" ref="W22:W33" si="22">IF(ISNUMBER(T22),V22+dZ,"")</f>
        <v>3363.4900307827611</v>
      </c>
      <c r="X22" s="47" t="str">
        <f t="shared" si="10"/>
        <v/>
      </c>
      <c r="Y22" s="47" t="str">
        <f t="shared" ref="Y22:Y35" si="23">IF(ISNUMBER(X22),U22,"")</f>
        <v/>
      </c>
      <c r="Z22" s="47" t="e">
        <f t="shared" si="11"/>
        <v>#N/A</v>
      </c>
      <c r="AA22" s="47" t="e">
        <f t="shared" si="12"/>
        <v>#N/A</v>
      </c>
      <c r="AB22" s="16" t="str">
        <f t="shared" ref="AB22:AB23" si="24">IF(ISNUMBER(X22),SQRT((X22-Z22)^2+(Y22-AA22)^2),"")</f>
        <v/>
      </c>
      <c r="AC22" s="16" t="str">
        <f ca="1">IF(ISNUMBER(Z22),SQRT(($Z22-OFFSET($Z$20,MATCH(CS_Start,$A$21:$A$42,0),0))^2+($AA22-OFFSET($AA$20,MATCH(CS_Start,$A$21:$A$42,0),0))^2),"")</f>
        <v/>
      </c>
      <c r="AD22" s="16" t="str">
        <f t="shared" si="13"/>
        <v/>
      </c>
    </row>
    <row r="23" spans="1:36" x14ac:dyDescent="0.25">
      <c r="A23" s="44">
        <v>3</v>
      </c>
      <c r="B23" s="48">
        <v>6.2431018518518515</v>
      </c>
      <c r="C23" s="48">
        <v>3.7643981481481479</v>
      </c>
      <c r="D23" s="44">
        <v>45.445999999999998</v>
      </c>
      <c r="E23" s="44">
        <v>4.9062000000000001</v>
      </c>
      <c r="F23" s="44"/>
      <c r="G23" s="43">
        <f t="shared" si="14"/>
        <v>90.345555555555549</v>
      </c>
      <c r="H23" s="43">
        <f t="shared" si="15"/>
        <v>1.5768274089878991</v>
      </c>
      <c r="I23" s="43">
        <f t="shared" si="3"/>
        <v>149.83444444444444</v>
      </c>
      <c r="J23" s="39">
        <f t="shared" si="16"/>
        <v>2.6151043884520813</v>
      </c>
      <c r="K23" s="39">
        <f t="shared" si="17"/>
        <v>45.445173477184511</v>
      </c>
      <c r="L23" s="15">
        <f t="shared" si="18"/>
        <v>-0.27408689973216371</v>
      </c>
      <c r="M23" s="13"/>
      <c r="N23" s="16">
        <f t="shared" si="4"/>
        <v>149.83444444444444</v>
      </c>
      <c r="O23" s="16">
        <f t="shared" si="19"/>
        <v>0</v>
      </c>
      <c r="P23" s="16">
        <f t="shared" si="20"/>
        <v>149.83444444444444</v>
      </c>
      <c r="Q23" s="16">
        <f t="shared" si="21"/>
        <v>2.6151043884520813</v>
      </c>
      <c r="R23" s="16">
        <f t="shared" si="5"/>
        <v>22.836212423155338</v>
      </c>
      <c r="S23" s="16">
        <f t="shared" si="6"/>
        <v>-39.290853828033825</v>
      </c>
      <c r="T23" s="13">
        <f t="shared" si="7"/>
        <v>1527467.5692124232</v>
      </c>
      <c r="U23" s="13">
        <f t="shared" si="8"/>
        <v>3934838.122146172</v>
      </c>
      <c r="V23" s="16">
        <f t="shared" si="9"/>
        <v>3362.8113131002683</v>
      </c>
      <c r="W23" s="16">
        <f t="shared" si="22"/>
        <v>3362.8113131002683</v>
      </c>
      <c r="X23" s="47">
        <f t="shared" si="10"/>
        <v>1527467.5692124232</v>
      </c>
      <c r="Y23" s="47">
        <f t="shared" si="23"/>
        <v>3934838.122146172</v>
      </c>
      <c r="Z23" s="47">
        <f t="shared" si="11"/>
        <v>1527468.2677999961</v>
      </c>
      <c r="AA23" s="47">
        <f t="shared" si="12"/>
        <v>3934836.9153159633</v>
      </c>
      <c r="AB23" s="16">
        <f t="shared" si="24"/>
        <v>1.3944402997383825</v>
      </c>
      <c r="AC23" s="16">
        <f ca="1">IF(ISNUMBER(Z23),SQRT(($Z23-OFFSET($Z$20,MATCH(CS_Start,$A$21:$A$42,0),0))^2+($AA23-OFFSET($AA$20,MATCH(CS_Start,$A$21:$A$42,0),0))^2),"")</f>
        <v>0</v>
      </c>
      <c r="AD23" s="16">
        <f t="shared" si="13"/>
        <v>8.9607738199297273</v>
      </c>
      <c r="AE23" s="47">
        <f ca="1">ROUND(AC23,2)</f>
        <v>0</v>
      </c>
      <c r="AF23" s="47">
        <f t="shared" ref="AF23:AF37" si="25">ROUND(AD23,2)</f>
        <v>8.9600000000000009</v>
      </c>
      <c r="AH23" s="44">
        <v>0</v>
      </c>
      <c r="AI23" s="2">
        <f ca="1">OFFSET($AF$22,MATCH(AH23,$AE$23:$AE$50,0),0)</f>
        <v>8.9600000000000009</v>
      </c>
      <c r="AJ23" s="2" t="str">
        <f t="shared" ref="AJ23:AJ37" ca="1" si="26">CONCATENATE(AH23,",",AI23)</f>
        <v>0,8.96</v>
      </c>
    </row>
    <row r="24" spans="1:36" x14ac:dyDescent="0.25">
      <c r="A24" s="44">
        <v>4</v>
      </c>
      <c r="B24" s="48">
        <v>6.670694444444444</v>
      </c>
      <c r="C24" s="48">
        <v>4.0531134259259263</v>
      </c>
      <c r="D24" s="44">
        <v>48.015999999999998</v>
      </c>
      <c r="E24" s="44">
        <v>4.9062000000000001</v>
      </c>
      <c r="F24" s="44"/>
      <c r="G24" s="43">
        <f t="shared" si="14"/>
        <v>97.274722222222238</v>
      </c>
      <c r="H24" s="43">
        <f t="shared" si="15"/>
        <v>1.6977641817406732</v>
      </c>
      <c r="I24" s="43">
        <f t="shared" si="3"/>
        <v>160.09666666666666</v>
      </c>
      <c r="J24" s="39">
        <f t="shared" si="16"/>
        <v>2.7942139548011884</v>
      </c>
      <c r="K24" s="39">
        <f t="shared" si="17"/>
        <v>47.629490621421851</v>
      </c>
      <c r="L24" s="15">
        <f t="shared" si="18"/>
        <v>-6.0801216389055632</v>
      </c>
      <c r="M24" s="13"/>
      <c r="N24" s="16">
        <f t="shared" si="4"/>
        <v>160.09666666666666</v>
      </c>
      <c r="O24" s="16">
        <f t="shared" si="19"/>
        <v>0</v>
      </c>
      <c r="P24" s="16">
        <f t="shared" si="20"/>
        <v>160.09666666666666</v>
      </c>
      <c r="Q24" s="16">
        <f t="shared" si="21"/>
        <v>2.7942139548011884</v>
      </c>
      <c r="R24" s="16">
        <f t="shared" si="5"/>
        <v>16.214710078705284</v>
      </c>
      <c r="S24" s="16">
        <f t="shared" si="6"/>
        <v>-44.784501269073495</v>
      </c>
      <c r="T24" s="13">
        <f t="shared" si="7"/>
        <v>1527460.9477100787</v>
      </c>
      <c r="U24" s="13">
        <f t="shared" si="8"/>
        <v>3934832.6284987312</v>
      </c>
      <c r="V24" s="16">
        <f t="shared" si="9"/>
        <v>3357.005278361095</v>
      </c>
      <c r="W24" s="16">
        <f t="shared" si="22"/>
        <v>3357.005278361095</v>
      </c>
      <c r="X24" s="47">
        <f t="shared" si="10"/>
        <v>1527460.9477100787</v>
      </c>
      <c r="Y24" s="47">
        <f t="shared" si="23"/>
        <v>3934832.6284987312</v>
      </c>
      <c r="Z24" s="47">
        <f t="shared" si="11"/>
        <v>1527460.926248478</v>
      </c>
      <c r="AA24" s="47">
        <f t="shared" si="12"/>
        <v>3934832.6655742666</v>
      </c>
      <c r="AB24" s="47">
        <f t="shared" ref="AB24:AB33" si="27">IF(ISNUMBER(X24),SQRT((X24-Z24)^2+(Y24-AA24)^2),"")</f>
        <v>4.2839183326883065E-2</v>
      </c>
      <c r="AC24" s="47">
        <f ca="1">IF(ISNUMBER(Z24),SQRT(($Z24-OFFSET($Z$20,MATCH(CS_Start,$A$21:$A$42,0),0))^2+($AA24-OFFSET($AA$20,MATCH(CS_Start,$A$21:$A$42,0),0))^2),"")</f>
        <v>8.4828464079906656</v>
      </c>
      <c r="AD24" s="47">
        <f t="shared" ref="AD24:AD33" si="28">IF(ISNUMBER(X24),W24-Min_Z,"")</f>
        <v>3.1547390807563715</v>
      </c>
      <c r="AE24" s="47">
        <f t="shared" ref="AE24:AE37" ca="1" si="29">ROUND(AC24,2)</f>
        <v>8.48</v>
      </c>
      <c r="AF24" s="47">
        <f t="shared" si="25"/>
        <v>3.15</v>
      </c>
      <c r="AH24" s="44">
        <v>8.48</v>
      </c>
      <c r="AI24" s="44">
        <f ca="1">OFFSET($AF$22,MATCH(AH24,$AE$23:$AE$50,0),0)</f>
        <v>3.15</v>
      </c>
      <c r="AJ24" s="2" t="str">
        <f t="shared" ca="1" si="26"/>
        <v>8.48,3.15</v>
      </c>
    </row>
    <row r="25" spans="1:36" x14ac:dyDescent="0.25">
      <c r="A25" s="44">
        <v>5</v>
      </c>
      <c r="B25" s="48">
        <v>6.8295138888888891</v>
      </c>
      <c r="C25" s="48">
        <v>4.1303124999999996</v>
      </c>
      <c r="D25" s="44">
        <v>48.375</v>
      </c>
      <c r="E25" s="44">
        <v>4.9062000000000001</v>
      </c>
      <c r="F25" s="44"/>
      <c r="G25" s="43">
        <f t="shared" si="14"/>
        <v>99.127499999999998</v>
      </c>
      <c r="H25" s="43">
        <f t="shared" si="15"/>
        <v>1.7301012542706791</v>
      </c>
      <c r="I25" s="43">
        <f t="shared" si="3"/>
        <v>163.90833333333333</v>
      </c>
      <c r="J25" s="39">
        <f t="shared" si="16"/>
        <v>2.8607400881230389</v>
      </c>
      <c r="K25" s="39">
        <f t="shared" si="17"/>
        <v>47.762465233142095</v>
      </c>
      <c r="L25" s="15">
        <f t="shared" si="18"/>
        <v>-7.6738217240754683</v>
      </c>
      <c r="M25" s="13"/>
      <c r="N25" s="16">
        <f t="shared" si="4"/>
        <v>163.90833333333333</v>
      </c>
      <c r="O25" s="16">
        <f t="shared" si="19"/>
        <v>0</v>
      </c>
      <c r="P25" s="16">
        <f t="shared" si="20"/>
        <v>163.90833333333333</v>
      </c>
      <c r="Q25" s="16">
        <f t="shared" si="21"/>
        <v>2.8607400881230389</v>
      </c>
      <c r="R25" s="16">
        <f t="shared" si="5"/>
        <v>13.23855703610305</v>
      </c>
      <c r="S25" s="16">
        <f t="shared" si="6"/>
        <v>-45.891106902633695</v>
      </c>
      <c r="T25" s="13">
        <f t="shared" si="7"/>
        <v>1527457.971557036</v>
      </c>
      <c r="U25" s="13">
        <f t="shared" si="8"/>
        <v>3934831.5218930976</v>
      </c>
      <c r="V25" s="16">
        <f t="shared" si="9"/>
        <v>3355.411578275925</v>
      </c>
      <c r="W25" s="16">
        <f t="shared" si="22"/>
        <v>3355.411578275925</v>
      </c>
      <c r="X25" s="47">
        <f t="shared" si="10"/>
        <v>1527457.971557036</v>
      </c>
      <c r="Y25" s="47">
        <f t="shared" si="23"/>
        <v>3934831.5218930976</v>
      </c>
      <c r="Z25" s="47">
        <f t="shared" si="11"/>
        <v>1527458.217255258</v>
      </c>
      <c r="AA25" s="47">
        <f t="shared" si="12"/>
        <v>3934831.0974423238</v>
      </c>
      <c r="AB25" s="47">
        <f t="shared" si="27"/>
        <v>0.49043457831528009</v>
      </c>
      <c r="AC25" s="47">
        <f ca="1">IF(ISNUMBER(Z25),SQRT(($Z25-OFFSET($Z$20,MATCH(CS_Start,$A$21:$A$42,0),0))^2+($AA25-OFFSET($AA$20,MATCH(CS_Start,$A$21:$A$42,0),0))^2),"")</f>
        <v>11.61297133456344</v>
      </c>
      <c r="AD25" s="47">
        <f t="shared" si="28"/>
        <v>1.5610389955863866</v>
      </c>
      <c r="AE25" s="47">
        <f t="shared" ca="1" si="29"/>
        <v>11.61</v>
      </c>
      <c r="AF25" s="47">
        <f t="shared" si="25"/>
        <v>1.56</v>
      </c>
      <c r="AH25" s="44">
        <v>11.61</v>
      </c>
      <c r="AI25" s="44">
        <f ca="1">OFFSET($AF$22,MATCH(AH25,$AE$23:$AE$50,0),0)</f>
        <v>1.56</v>
      </c>
      <c r="AJ25" s="2" t="str">
        <f t="shared" ca="1" si="26"/>
        <v>11.61,1.56</v>
      </c>
    </row>
    <row r="26" spans="1:36" x14ac:dyDescent="0.25">
      <c r="A26" s="44">
        <v>6</v>
      </c>
      <c r="B26" s="48">
        <v>6.8740856481481485</v>
      </c>
      <c r="C26" s="48">
        <v>4.1533449074074076</v>
      </c>
      <c r="D26" s="44">
        <v>48.746000000000002</v>
      </c>
      <c r="E26" s="44">
        <v>4.9062000000000001</v>
      </c>
      <c r="F26" s="49" t="s">
        <v>82</v>
      </c>
      <c r="G26" s="43">
        <f t="shared" si="14"/>
        <v>99.680277777777775</v>
      </c>
      <c r="H26" s="43">
        <f t="shared" si="15"/>
        <v>1.7397490465247587</v>
      </c>
      <c r="I26" s="43">
        <f t="shared" si="3"/>
        <v>164.97805555555556</v>
      </c>
      <c r="J26" s="39">
        <f t="shared" si="16"/>
        <v>2.8794102629825673</v>
      </c>
      <c r="K26" s="39">
        <f t="shared" si="17"/>
        <v>48.051925580756055</v>
      </c>
      <c r="L26" s="15">
        <f t="shared" si="18"/>
        <v>-8.1966434582384107</v>
      </c>
      <c r="M26" s="13"/>
      <c r="N26" s="16">
        <f t="shared" si="4"/>
        <v>164.97805555555556</v>
      </c>
      <c r="O26" s="16">
        <f t="shared" si="19"/>
        <v>0</v>
      </c>
      <c r="P26" s="16">
        <f t="shared" si="20"/>
        <v>164.97805555555556</v>
      </c>
      <c r="Q26" s="16">
        <f t="shared" si="21"/>
        <v>2.8794102629825673</v>
      </c>
      <c r="R26" s="16">
        <f t="shared" si="5"/>
        <v>12.454529502106844</v>
      </c>
      <c r="S26" s="16">
        <f t="shared" si="6"/>
        <v>-46.409829205672246</v>
      </c>
      <c r="T26" s="13">
        <f t="shared" si="7"/>
        <v>1527457.1875295022</v>
      </c>
      <c r="U26" s="13">
        <f t="shared" si="8"/>
        <v>3934831.0031707943</v>
      </c>
      <c r="V26" s="16">
        <f t="shared" si="9"/>
        <v>3354.8887565417622</v>
      </c>
      <c r="W26" s="16">
        <f t="shared" si="22"/>
        <v>3354.8887565417622</v>
      </c>
      <c r="X26" s="47">
        <f t="shared" si="10"/>
        <v>1527457.1875295022</v>
      </c>
      <c r="Y26" s="47">
        <f t="shared" si="23"/>
        <v>3934831.0031707943</v>
      </c>
      <c r="Z26" s="47">
        <f t="shared" si="11"/>
        <v>1527457.4050976511</v>
      </c>
      <c r="AA26" s="47">
        <f t="shared" si="12"/>
        <v>3934830.6273155343</v>
      </c>
      <c r="AB26" s="47">
        <f t="shared" si="27"/>
        <v>0.43428455638539809</v>
      </c>
      <c r="AC26" s="47">
        <f ca="1">IF(ISNUMBER(Z26),SQRT(($Z26-OFFSET($Z$20,MATCH(CS_Start,$A$21:$A$42,0),0))^2+($AA26-OFFSET($AA$20,MATCH(CS_Start,$A$21:$A$42,0),0))^2),"")</f>
        <v>12.551384450808824</v>
      </c>
      <c r="AD26" s="47">
        <f t="shared" si="28"/>
        <v>1.0382172614235969</v>
      </c>
      <c r="AE26" s="47">
        <f t="shared" ca="1" si="29"/>
        <v>12.55</v>
      </c>
      <c r="AF26" s="47">
        <f t="shared" si="25"/>
        <v>1.04</v>
      </c>
      <c r="AH26" s="44">
        <v>12.55</v>
      </c>
      <c r="AI26" s="44">
        <f ca="1">OFFSET($AF$22,MATCH(AH26,$AE$23:$AE$50,0),0)</f>
        <v>1.04</v>
      </c>
      <c r="AJ26" s="2" t="str">
        <f t="shared" ca="1" si="26"/>
        <v>12.55,1.04</v>
      </c>
    </row>
    <row r="27" spans="1:36" x14ac:dyDescent="0.25">
      <c r="A27" s="44">
        <v>7</v>
      </c>
      <c r="B27" s="48">
        <v>6.962199074074074</v>
      </c>
      <c r="C27" s="48">
        <v>4.1939004629629624</v>
      </c>
      <c r="D27" s="44">
        <v>49.953000000000003</v>
      </c>
      <c r="E27" s="44">
        <v>4.9062000000000001</v>
      </c>
      <c r="F27" s="49" t="s">
        <v>88</v>
      </c>
      <c r="G27" s="43">
        <f t="shared" si="14"/>
        <v>100.6536111111111</v>
      </c>
      <c r="H27" s="43">
        <f t="shared" si="15"/>
        <v>1.7567369179108367</v>
      </c>
      <c r="I27" s="43">
        <f t="shared" si="3"/>
        <v>167.09277777777777</v>
      </c>
      <c r="J27" s="39">
        <f t="shared" si="16"/>
        <v>2.9163191285254362</v>
      </c>
      <c r="K27" s="39">
        <f t="shared" si="17"/>
        <v>49.091950017171285</v>
      </c>
      <c r="L27" s="15">
        <f t="shared" si="18"/>
        <v>-9.2348607196620307</v>
      </c>
      <c r="M27" s="13"/>
      <c r="N27" s="16">
        <f t="shared" si="4"/>
        <v>167.09277777777777</v>
      </c>
      <c r="O27" s="16">
        <f t="shared" si="19"/>
        <v>0</v>
      </c>
      <c r="P27" s="16">
        <f t="shared" si="20"/>
        <v>167.09277777777777</v>
      </c>
      <c r="Q27" s="16">
        <f t="shared" si="21"/>
        <v>2.9163191285254362</v>
      </c>
      <c r="R27" s="16">
        <f t="shared" si="5"/>
        <v>10.965815385514819</v>
      </c>
      <c r="S27" s="16">
        <f t="shared" si="6"/>
        <v>-47.851545945969711</v>
      </c>
      <c r="T27" s="13">
        <f t="shared" si="7"/>
        <v>1527455.6988153856</v>
      </c>
      <c r="U27" s="13">
        <f t="shared" si="8"/>
        <v>3934829.5614540544</v>
      </c>
      <c r="V27" s="16">
        <f t="shared" si="9"/>
        <v>3353.8505392803386</v>
      </c>
      <c r="W27" s="16">
        <f t="shared" si="22"/>
        <v>3353.8505392803386</v>
      </c>
      <c r="X27" s="47">
        <f t="shared" si="10"/>
        <v>1527455.6988153856</v>
      </c>
      <c r="Y27" s="47">
        <f t="shared" si="23"/>
        <v>3934829.5614540544</v>
      </c>
      <c r="Z27" s="47">
        <f t="shared" si="11"/>
        <v>1527455.6649267918</v>
      </c>
      <c r="AA27" s="47">
        <f t="shared" si="12"/>
        <v>3934829.6199975791</v>
      </c>
      <c r="AB27" s="47">
        <f t="shared" si="27"/>
        <v>6.7644519906448389E-2</v>
      </c>
      <c r="AC27" s="47">
        <f ca="1">IF(ISNUMBER(Z27),SQRT(($Z27-OFFSET($Z$20,MATCH(CS_Start,$A$21:$A$42,0),0))^2+($AA27-OFFSET($AA$20,MATCH(CS_Start,$A$21:$A$42,0),0))^2),"")</f>
        <v>14.562076889295204</v>
      </c>
      <c r="AD27" s="47">
        <f t="shared" si="28"/>
        <v>0</v>
      </c>
      <c r="AE27" s="47">
        <f t="shared" ca="1" si="29"/>
        <v>14.56</v>
      </c>
      <c r="AF27" s="47">
        <f t="shared" si="25"/>
        <v>0</v>
      </c>
      <c r="AH27" s="44">
        <v>14.56</v>
      </c>
      <c r="AI27" s="44">
        <f ca="1">OFFSET($AF$22,MATCH(AH27,$AE$23:$AE$50,0),0)</f>
        <v>0</v>
      </c>
      <c r="AJ27" s="2" t="str">
        <f t="shared" ca="1" si="26"/>
        <v>14.56,0</v>
      </c>
    </row>
    <row r="28" spans="1:36" x14ac:dyDescent="0.25">
      <c r="A28" s="44">
        <v>8</v>
      </c>
      <c r="B28" s="48">
        <v>7.8011805555555549</v>
      </c>
      <c r="C28" s="48">
        <v>4.0847222222222221</v>
      </c>
      <c r="D28" s="44">
        <v>61.149000000000001</v>
      </c>
      <c r="E28" s="44">
        <v>4.9062000000000001</v>
      </c>
      <c r="F28" s="49" t="s">
        <v>88</v>
      </c>
      <c r="G28" s="43">
        <f t="shared" si="14"/>
        <v>98.033333333333331</v>
      </c>
      <c r="H28" s="43">
        <f t="shared" si="15"/>
        <v>1.7110044433717744</v>
      </c>
      <c r="I28" s="43">
        <f t="shared" si="3"/>
        <v>187.22833333333332</v>
      </c>
      <c r="J28" s="39">
        <f t="shared" si="16"/>
        <v>3.2677508696881166</v>
      </c>
      <c r="K28" s="39">
        <f t="shared" si="17"/>
        <v>60.548940798617387</v>
      </c>
      <c r="L28" s="15">
        <f t="shared" si="18"/>
        <v>-8.5455233406460636</v>
      </c>
      <c r="M28" s="13"/>
      <c r="N28" s="16">
        <f t="shared" si="4"/>
        <v>187.22833333333332</v>
      </c>
      <c r="O28" s="16">
        <f t="shared" si="19"/>
        <v>0</v>
      </c>
      <c r="P28" s="16">
        <f t="shared" si="20"/>
        <v>187.22833333333332</v>
      </c>
      <c r="Q28" s="16">
        <f t="shared" si="21"/>
        <v>3.2677508696881166</v>
      </c>
      <c r="R28" s="16">
        <f t="shared" si="5"/>
        <v>-7.6184995620259084</v>
      </c>
      <c r="S28" s="16">
        <f t="shared" si="6"/>
        <v>-60.067734236092875</v>
      </c>
      <c r="T28" s="13">
        <f t="shared" si="7"/>
        <v>1527437.1145004381</v>
      </c>
      <c r="U28" s="13">
        <f t="shared" si="8"/>
        <v>3934817.3452657643</v>
      </c>
      <c r="V28" s="16">
        <f t="shared" si="9"/>
        <v>3354.5398766593544</v>
      </c>
      <c r="W28" s="16">
        <f t="shared" si="22"/>
        <v>3354.5398766593544</v>
      </c>
      <c r="X28" s="47">
        <f t="shared" si="10"/>
        <v>1527437.1145004381</v>
      </c>
      <c r="Y28" s="47">
        <f t="shared" si="23"/>
        <v>3934817.3452657643</v>
      </c>
      <c r="Z28" s="47">
        <f t="shared" si="11"/>
        <v>1527436.4482629485</v>
      </c>
      <c r="AA28" s="47">
        <f t="shared" si="12"/>
        <v>3934818.4962102692</v>
      </c>
      <c r="AB28" s="47">
        <f t="shared" si="27"/>
        <v>1.3298667774688486</v>
      </c>
      <c r="AC28" s="47">
        <f ca="1">IF(ISNUMBER(Z28),SQRT(($Z28-OFFSET($Z$20,MATCH(CS_Start,$A$21:$A$42,0),0))^2+($AA28-OFFSET($AA$20,MATCH(CS_Start,$A$21:$A$42,0),0))^2),"")</f>
        <v>36.766103852487255</v>
      </c>
      <c r="AD28" s="47">
        <f t="shared" si="28"/>
        <v>0.68933737901579661</v>
      </c>
      <c r="AE28" s="47">
        <f t="shared" ca="1" si="29"/>
        <v>36.770000000000003</v>
      </c>
      <c r="AF28" s="47">
        <f t="shared" si="25"/>
        <v>0.69</v>
      </c>
      <c r="AH28" s="44">
        <v>36.770000000000003</v>
      </c>
      <c r="AI28" s="44">
        <f ca="1">OFFSET($AF$22,MATCH(AH28,$AE$23:$AE$50,0),0)</f>
        <v>0.69</v>
      </c>
      <c r="AJ28" s="2" t="str">
        <f t="shared" ca="1" si="26"/>
        <v>36.77,0.69</v>
      </c>
    </row>
    <row r="29" spans="1:36" x14ac:dyDescent="0.25">
      <c r="A29" s="44">
        <v>9</v>
      </c>
      <c r="B29" s="48">
        <v>8.4498842592592585</v>
      </c>
      <c r="C29" s="48">
        <v>4.0045717592592593</v>
      </c>
      <c r="D29" s="44">
        <v>79.533000000000001</v>
      </c>
      <c r="E29" s="44">
        <v>4.9062000000000001</v>
      </c>
      <c r="F29" s="49" t="s">
        <v>88</v>
      </c>
      <c r="G29" s="43">
        <f t="shared" si="14"/>
        <v>96.109722222222217</v>
      </c>
      <c r="H29" s="43">
        <f t="shared" si="15"/>
        <v>1.677431095954939</v>
      </c>
      <c r="I29" s="43">
        <f t="shared" si="3"/>
        <v>202.79722222222222</v>
      </c>
      <c r="J29" s="39">
        <f t="shared" si="16"/>
        <v>3.5394792416763892</v>
      </c>
      <c r="K29" s="39">
        <f t="shared" si="17"/>
        <v>79.081244481187625</v>
      </c>
      <c r="L29" s="15">
        <f t="shared" si="18"/>
        <v>-8.4649193916204162</v>
      </c>
      <c r="M29" s="13"/>
      <c r="N29" s="16">
        <f t="shared" si="4"/>
        <v>202.79722222222222</v>
      </c>
      <c r="O29" s="16">
        <f t="shared" si="19"/>
        <v>0</v>
      </c>
      <c r="P29" s="16">
        <f t="shared" si="20"/>
        <v>202.79722222222222</v>
      </c>
      <c r="Q29" s="16">
        <f t="shared" si="21"/>
        <v>3.5394792416763892</v>
      </c>
      <c r="R29" s="16">
        <f t="shared" si="5"/>
        <v>-30.64168040364402</v>
      </c>
      <c r="S29" s="16">
        <f t="shared" si="6"/>
        <v>-72.903570905232797</v>
      </c>
      <c r="T29" s="13">
        <f t="shared" si="7"/>
        <v>1527414.0913195964</v>
      </c>
      <c r="U29" s="13">
        <f t="shared" si="8"/>
        <v>3934804.5094290948</v>
      </c>
      <c r="V29" s="16">
        <f t="shared" si="9"/>
        <v>3354.6204806083801</v>
      </c>
      <c r="W29" s="16">
        <f t="shared" si="22"/>
        <v>3354.6204806083801</v>
      </c>
      <c r="X29" s="47">
        <f t="shared" si="10"/>
        <v>1527414.0913195964</v>
      </c>
      <c r="Y29" s="47">
        <f t="shared" si="23"/>
        <v>3934804.5094290948</v>
      </c>
      <c r="Z29" s="47">
        <f t="shared" si="11"/>
        <v>1527413.638140949</v>
      </c>
      <c r="AA29" s="47">
        <f t="shared" si="12"/>
        <v>3934805.2923082961</v>
      </c>
      <c r="AB29" s="47">
        <f t="shared" si="27"/>
        <v>0.90458318037285801</v>
      </c>
      <c r="AC29" s="47">
        <f ca="1">IF(ISNUMBER(Z29),SQRT(($Z29-OFFSET($Z$20,MATCH(CS_Start,$A$21:$A$42,0),0))^2+($AA29-OFFSET($AA$20,MATCH(CS_Start,$A$21:$A$42,0),0))^2),"")</f>
        <v>63.12221686163528</v>
      </c>
      <c r="AD29" s="47">
        <f t="shared" si="28"/>
        <v>0.76994132804156834</v>
      </c>
      <c r="AE29" s="47">
        <f t="shared" ca="1" si="29"/>
        <v>63.12</v>
      </c>
      <c r="AF29" s="47">
        <f t="shared" si="25"/>
        <v>0.77</v>
      </c>
      <c r="AH29" s="44">
        <v>63.12</v>
      </c>
      <c r="AI29" s="44">
        <f ca="1">OFFSET($AF$22,MATCH(AH29,$AE$23:$AE$50,0),0)</f>
        <v>0.77</v>
      </c>
      <c r="AJ29" s="2" t="str">
        <f t="shared" ca="1" si="26"/>
        <v>63.12,0.77</v>
      </c>
    </row>
    <row r="30" spans="1:36" x14ac:dyDescent="0.25">
      <c r="A30" s="44">
        <v>10</v>
      </c>
      <c r="B30" s="48">
        <v>8.5056712962962973</v>
      </c>
      <c r="C30" s="48">
        <v>3.9885185185185184</v>
      </c>
      <c r="D30" s="44">
        <v>81.793999999999997</v>
      </c>
      <c r="E30" s="44">
        <v>4.9062000000000001</v>
      </c>
      <c r="F30" s="49" t="s">
        <v>82</v>
      </c>
      <c r="G30" s="43">
        <f t="shared" si="14"/>
        <v>95.724444444444444</v>
      </c>
      <c r="H30" s="43">
        <f t="shared" si="15"/>
        <v>1.6707067301979497</v>
      </c>
      <c r="I30" s="43">
        <f t="shared" si="3"/>
        <v>204.13611111111112</v>
      </c>
      <c r="J30" s="39">
        <f t="shared" si="16"/>
        <v>3.562847261105869</v>
      </c>
      <c r="K30" s="39">
        <f t="shared" si="17"/>
        <v>81.386101993692236</v>
      </c>
      <c r="L30" s="15">
        <f t="shared" si="18"/>
        <v>-8.1584825961893213</v>
      </c>
      <c r="M30" s="13"/>
      <c r="N30" s="16">
        <f t="shared" si="4"/>
        <v>204.13611111111112</v>
      </c>
      <c r="O30" s="16">
        <f t="shared" si="19"/>
        <v>0</v>
      </c>
      <c r="P30" s="16">
        <f t="shared" si="20"/>
        <v>204.13611111111112</v>
      </c>
      <c r="Q30" s="16">
        <f t="shared" si="21"/>
        <v>3.562847261105869</v>
      </c>
      <c r="R30" s="16">
        <f t="shared" si="5"/>
        <v>-33.279241013392763</v>
      </c>
      <c r="S30" s="16">
        <f t="shared" si="6"/>
        <v>-74.271055703417815</v>
      </c>
      <c r="T30" s="13">
        <f t="shared" si="7"/>
        <v>1527411.4537589867</v>
      </c>
      <c r="U30" s="13">
        <f t="shared" si="8"/>
        <v>3934803.1419442967</v>
      </c>
      <c r="V30" s="16">
        <f t="shared" si="9"/>
        <v>3354.9269174038109</v>
      </c>
      <c r="W30" s="16">
        <f t="shared" si="22"/>
        <v>3354.9269174038109</v>
      </c>
      <c r="X30" s="47">
        <f t="shared" si="10"/>
        <v>1527411.4537589867</v>
      </c>
      <c r="Y30" s="47">
        <f t="shared" si="23"/>
        <v>3934803.1419442967</v>
      </c>
      <c r="Z30" s="47">
        <f t="shared" si="11"/>
        <v>1527411.0696482451</v>
      </c>
      <c r="AA30" s="47">
        <f t="shared" si="12"/>
        <v>3934803.8055066965</v>
      </c>
      <c r="AB30" s="47">
        <f t="shared" si="27"/>
        <v>0.76671775785073304</v>
      </c>
      <c r="AC30" s="47">
        <f ca="1">IF(ISNUMBER(Z30),SQRT(($Z30-OFFSET($Z$20,MATCH(CS_Start,$A$21:$A$42,0),0))^2+($AA30-OFFSET($AA$20,MATCH(CS_Start,$A$21:$A$42,0),0))^2),"")</f>
        <v>66.089999496246051</v>
      </c>
      <c r="AD30" s="47">
        <f t="shared" si="28"/>
        <v>1.0763781234722956</v>
      </c>
      <c r="AE30" s="47">
        <f t="shared" ca="1" si="29"/>
        <v>66.09</v>
      </c>
      <c r="AF30" s="47">
        <f t="shared" si="25"/>
        <v>1.08</v>
      </c>
      <c r="AH30" s="44">
        <v>66.09</v>
      </c>
      <c r="AI30" s="44">
        <f ca="1">OFFSET($AF$22,MATCH(AH30,$AE$23:$AE$50,0),0)</f>
        <v>1.08</v>
      </c>
      <c r="AJ30" s="2" t="str">
        <f t="shared" ca="1" si="26"/>
        <v>66.09,1.08</v>
      </c>
    </row>
    <row r="31" spans="1:36" x14ac:dyDescent="0.25">
      <c r="A31" s="44">
        <v>11</v>
      </c>
      <c r="B31" s="48">
        <v>8.5783912037037044</v>
      </c>
      <c r="C31" s="48">
        <v>3.9450231481481484</v>
      </c>
      <c r="D31" s="44">
        <v>87.147000000000006</v>
      </c>
      <c r="E31" s="44">
        <v>4.9062000000000001</v>
      </c>
      <c r="F31" s="44"/>
      <c r="G31" s="43">
        <f t="shared" si="14"/>
        <v>94.680555555555557</v>
      </c>
      <c r="H31" s="43">
        <f t="shared" si="15"/>
        <v>1.6524874320618534</v>
      </c>
      <c r="I31" s="43">
        <f t="shared" si="3"/>
        <v>205.88138888888892</v>
      </c>
      <c r="J31" s="39">
        <f t="shared" si="16"/>
        <v>3.5933081046899815</v>
      </c>
      <c r="K31" s="39">
        <f t="shared" si="17"/>
        <v>86.85637668213738</v>
      </c>
      <c r="L31" s="15">
        <f t="shared" si="18"/>
        <v>-7.1112192098586471</v>
      </c>
      <c r="M31" s="13"/>
      <c r="N31" s="16">
        <f t="shared" si="4"/>
        <v>205.88138888888892</v>
      </c>
      <c r="O31" s="16">
        <f t="shared" si="19"/>
        <v>0</v>
      </c>
      <c r="P31" s="16">
        <f t="shared" si="20"/>
        <v>205.88138888888892</v>
      </c>
      <c r="Q31" s="16">
        <f t="shared" si="21"/>
        <v>3.5933081046899815</v>
      </c>
      <c r="R31" s="16">
        <f t="shared" si="5"/>
        <v>-37.913639317982906</v>
      </c>
      <c r="S31" s="16">
        <f t="shared" si="6"/>
        <v>-78.144648722834745</v>
      </c>
      <c r="T31" s="13">
        <f t="shared" si="7"/>
        <v>1527406.819360682</v>
      </c>
      <c r="U31" s="13">
        <f t="shared" si="8"/>
        <v>3934799.2683512773</v>
      </c>
      <c r="V31" s="16">
        <f t="shared" si="9"/>
        <v>3355.9741807901419</v>
      </c>
      <c r="W31" s="16">
        <f t="shared" si="22"/>
        <v>3355.9741807901419</v>
      </c>
      <c r="X31" s="47">
        <f t="shared" si="10"/>
        <v>1527406.819360682</v>
      </c>
      <c r="Y31" s="47">
        <f t="shared" si="23"/>
        <v>3934799.2683512773</v>
      </c>
      <c r="Z31" s="47">
        <f t="shared" si="11"/>
        <v>1527405.9188941</v>
      </c>
      <c r="AA31" s="47">
        <f t="shared" si="12"/>
        <v>3934800.8239333043</v>
      </c>
      <c r="AB31" s="47">
        <f t="shared" si="27"/>
        <v>1.7974079970732009</v>
      </c>
      <c r="AC31" s="47">
        <f ca="1">IF(ISNUMBER(Z31),SQRT(($Z31-OFFSET($Z$20,MATCH(CS_Start,$A$21:$A$42,0),0))^2+($AA31-OFFSET($AA$20,MATCH(CS_Start,$A$21:$A$42,0),0))^2),"")</f>
        <v>72.041473948540286</v>
      </c>
      <c r="AD31" s="47">
        <f t="shared" si="28"/>
        <v>2.1236415098032921</v>
      </c>
      <c r="AE31" s="47">
        <f t="shared" ca="1" si="29"/>
        <v>72.040000000000006</v>
      </c>
      <c r="AF31" s="47">
        <f t="shared" si="25"/>
        <v>2.12</v>
      </c>
      <c r="AH31" s="44">
        <v>72.040000000000006</v>
      </c>
      <c r="AI31" s="44">
        <f ca="1">OFFSET($AF$22,MATCH(AH31,$AE$23:$AE$50,0),0)</f>
        <v>2.12</v>
      </c>
      <c r="AJ31" s="2" t="str">
        <f t="shared" ca="1" si="26"/>
        <v>72.04,2.12</v>
      </c>
    </row>
    <row r="32" spans="1:36" x14ac:dyDescent="0.25">
      <c r="A32" s="44">
        <v>12</v>
      </c>
      <c r="B32" s="48">
        <v>8.8448611111111113</v>
      </c>
      <c r="C32" s="48">
        <v>3.9104976851851849</v>
      </c>
      <c r="D32" s="44">
        <v>97.938000000000002</v>
      </c>
      <c r="E32" s="44">
        <v>4.9062000000000001</v>
      </c>
      <c r="F32" s="44"/>
      <c r="G32" s="43">
        <f t="shared" si="14"/>
        <v>93.851944444444442</v>
      </c>
      <c r="H32" s="43">
        <f t="shared" si="15"/>
        <v>1.6380254399543559</v>
      </c>
      <c r="I32" s="43">
        <f t="shared" si="3"/>
        <v>212.27666666666667</v>
      </c>
      <c r="J32" s="39">
        <f t="shared" si="16"/>
        <v>3.7049267584918297</v>
      </c>
      <c r="K32" s="39">
        <f t="shared" si="17"/>
        <v>97.716755532918398</v>
      </c>
      <c r="L32" s="15">
        <f t="shared" si="18"/>
        <v>-6.5793261144179835</v>
      </c>
      <c r="M32" s="13"/>
      <c r="N32" s="16">
        <f t="shared" si="4"/>
        <v>212.27666666666667</v>
      </c>
      <c r="O32" s="16">
        <f t="shared" si="19"/>
        <v>0</v>
      </c>
      <c r="P32" s="16">
        <f t="shared" si="20"/>
        <v>212.27666666666667</v>
      </c>
      <c r="Q32" s="16">
        <f t="shared" si="21"/>
        <v>3.7049267584918297</v>
      </c>
      <c r="R32" s="16">
        <f t="shared" si="5"/>
        <v>-52.181536782013694</v>
      </c>
      <c r="S32" s="16">
        <f t="shared" si="6"/>
        <v>-82.617501359866182</v>
      </c>
      <c r="T32" s="13">
        <f t="shared" si="7"/>
        <v>1527392.5514632179</v>
      </c>
      <c r="U32" s="13">
        <f t="shared" si="8"/>
        <v>3934794.7954986403</v>
      </c>
      <c r="V32" s="16">
        <f t="shared" si="9"/>
        <v>3356.5060738855823</v>
      </c>
      <c r="W32" s="16">
        <f t="shared" si="22"/>
        <v>3356.5060738855823</v>
      </c>
      <c r="X32" s="47">
        <f t="shared" si="10"/>
        <v>1527392.5514632179</v>
      </c>
      <c r="Y32" s="47">
        <f t="shared" si="23"/>
        <v>3934794.7954986403</v>
      </c>
      <c r="Z32" s="47">
        <f t="shared" si="11"/>
        <v>1527393.2926459506</v>
      </c>
      <c r="AA32" s="47">
        <f t="shared" si="12"/>
        <v>3934793.5150840636</v>
      </c>
      <c r="AB32" s="47">
        <f t="shared" si="27"/>
        <v>1.479463866143661</v>
      </c>
      <c r="AC32" s="47">
        <f ca="1">IF(ISNUMBER(Z32),SQRT(($Z32-OFFSET($Z$20,MATCH(CS_Start,$A$21:$A$42,0),0))^2+($AA32-OFFSET($AA$20,MATCH(CS_Start,$A$21:$A$42,0),0))^2),"")</f>
        <v>86.630559579712838</v>
      </c>
      <c r="AD32" s="47">
        <f t="shared" si="28"/>
        <v>2.6555346052437017</v>
      </c>
      <c r="AE32" s="47">
        <f t="shared" ca="1" si="29"/>
        <v>86.63</v>
      </c>
      <c r="AF32" s="47">
        <f t="shared" si="25"/>
        <v>2.66</v>
      </c>
      <c r="AH32" s="44">
        <v>86.63</v>
      </c>
      <c r="AI32" s="44">
        <f ca="1">OFFSET($AF$22,MATCH(AH32,$AE$23:$AE$50,0),0)</f>
        <v>2.66</v>
      </c>
      <c r="AJ32" s="44" t="str">
        <f t="shared" ca="1" si="26"/>
        <v>86.63,2.66</v>
      </c>
    </row>
    <row r="33" spans="1:36" x14ac:dyDescent="0.25">
      <c r="A33" s="44">
        <v>13</v>
      </c>
      <c r="B33" s="48">
        <v>8.8763541666666672</v>
      </c>
      <c r="C33" s="48">
        <v>3.8976388888888889</v>
      </c>
      <c r="D33" s="44">
        <v>100.38200000000001</v>
      </c>
      <c r="E33" s="44">
        <v>4.9062000000000001</v>
      </c>
      <c r="F33" s="44"/>
      <c r="G33" s="43">
        <f t="shared" si="14"/>
        <v>93.543333333333337</v>
      </c>
      <c r="H33" s="43">
        <f t="shared" si="15"/>
        <v>1.632639159957229</v>
      </c>
      <c r="I33" s="43">
        <f t="shared" si="3"/>
        <v>213.03250000000003</v>
      </c>
      <c r="J33" s="39">
        <f t="shared" si="16"/>
        <v>3.7181185387548208</v>
      </c>
      <c r="K33" s="39">
        <f t="shared" si="17"/>
        <v>100.1901038841085</v>
      </c>
      <c r="L33" s="15">
        <f t="shared" si="18"/>
        <v>-6.2039509743025318</v>
      </c>
      <c r="M33" s="13"/>
      <c r="N33" s="16">
        <f t="shared" si="4"/>
        <v>213.03250000000003</v>
      </c>
      <c r="O33" s="16">
        <f t="shared" si="19"/>
        <v>0</v>
      </c>
      <c r="P33" s="16">
        <f t="shared" si="20"/>
        <v>213.03250000000003</v>
      </c>
      <c r="Q33" s="16">
        <f t="shared" si="21"/>
        <v>3.7181185387548208</v>
      </c>
      <c r="R33" s="16">
        <f t="shared" si="5"/>
        <v>-54.615095231652759</v>
      </c>
      <c r="S33" s="16">
        <f t="shared" si="6"/>
        <v>-83.995525411452434</v>
      </c>
      <c r="T33" s="13">
        <f t="shared" si="7"/>
        <v>1527390.1179047683</v>
      </c>
      <c r="U33" s="13">
        <f t="shared" si="8"/>
        <v>3934793.4174745888</v>
      </c>
      <c r="V33" s="16">
        <f t="shared" si="9"/>
        <v>3356.8814490256977</v>
      </c>
      <c r="W33" s="16">
        <f t="shared" si="22"/>
        <v>3356.8814490256977</v>
      </c>
      <c r="X33" s="47">
        <f t="shared" si="10"/>
        <v>1527390.1179047683</v>
      </c>
      <c r="Y33" s="47">
        <f t="shared" si="23"/>
        <v>3934793.4174745888</v>
      </c>
      <c r="Z33" s="47">
        <f t="shared" si="11"/>
        <v>1527390.8723850329</v>
      </c>
      <c r="AA33" s="47">
        <f t="shared" si="12"/>
        <v>3934792.1140881414</v>
      </c>
      <c r="AB33" s="47">
        <f t="shared" si="27"/>
        <v>1.5060068728870035</v>
      </c>
      <c r="AC33" s="47">
        <f ca="1">IF(ISNUMBER(Z33),SQRT(($Z33-OFFSET($Z$20,MATCH(CS_Start,$A$21:$A$42,0),0))^2+($AA33-OFFSET($AA$20,MATCH(CS_Start,$A$21:$A$42,0),0))^2),"")</f>
        <v>89.427066773272202</v>
      </c>
      <c r="AD33" s="47">
        <f t="shared" si="28"/>
        <v>3.0309097453591676</v>
      </c>
      <c r="AE33" s="47">
        <f t="shared" ca="1" si="29"/>
        <v>89.43</v>
      </c>
      <c r="AF33" s="47">
        <f t="shared" si="25"/>
        <v>3.03</v>
      </c>
      <c r="AH33" s="44">
        <v>89.43</v>
      </c>
      <c r="AI33" s="44">
        <f ca="1">OFFSET($AF$22,MATCH(AH33,$AE$23:$AE$50,0),0)</f>
        <v>3.03</v>
      </c>
      <c r="AJ33" s="44" t="str">
        <f t="shared" ca="1" si="26"/>
        <v>89.43,3.03</v>
      </c>
    </row>
    <row r="34" spans="1:36" x14ac:dyDescent="0.25">
      <c r="A34" s="44">
        <v>14</v>
      </c>
      <c r="B34" s="48">
        <v>9.361122685185185</v>
      </c>
      <c r="C34" s="48">
        <v>3.8082407407407408</v>
      </c>
      <c r="D34" s="44">
        <v>188.285</v>
      </c>
      <c r="E34" s="44">
        <v>4.9062000000000001</v>
      </c>
      <c r="F34" s="44"/>
      <c r="G34" s="43">
        <f t="shared" ref="G34:G35" si="30">C34*24</f>
        <v>91.397777777777776</v>
      </c>
      <c r="H34" s="43">
        <f t="shared" ref="H34:H35" si="31">RADIANS(G34)</f>
        <v>1.5951921512283285</v>
      </c>
      <c r="I34" s="43">
        <f t="shared" ref="I34:I35" si="32">B34*24</f>
        <v>224.66694444444443</v>
      </c>
      <c r="J34" s="49">
        <f t="shared" ref="J34:J35" si="33">RADIANS(I34)</f>
        <v>3.9211779009507377</v>
      </c>
      <c r="K34" s="49">
        <f t="shared" ref="K34:K35" si="34">D34*SIN(H34)</f>
        <v>188.2289732815581</v>
      </c>
      <c r="L34" s="46">
        <f t="shared" ref="L34:L35" si="35">D34*COS(H34)</f>
        <v>-4.5929121884144015</v>
      </c>
      <c r="M34" s="45"/>
      <c r="N34" s="47">
        <f t="shared" ref="N34:N35" si="36">I34+M34</f>
        <v>224.66694444444443</v>
      </c>
      <c r="O34" s="47">
        <f t="shared" si="19"/>
        <v>0</v>
      </c>
      <c r="P34" s="47">
        <f t="shared" ref="P34:P35" si="37">SUM(N34,O34)</f>
        <v>224.66694444444443</v>
      </c>
      <c r="Q34" s="47">
        <f t="shared" ref="Q34:Q35" si="38">RADIANS(P34)</f>
        <v>3.9211779009507377</v>
      </c>
      <c r="R34" s="47">
        <f t="shared" ref="R34:R35" si="39">K34*SIN(Q34)</f>
        <v>-132.32205169442358</v>
      </c>
      <c r="S34" s="47">
        <f t="shared" ref="S34:S35" si="40">K34*COS(Q34)</f>
        <v>-133.86941778467479</v>
      </c>
      <c r="T34" s="45">
        <f t="shared" ref="T34:T35" si="41">Old_X0+R34</f>
        <v>1527312.4109483056</v>
      </c>
      <c r="U34" s="45">
        <f t="shared" ref="U34:U35" si="42">Old_Y0+S34</f>
        <v>3934743.5435822154</v>
      </c>
      <c r="V34" s="47">
        <f t="shared" ref="V34:V35" si="43">Old_Z0+HI+L34-E34</f>
        <v>3358.4924878115862</v>
      </c>
      <c r="W34" s="47">
        <f t="shared" ref="W34:W35" si="44">IF(ISNUMBER(T34),V34+dZ,"")</f>
        <v>3358.4924878115862</v>
      </c>
      <c r="X34" s="47">
        <f t="shared" si="10"/>
        <v>1527312.4109483056</v>
      </c>
      <c r="Y34" s="47">
        <f t="shared" si="23"/>
        <v>3934743.5435822154</v>
      </c>
      <c r="Z34" s="47">
        <f t="shared" si="11"/>
        <v>1527311.0442243044</v>
      </c>
      <c r="AA34" s="47">
        <f t="shared" si="12"/>
        <v>3934745.9046373996</v>
      </c>
      <c r="AB34" s="47">
        <f t="shared" ref="AB34:AB35" si="45">IF(ISNUMBER(X34),SQRT((X34-Z34)^2+(Y34-AA34)^2),"")</f>
        <v>2.7280975199219211</v>
      </c>
      <c r="AC34" s="47">
        <f ca="1">IF(ISNUMBER(Z34),SQRT(($Z34-OFFSET($Z$20,MATCH(CS_Start,$A$21:$A$42,0),0))^2+($AA34-OFFSET($AA$20,MATCH(CS_Start,$A$21:$A$42,0),0))^2),"")</f>
        <v>181.66506644347569</v>
      </c>
      <c r="AD34" s="47">
        <f t="shared" ref="AD34:AD35" si="46">IF(ISNUMBER(X34),W34-Min_Z,"")</f>
        <v>4.6419485312476354</v>
      </c>
      <c r="AE34" s="47">
        <f t="shared" ca="1" si="29"/>
        <v>181.67</v>
      </c>
      <c r="AF34" s="47">
        <f t="shared" si="25"/>
        <v>4.6399999999999997</v>
      </c>
      <c r="AH34" s="44">
        <v>181.67</v>
      </c>
      <c r="AI34" s="44">
        <f ca="1">OFFSET($AF$22,MATCH(AH34,$AE$23:$AE$50,0),0)</f>
        <v>4.6399999999999997</v>
      </c>
      <c r="AJ34" s="44" t="str">
        <f t="shared" ca="1" si="26"/>
        <v>181.67,4.64</v>
      </c>
    </row>
    <row r="35" spans="1:36" x14ac:dyDescent="0.25">
      <c r="A35" s="44">
        <v>15</v>
      </c>
      <c r="B35" s="48">
        <v>9.5026041666666661</v>
      </c>
      <c r="C35" s="48">
        <v>3.7345486111111108</v>
      </c>
      <c r="D35" s="44">
        <v>216.33500000000001</v>
      </c>
      <c r="E35" s="44">
        <v>8.7395999999999994</v>
      </c>
      <c r="F35" s="44"/>
      <c r="G35" s="43">
        <f t="shared" si="30"/>
        <v>89.629166666666663</v>
      </c>
      <c r="H35" s="43">
        <f t="shared" si="31"/>
        <v>1.5643240641520841</v>
      </c>
      <c r="I35" s="43">
        <f t="shared" si="32"/>
        <v>228.0625</v>
      </c>
      <c r="J35" s="49">
        <f t="shared" si="33"/>
        <v>3.9804415253295677</v>
      </c>
      <c r="K35" s="49">
        <f t="shared" si="34"/>
        <v>216.33046885937031</v>
      </c>
      <c r="L35" s="46">
        <f t="shared" si="35"/>
        <v>1.4001671632417794</v>
      </c>
      <c r="M35" s="45"/>
      <c r="N35" s="47">
        <f t="shared" si="36"/>
        <v>228.0625</v>
      </c>
      <c r="O35" s="47">
        <f t="shared" si="19"/>
        <v>0</v>
      </c>
      <c r="P35" s="47">
        <f t="shared" si="37"/>
        <v>228.0625</v>
      </c>
      <c r="Q35" s="47">
        <f t="shared" si="38"/>
        <v>3.9804415253295677</v>
      </c>
      <c r="R35" s="47">
        <f t="shared" si="39"/>
        <v>-160.92267424337084</v>
      </c>
      <c r="S35" s="47">
        <f t="shared" si="40"/>
        <v>-144.57788444736954</v>
      </c>
      <c r="T35" s="45">
        <f t="shared" si="41"/>
        <v>1527283.8103257567</v>
      </c>
      <c r="U35" s="45">
        <f t="shared" si="42"/>
        <v>3934732.8351155529</v>
      </c>
      <c r="V35" s="47">
        <f t="shared" si="43"/>
        <v>3360.6521671632422</v>
      </c>
      <c r="W35" s="47">
        <f t="shared" si="44"/>
        <v>3360.6521671632422</v>
      </c>
      <c r="X35" s="47">
        <f t="shared" si="10"/>
        <v>1527283.8103257567</v>
      </c>
      <c r="Y35" s="47">
        <f t="shared" si="23"/>
        <v>3934732.8351155529</v>
      </c>
      <c r="Z35" s="47">
        <f t="shared" si="11"/>
        <v>1527284.9788764729</v>
      </c>
      <c r="AA35" s="47">
        <f t="shared" si="12"/>
        <v>3934730.8164104419</v>
      </c>
      <c r="AB35" s="47">
        <f t="shared" si="45"/>
        <v>2.3325267633207529</v>
      </c>
      <c r="AC35" s="47">
        <f ca="1">IF(ISNUMBER(Z35),SQRT(($Z35-OFFSET($Z$20,MATCH(CS_Start,$A$21:$A$42,0),0))^2+($AA35-OFFSET($AA$20,MATCH(CS_Start,$A$21:$A$42,0),0))^2),"")</f>
        <v>211.78245262326581</v>
      </c>
      <c r="AD35" s="47">
        <f t="shared" si="46"/>
        <v>6.801627882903631</v>
      </c>
      <c r="AE35" s="47">
        <f t="shared" ca="1" si="29"/>
        <v>211.78</v>
      </c>
      <c r="AF35" s="47">
        <f t="shared" si="25"/>
        <v>6.8</v>
      </c>
      <c r="AH35" s="44">
        <v>211.78</v>
      </c>
      <c r="AI35" s="44">
        <f ca="1">OFFSET($AF$22,MATCH(AH35,$AE$23:$AE$50,0),0)</f>
        <v>6.8</v>
      </c>
      <c r="AJ35" s="44" t="str">
        <f t="shared" ca="1" si="26"/>
        <v>211.78,6.8</v>
      </c>
    </row>
    <row r="36" spans="1:36" x14ac:dyDescent="0.25">
      <c r="A36" s="44">
        <v>16</v>
      </c>
      <c r="B36" s="48">
        <v>6.141967592592593</v>
      </c>
      <c r="C36" s="48">
        <v>3.6543634259259257</v>
      </c>
      <c r="D36" s="44">
        <v>101.459</v>
      </c>
      <c r="E36" s="44">
        <v>8.7395999999999994</v>
      </c>
      <c r="F36" s="49" t="s">
        <v>70</v>
      </c>
      <c r="G36" s="43">
        <f t="shared" ref="G36:G37" si="47">C36*24</f>
        <v>87.704722222222216</v>
      </c>
      <c r="H36" s="43">
        <f t="shared" ref="H36:H37" si="48">RADIANS(G36)</f>
        <v>1.5307361723248156</v>
      </c>
      <c r="I36" s="43">
        <f t="shared" ref="I36:I37" si="49">B36*24</f>
        <v>147.40722222222223</v>
      </c>
      <c r="J36" s="49">
        <f t="shared" ref="J36:J37" si="50">RADIANS(I36)</f>
        <v>2.5727413689967302</v>
      </c>
      <c r="K36" s="49">
        <f t="shared" ref="K36:K37" si="51">D36*SIN(H36)</f>
        <v>101.37759937489592</v>
      </c>
      <c r="L36" s="46">
        <f t="shared" ref="L36:L37" si="52">D36*COS(H36)</f>
        <v>4.0633761803583033</v>
      </c>
      <c r="M36" s="45"/>
      <c r="N36" s="47">
        <f t="shared" ref="N36:N37" si="53">I36+M36</f>
        <v>147.40722222222223</v>
      </c>
      <c r="O36" s="47">
        <f t="shared" si="19"/>
        <v>0</v>
      </c>
      <c r="P36" s="47">
        <f t="shared" ref="P36:P37" si="54">SUM(N36,O36)</f>
        <v>147.40722222222223</v>
      </c>
      <c r="Q36" s="47">
        <f t="shared" ref="Q36:Q37" si="55">RADIANS(P36)</f>
        <v>2.5727413689967302</v>
      </c>
      <c r="R36" s="47">
        <f t="shared" ref="R36:R37" si="56">K36*SIN(Q36)</f>
        <v>54.608522829154062</v>
      </c>
      <c r="S36" s="47">
        <f t="shared" ref="S36:S37" si="57">K36*COS(Q36)</f>
        <v>-85.412685764086916</v>
      </c>
      <c r="T36" s="45">
        <f t="shared" ref="T36:T37" si="58">Old_X0+R36</f>
        <v>1527499.3415228291</v>
      </c>
      <c r="U36" s="45">
        <f t="shared" ref="U36:U37" si="59">Old_Y0+S36</f>
        <v>3934792.0003142362</v>
      </c>
      <c r="V36" s="47">
        <f t="shared" ref="V36:V37" si="60">Old_Z0+HI+L36-E36</f>
        <v>3363.3153761803587</v>
      </c>
      <c r="W36" s="47">
        <f t="shared" ref="W36:W37" si="61">IF(ISNUMBER(T36),V36+dZ,"")</f>
        <v>3363.3153761803587</v>
      </c>
      <c r="X36" s="47" t="str">
        <f t="shared" si="10"/>
        <v/>
      </c>
      <c r="Y36" s="47" t="str">
        <f t="shared" ref="Y36:Y37" si="62">IF(ISNUMBER(X36),U36,"")</f>
        <v/>
      </c>
      <c r="Z36" s="47" t="e">
        <f t="shared" si="11"/>
        <v>#N/A</v>
      </c>
      <c r="AA36" s="47" t="e">
        <f t="shared" si="12"/>
        <v>#N/A</v>
      </c>
      <c r="AB36" s="47" t="str">
        <f t="shared" ref="AB36:AB37" si="63">IF(ISNUMBER(X36),SQRT((X36-Z36)^2+(Y36-AA36)^2),"")</f>
        <v/>
      </c>
      <c r="AC36" s="47" t="str">
        <f ca="1">IF(ISNUMBER(Z36),SQRT(($Z36-OFFSET($Z$20,MATCH(CS_Start,$A$21:$A$42,0),0))^2+($AA36-OFFSET($AA$20,MATCH(CS_Start,$A$21:$A$42,0),0))^2),"")</f>
        <v/>
      </c>
      <c r="AD36" s="47" t="str">
        <f t="shared" ref="AD36:AD37" si="64">IF(ISNUMBER(X36),W36-Min_Z,"")</f>
        <v/>
      </c>
      <c r="AE36" s="47" t="e">
        <f t="shared" ca="1" si="29"/>
        <v>#VALUE!</v>
      </c>
      <c r="AF36" s="47" t="e">
        <f t="shared" si="25"/>
        <v>#VALUE!</v>
      </c>
      <c r="AH36" s="44"/>
      <c r="AI36" s="44">
        <f ca="1">OFFSET($AF$22,MATCH(AH36,$AE$23:$AE$50,0),0)</f>
        <v>8.9600000000000009</v>
      </c>
      <c r="AJ36" s="44" t="str">
        <f t="shared" ca="1" si="26"/>
        <v>,8.96</v>
      </c>
    </row>
    <row r="37" spans="1:36" x14ac:dyDescent="0.25">
      <c r="A37" s="44">
        <v>17</v>
      </c>
      <c r="B37" s="48">
        <v>6.9444444444444444E-5</v>
      </c>
      <c r="C37" s="48">
        <v>3.6513078703703705</v>
      </c>
      <c r="D37" s="44">
        <v>88.891999999999996</v>
      </c>
      <c r="E37" s="44">
        <v>8.7395999999999994</v>
      </c>
      <c r="F37" s="49" t="s">
        <v>69</v>
      </c>
      <c r="G37" s="43">
        <f t="shared" si="47"/>
        <v>87.631388888888893</v>
      </c>
      <c r="H37" s="43">
        <f t="shared" si="48"/>
        <v>1.5294562642066865</v>
      </c>
      <c r="I37" s="43">
        <f t="shared" si="49"/>
        <v>1.6666666666666666E-3</v>
      </c>
      <c r="J37" s="49">
        <f t="shared" si="50"/>
        <v>2.9088820866572157E-5</v>
      </c>
      <c r="K37" s="49">
        <f t="shared" si="51"/>
        <v>88.816052568672589</v>
      </c>
      <c r="L37" s="46">
        <f t="shared" si="52"/>
        <v>3.6737542267804741</v>
      </c>
      <c r="M37" s="45"/>
      <c r="N37" s="47">
        <f t="shared" si="53"/>
        <v>1.6666666666666666E-3</v>
      </c>
      <c r="O37" s="47">
        <f t="shared" si="19"/>
        <v>0</v>
      </c>
      <c r="P37" s="47">
        <f t="shared" si="54"/>
        <v>1.6666666666666666E-3</v>
      </c>
      <c r="Q37" s="47">
        <f t="shared" si="55"/>
        <v>2.9088820866572157E-5</v>
      </c>
      <c r="R37" s="47">
        <f t="shared" si="56"/>
        <v>2.5835542428818232E-3</v>
      </c>
      <c r="S37" s="47">
        <f t="shared" si="57"/>
        <v>88.816052531096318</v>
      </c>
      <c r="T37" s="45">
        <f t="shared" si="58"/>
        <v>1527444.7355835543</v>
      </c>
      <c r="U37" s="45">
        <f t="shared" si="59"/>
        <v>3934966.2290525311</v>
      </c>
      <c r="V37" s="47">
        <f t="shared" si="60"/>
        <v>3362.925754226781</v>
      </c>
      <c r="W37" s="47">
        <f t="shared" si="61"/>
        <v>3362.925754226781</v>
      </c>
      <c r="X37" s="47" t="str">
        <f t="shared" si="10"/>
        <v/>
      </c>
      <c r="Y37" s="47" t="str">
        <f t="shared" si="62"/>
        <v/>
      </c>
      <c r="Z37" s="47" t="e">
        <f t="shared" si="11"/>
        <v>#N/A</v>
      </c>
      <c r="AA37" s="47" t="e">
        <f t="shared" si="12"/>
        <v>#N/A</v>
      </c>
      <c r="AB37" s="47" t="str">
        <f t="shared" si="63"/>
        <v/>
      </c>
      <c r="AC37" s="47" t="str">
        <f ca="1">IF(ISNUMBER(Z37),SQRT(($Z37-OFFSET($Z$20,MATCH(CS_Start,$A$21:$A$42,0),0))^2+($AA37-OFFSET($AA$20,MATCH(CS_Start,$A$21:$A$42,0),0))^2),"")</f>
        <v/>
      </c>
      <c r="AD37" s="47" t="str">
        <f t="shared" si="64"/>
        <v/>
      </c>
      <c r="AE37" s="47" t="e">
        <f t="shared" ca="1" si="29"/>
        <v>#VALUE!</v>
      </c>
      <c r="AF37" s="47" t="e">
        <f t="shared" si="25"/>
        <v>#VALUE!</v>
      </c>
      <c r="AH37" s="44"/>
      <c r="AI37" s="44">
        <f ca="1">OFFSET($AF$22,MATCH(AH37,$AE$23:$AE$50,0),0)</f>
        <v>8.9600000000000009</v>
      </c>
      <c r="AJ37" s="44" t="str">
        <f t="shared" ca="1" si="26"/>
        <v>,8.96</v>
      </c>
    </row>
    <row r="38" spans="1:36" x14ac:dyDescent="0.25">
      <c r="A38" s="44"/>
      <c r="B38" s="48"/>
      <c r="C38" s="48"/>
      <c r="D38" s="44"/>
      <c r="E38" s="44"/>
      <c r="F38" s="44"/>
      <c r="G38" s="43"/>
      <c r="H38" s="43"/>
      <c r="I38" s="43"/>
      <c r="J38" s="49"/>
      <c r="K38" s="49"/>
      <c r="L38" s="46"/>
      <c r="M38" s="45"/>
      <c r="N38" s="47"/>
      <c r="O38" s="47"/>
      <c r="P38" s="47"/>
      <c r="Q38" s="47"/>
      <c r="R38" s="47"/>
      <c r="S38" s="47"/>
      <c r="T38" s="45"/>
      <c r="U38" s="45"/>
      <c r="V38" s="47"/>
      <c r="W38" s="47"/>
      <c r="X38" s="47"/>
      <c r="Y38" s="47"/>
      <c r="Z38" s="47"/>
      <c r="AA38" s="47"/>
      <c r="AB38" s="47"/>
      <c r="AC38" s="47"/>
      <c r="AD38" s="47"/>
      <c r="AE38" s="44"/>
      <c r="AF38" s="44"/>
    </row>
    <row r="39" spans="1:36" x14ac:dyDescent="0.25">
      <c r="A39" s="44"/>
      <c r="B39" s="48"/>
      <c r="C39" s="48"/>
      <c r="D39" s="44"/>
      <c r="E39" s="44"/>
      <c r="F39" s="44"/>
      <c r="G39" s="43"/>
      <c r="H39" s="43"/>
      <c r="I39" s="43"/>
      <c r="J39" s="49"/>
      <c r="K39" s="49"/>
      <c r="L39" s="46"/>
      <c r="M39" s="45"/>
      <c r="N39" s="47"/>
      <c r="O39" s="47"/>
      <c r="P39" s="47"/>
      <c r="Q39" s="47"/>
      <c r="R39" s="47"/>
      <c r="S39" s="47"/>
      <c r="T39" s="45"/>
      <c r="U39" s="45"/>
      <c r="V39" s="47"/>
      <c r="W39" s="47"/>
      <c r="X39" s="47"/>
      <c r="Y39" s="47"/>
      <c r="Z39" s="47"/>
      <c r="AA39" s="47"/>
      <c r="AB39" s="47"/>
      <c r="AC39" s="47"/>
      <c r="AD39" s="47"/>
      <c r="AE39" s="44"/>
      <c r="AF39" s="44"/>
    </row>
    <row r="40" spans="1:36" x14ac:dyDescent="0.25">
      <c r="A40" s="44"/>
      <c r="B40" s="48"/>
      <c r="C40" s="48"/>
      <c r="D40" s="44"/>
      <c r="E40" s="44"/>
      <c r="F40" s="44"/>
      <c r="G40" s="43"/>
      <c r="H40" s="43"/>
      <c r="I40" s="43"/>
      <c r="J40" s="49"/>
      <c r="K40" s="49"/>
      <c r="L40" s="46"/>
      <c r="M40" s="45"/>
      <c r="N40" s="47"/>
      <c r="O40" s="47"/>
      <c r="P40" s="47"/>
      <c r="Q40" s="47"/>
      <c r="R40" s="47"/>
      <c r="S40" s="47"/>
      <c r="T40" s="45"/>
      <c r="U40" s="45"/>
      <c r="V40" s="47"/>
      <c r="W40" s="47"/>
      <c r="X40" s="47"/>
      <c r="Y40" s="47"/>
      <c r="Z40" s="47"/>
      <c r="AA40" s="47"/>
      <c r="AB40" s="47"/>
      <c r="AC40" s="47"/>
      <c r="AD40" s="47"/>
      <c r="AE40" s="44"/>
      <c r="AF40" s="44"/>
    </row>
    <row r="41" spans="1:36" x14ac:dyDescent="0.25">
      <c r="A41" s="44"/>
      <c r="B41" s="48"/>
      <c r="C41" s="48"/>
      <c r="D41" s="44"/>
      <c r="E41" s="44"/>
      <c r="F41" s="44"/>
      <c r="G41" s="43"/>
      <c r="H41" s="43"/>
      <c r="I41" s="43"/>
      <c r="J41" s="49"/>
      <c r="K41" s="49"/>
      <c r="L41" s="46"/>
      <c r="M41" s="45"/>
      <c r="N41" s="47"/>
      <c r="O41" s="47"/>
      <c r="P41" s="47"/>
      <c r="Q41" s="47"/>
      <c r="R41" s="47"/>
      <c r="S41" s="47"/>
      <c r="T41" s="45"/>
      <c r="U41" s="45"/>
      <c r="V41" s="47"/>
      <c r="W41" s="47"/>
      <c r="X41" s="47"/>
      <c r="Y41" s="47"/>
      <c r="Z41" s="47"/>
      <c r="AA41" s="47"/>
      <c r="AB41" s="47"/>
      <c r="AC41" s="47"/>
      <c r="AD41" s="47"/>
      <c r="AE41" s="44"/>
      <c r="AF41" s="44"/>
    </row>
    <row r="42" spans="1:36" x14ac:dyDescent="0.25">
      <c r="A42" s="44"/>
      <c r="B42" s="48"/>
      <c r="C42" s="48"/>
      <c r="D42" s="44"/>
      <c r="E42" s="44"/>
      <c r="F42" s="49"/>
      <c r="G42" s="43"/>
      <c r="H42" s="43"/>
      <c r="I42" s="43"/>
      <c r="J42" s="49"/>
      <c r="K42" s="49"/>
      <c r="L42" s="46"/>
      <c r="M42" s="45"/>
      <c r="N42" s="47"/>
      <c r="O42" s="47"/>
      <c r="P42" s="47"/>
      <c r="Q42" s="47"/>
      <c r="R42" s="47"/>
      <c r="S42" s="47"/>
      <c r="T42" s="45"/>
      <c r="U42" s="45"/>
      <c r="V42" s="47"/>
      <c r="W42" s="47"/>
      <c r="X42" s="47"/>
      <c r="Y42" s="47"/>
      <c r="Z42" s="47"/>
      <c r="AA42" s="47"/>
      <c r="AB42" s="47"/>
      <c r="AC42" s="47"/>
      <c r="AD42" s="47"/>
      <c r="AE42" s="44"/>
      <c r="AF42" s="44"/>
    </row>
    <row r="43" spans="1:36" x14ac:dyDescent="0.25">
      <c r="A43" s="44"/>
      <c r="B43" s="48"/>
      <c r="C43" s="48"/>
      <c r="D43" s="44"/>
      <c r="E43" s="44"/>
      <c r="F43" s="44"/>
      <c r="G43" s="43"/>
      <c r="H43" s="43"/>
      <c r="I43" s="43"/>
      <c r="J43" s="49"/>
      <c r="K43" s="49"/>
      <c r="L43" s="46"/>
      <c r="M43" s="45"/>
      <c r="N43" s="47"/>
      <c r="O43" s="47"/>
      <c r="P43" s="47"/>
      <c r="Q43" s="47"/>
      <c r="R43" s="47"/>
      <c r="S43" s="47"/>
      <c r="T43" s="45"/>
      <c r="U43" s="45"/>
      <c r="V43" s="47"/>
      <c r="W43" s="47"/>
      <c r="X43" s="47"/>
      <c r="Y43" s="47"/>
      <c r="Z43" s="47"/>
      <c r="AA43" s="47"/>
      <c r="AB43" s="47"/>
      <c r="AC43" s="47"/>
      <c r="AD43" s="47"/>
      <c r="AE43" s="44"/>
      <c r="AF43" s="44"/>
    </row>
    <row r="44" spans="1:36" x14ac:dyDescent="0.25">
      <c r="A44" s="44"/>
      <c r="B44" s="48"/>
      <c r="C44" s="48"/>
      <c r="D44" s="44"/>
      <c r="E44" s="44"/>
      <c r="F44" s="49"/>
      <c r="G44" s="43"/>
      <c r="H44" s="43"/>
      <c r="I44" s="43"/>
      <c r="J44" s="49"/>
      <c r="K44" s="49"/>
      <c r="L44" s="46"/>
      <c r="M44" s="45"/>
      <c r="N44" s="47"/>
      <c r="O44" s="47"/>
      <c r="P44" s="47"/>
      <c r="Q44" s="47"/>
      <c r="R44" s="47"/>
      <c r="S44" s="47"/>
      <c r="T44" s="45"/>
      <c r="U44" s="45"/>
      <c r="V44" s="47"/>
      <c r="W44" s="47"/>
      <c r="X44" s="47"/>
      <c r="Y44" s="47"/>
      <c r="Z44" s="47"/>
      <c r="AA44" s="47"/>
      <c r="AB44" s="47"/>
      <c r="AC44" s="47"/>
      <c r="AD44" s="47"/>
      <c r="AE44" s="44"/>
      <c r="AF44" s="44"/>
    </row>
    <row r="45" spans="1:36" x14ac:dyDescent="0.25">
      <c r="A45" s="44"/>
      <c r="B45" s="48"/>
      <c r="C45" s="48"/>
      <c r="D45" s="44"/>
      <c r="E45" s="44"/>
      <c r="F45" s="44"/>
      <c r="G45" s="43"/>
      <c r="H45" s="43"/>
      <c r="I45" s="43"/>
      <c r="J45" s="49"/>
      <c r="K45" s="49"/>
      <c r="L45" s="46"/>
      <c r="M45" s="45"/>
      <c r="N45" s="47"/>
      <c r="O45" s="47"/>
      <c r="P45" s="47"/>
      <c r="Q45" s="47"/>
      <c r="R45" s="47"/>
      <c r="S45" s="47"/>
      <c r="T45" s="45"/>
      <c r="U45" s="45"/>
      <c r="V45" s="47"/>
      <c r="W45" s="47"/>
      <c r="X45" s="47"/>
      <c r="Y45" s="47"/>
      <c r="Z45" s="47"/>
      <c r="AA45" s="47"/>
      <c r="AB45" s="47"/>
      <c r="AC45" s="47"/>
      <c r="AD45" s="47"/>
      <c r="AE45" s="44"/>
      <c r="AF45" s="44"/>
    </row>
    <row r="46" spans="1:36" x14ac:dyDescent="0.25">
      <c r="A46" s="44"/>
      <c r="B46" s="48"/>
      <c r="C46" s="48"/>
      <c r="D46" s="44"/>
      <c r="E46" s="44"/>
      <c r="F46" s="44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50"/>
      <c r="D47" s="44"/>
      <c r="E47" s="44"/>
      <c r="F47" s="50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4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4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48"/>
      <c r="D51" s="44"/>
      <c r="E51" s="44"/>
      <c r="F51" s="49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  <c r="AH51" s="44"/>
      <c r="AI51" s="44"/>
      <c r="AJ51" s="44"/>
    </row>
    <row r="52" spans="1:36" x14ac:dyDescent="0.25">
      <c r="A52" s="44"/>
      <c r="B52" s="48"/>
      <c r="C52" s="48"/>
      <c r="D52" s="44"/>
      <c r="E52" s="44"/>
      <c r="F52" s="49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  <c r="AH52" s="44"/>
      <c r="AI52" s="44"/>
      <c r="AJ52" s="44"/>
    </row>
    <row r="53" spans="1:36" x14ac:dyDescent="0.25">
      <c r="A53" s="40"/>
      <c r="C53" s="2"/>
      <c r="D53" s="42"/>
      <c r="E53" s="42"/>
      <c r="F53" s="42"/>
      <c r="G53" s="42"/>
      <c r="H53" s="42"/>
      <c r="I53" s="10"/>
      <c r="J53" s="10"/>
      <c r="K53" s="10"/>
      <c r="L53" s="10"/>
      <c r="M53" s="10"/>
      <c r="V53" s="2"/>
      <c r="W53" s="13"/>
      <c r="X53" s="2"/>
      <c r="Y53" s="2"/>
      <c r="Z53" s="2"/>
      <c r="AH53" s="44"/>
      <c r="AI53" s="44"/>
      <c r="AJ53" s="44"/>
    </row>
    <row r="54" spans="1:36" x14ac:dyDescent="0.25">
      <c r="A54" s="40"/>
      <c r="C54" s="2"/>
      <c r="D54" s="42"/>
      <c r="E54" s="42"/>
      <c r="F54" s="42"/>
      <c r="G54" s="42"/>
      <c r="H54" s="42"/>
      <c r="I54" s="10"/>
      <c r="J54" s="10"/>
      <c r="K54" s="10"/>
      <c r="L54" s="10"/>
      <c r="M54" s="10"/>
      <c r="V54" s="2"/>
      <c r="W54" s="13"/>
      <c r="X54" s="2"/>
      <c r="Y54" s="2"/>
      <c r="Z54" s="2"/>
      <c r="AH54" s="44"/>
      <c r="AI54" s="44"/>
      <c r="AJ54" s="44"/>
    </row>
    <row r="55" spans="1:36" x14ac:dyDescent="0.25">
      <c r="A55" s="40"/>
      <c r="C55" s="2"/>
      <c r="D55" s="42"/>
      <c r="E55" s="42"/>
      <c r="F55" s="42"/>
      <c r="G55" s="42"/>
      <c r="H55" s="42"/>
      <c r="I55" s="10"/>
      <c r="J55" s="10"/>
      <c r="K55" s="10"/>
      <c r="L55" s="10"/>
      <c r="M55" s="10"/>
      <c r="V55" s="2"/>
      <c r="W55" s="13"/>
      <c r="X55" s="2"/>
      <c r="Y55" s="2"/>
      <c r="Z55" s="2"/>
      <c r="AH55" s="44"/>
      <c r="AI55" s="44"/>
      <c r="AJ55" s="44"/>
    </row>
    <row r="56" spans="1:36" x14ac:dyDescent="0.25">
      <c r="A56" s="40"/>
      <c r="C56" s="2"/>
      <c r="D56" s="42"/>
      <c r="E56" s="42"/>
      <c r="F56" s="42"/>
      <c r="G56" s="42"/>
      <c r="H56" s="42"/>
      <c r="I56" s="10"/>
      <c r="J56" s="10"/>
      <c r="K56" s="10"/>
      <c r="L56" s="10"/>
      <c r="M56" s="10"/>
      <c r="V56" s="2"/>
      <c r="W56" s="13"/>
      <c r="X56" s="2"/>
      <c r="Y56" s="2"/>
      <c r="Z56" s="2"/>
      <c r="AH56" s="44"/>
      <c r="AI56" s="44"/>
      <c r="AJ56" s="44"/>
    </row>
    <row r="57" spans="1:36" x14ac:dyDescent="0.25">
      <c r="A57" s="40"/>
      <c r="C57" s="2"/>
      <c r="D57" s="42"/>
      <c r="E57" s="42"/>
      <c r="F57" s="42"/>
      <c r="G57" s="42"/>
      <c r="H57" s="42"/>
      <c r="I57" s="10"/>
      <c r="J57" s="10"/>
      <c r="K57" s="10"/>
      <c r="L57" s="10"/>
      <c r="M57" s="10"/>
      <c r="V57" s="2"/>
      <c r="W57" s="13"/>
      <c r="X57" s="2"/>
      <c r="Y57" s="2"/>
      <c r="Z57" s="2"/>
      <c r="AH57" s="44"/>
      <c r="AI57" s="44"/>
      <c r="AJ57" s="44"/>
    </row>
    <row r="58" spans="1:36" x14ac:dyDescent="0.25">
      <c r="A58" s="40"/>
      <c r="C58" s="2"/>
      <c r="D58" s="42"/>
      <c r="E58" s="42"/>
      <c r="F58" s="42"/>
      <c r="G58" s="42"/>
      <c r="H58" s="42"/>
      <c r="I58" s="10"/>
      <c r="J58" s="10"/>
      <c r="K58" s="10"/>
      <c r="L58" s="10"/>
      <c r="M58" s="10"/>
      <c r="V58" s="2"/>
      <c r="W58" s="13"/>
      <c r="X58" s="2"/>
      <c r="Y58" s="2"/>
      <c r="Z58" s="2"/>
    </row>
    <row r="59" spans="1:36" x14ac:dyDescent="0.25">
      <c r="A59" s="40"/>
      <c r="C59" s="2"/>
      <c r="D59" s="42"/>
      <c r="E59" s="42"/>
      <c r="F59" s="42"/>
      <c r="G59" s="42"/>
      <c r="H59" s="42"/>
      <c r="I59" s="10"/>
      <c r="J59" s="10"/>
      <c r="K59" s="10"/>
      <c r="L59" s="10"/>
      <c r="M59" s="10"/>
      <c r="V59" s="2"/>
      <c r="W59" s="13"/>
      <c r="X59" s="2"/>
      <c r="Y59" s="2"/>
      <c r="Z59" s="2"/>
      <c r="AA59" s="2"/>
    </row>
    <row r="60" spans="1:36" x14ac:dyDescent="0.25">
      <c r="A60" s="40"/>
      <c r="C60" s="2"/>
      <c r="D60" s="42"/>
      <c r="E60" s="42"/>
      <c r="F60" s="42"/>
      <c r="G60" s="42"/>
      <c r="H60" s="42"/>
      <c r="I60" s="10"/>
      <c r="J60" s="10"/>
      <c r="K60" s="10"/>
      <c r="L60" s="10"/>
      <c r="M60" s="10"/>
      <c r="V60" s="2"/>
      <c r="W60" s="13"/>
      <c r="X60" s="2"/>
      <c r="Y60" s="2"/>
      <c r="Z60" s="2"/>
      <c r="AA60" s="2"/>
    </row>
    <row r="61" spans="1:36" x14ac:dyDescent="0.25">
      <c r="A61" s="40"/>
      <c r="C61" s="2"/>
      <c r="D61" s="42"/>
      <c r="E61" s="42"/>
      <c r="F61" s="42"/>
      <c r="G61" s="42"/>
      <c r="H61" s="42"/>
      <c r="I61" s="10"/>
      <c r="J61" s="10"/>
      <c r="K61" s="10"/>
      <c r="L61" s="10"/>
      <c r="M61" s="10"/>
      <c r="V61" s="2"/>
      <c r="W61" s="13"/>
      <c r="X61" s="2"/>
      <c r="Y61" s="2"/>
      <c r="Z61" s="2"/>
      <c r="AA61" s="2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W62" s="2"/>
      <c r="X62" s="13"/>
      <c r="Y62" s="2"/>
      <c r="Z62" s="2"/>
      <c r="AA62" s="2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W63" s="2"/>
      <c r="X63" s="13"/>
      <c r="Y63" s="2"/>
      <c r="Z63" s="2"/>
      <c r="AA63" s="2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W64" s="2"/>
      <c r="X64" s="13"/>
      <c r="Y64" s="2"/>
      <c r="Z64" s="2"/>
      <c r="AA64" s="2"/>
    </row>
    <row r="65" spans="1:27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X65" s="13"/>
      <c r="Y65" s="2"/>
      <c r="Z65" s="2"/>
      <c r="AA65" s="2"/>
    </row>
    <row r="66" spans="1:27" x14ac:dyDescent="0.25">
      <c r="A66" s="17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X66" s="13"/>
      <c r="Y66" s="2"/>
      <c r="Z66" s="2"/>
      <c r="AA66" s="2"/>
    </row>
    <row r="67" spans="1:27" x14ac:dyDescent="0.25">
      <c r="A67" s="17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X67" s="13"/>
      <c r="Y67" s="2"/>
      <c r="Z67" s="2"/>
      <c r="AA67" s="2"/>
    </row>
    <row r="68" spans="1:27" x14ac:dyDescent="0.25">
      <c r="A68" s="17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X68" s="13"/>
      <c r="Y68" s="2"/>
      <c r="Z68" s="2"/>
      <c r="AA68" s="2"/>
    </row>
    <row r="69" spans="1:27" x14ac:dyDescent="0.25">
      <c r="A69" s="17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X69" s="13"/>
      <c r="Y69" s="2"/>
      <c r="Z69" s="2"/>
      <c r="AA69" s="2"/>
    </row>
    <row r="70" spans="1:27" x14ac:dyDescent="0.25">
      <c r="A70" s="17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X70" s="13"/>
      <c r="Y70" s="2"/>
      <c r="Z70" s="2"/>
      <c r="AA70" s="2"/>
    </row>
    <row r="71" spans="1:27" x14ac:dyDescent="0.25">
      <c r="A71" s="17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X71" s="13"/>
      <c r="Y71" s="2"/>
      <c r="Z71" s="2"/>
      <c r="AA71" s="2"/>
    </row>
    <row r="72" spans="1:27" x14ac:dyDescent="0.25">
      <c r="A72" s="17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X72" s="13"/>
      <c r="Y72" s="2"/>
      <c r="Z72" s="2"/>
      <c r="AA72" s="2"/>
    </row>
    <row r="73" spans="1:27" x14ac:dyDescent="0.25">
      <c r="A73" s="17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X73" s="13"/>
      <c r="Y73" s="2"/>
      <c r="Z73" s="2"/>
      <c r="AA73" s="2"/>
    </row>
    <row r="74" spans="1:27" x14ac:dyDescent="0.25">
      <c r="A74" s="17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27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27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</sheetData>
  <sortState ref="AH23:AH41">
    <sortCondition ref="AH23"/>
  </sortState>
  <mergeCells count="20"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  <mergeCell ref="A1:B1"/>
    <mergeCell ref="A6:B6"/>
    <mergeCell ref="A7:B7"/>
    <mergeCell ref="A4:B4"/>
    <mergeCell ref="A3:B3"/>
    <mergeCell ref="A2:B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 t="e">
        <f>IF(ISNUMBER(Calculations!N4),CONVERT(Calculations!N4,Units_In,Units_Out),"")</f>
        <v>#N/A</v>
      </c>
      <c r="C2" s="33" t="e">
        <f>IF(ISNUMBER(Calculations!O4),CONVERT(Calculations!O4,Units_In,Units_Out),"")</f>
        <v>#N/A</v>
      </c>
      <c r="D2" s="33" t="s">
        <v>60</v>
      </c>
      <c r="E2" s="10" t="e">
        <f>CONCATENATE("0503 ",B2,"EUSft ",C2,"NUSft")</f>
        <v>#N/A</v>
      </c>
      <c r="F2" s="34">
        <v>98</v>
      </c>
      <c r="G2" s="10" t="str">
        <f>IF(F2=98,"Lime",IF(F2=94,"Yellow",""))</f>
        <v>Lime</v>
      </c>
      <c r="H2" s="10" t="str">
        <f>Calculations!$A$1</f>
        <v>CSS13</v>
      </c>
    </row>
    <row r="3" spans="1:8" s="10" customFormat="1" x14ac:dyDescent="0.25">
      <c r="A3" s="10" t="str">
        <f>IF(ISNUMBER(Calculations!M5),CONCATENATE("GPS",Calculations!M5),"")</f>
        <v>GPS1</v>
      </c>
      <c r="B3" s="33" t="str">
        <f>IF(ISNUMBER(Calculations!N5),CONVERT(Calculations!N5,Units_In,Units_Out),"")</f>
        <v/>
      </c>
      <c r="C3" s="33" t="str">
        <f>IF(ISNUMBER(Calculations!O5),CONVERT(Calculations!O5,Units_In,Units_Out),"")</f>
        <v/>
      </c>
      <c r="D3" s="33" t="s">
        <v>60</v>
      </c>
      <c r="E3" s="10" t="str">
        <f t="shared" ref="E3:E4" si="0">CONCATENATE("0503 ",B3,"EUSft ",C3,"NUSft")</f>
        <v>0503 EUSft 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CSS13</v>
      </c>
    </row>
    <row r="4" spans="1:8" s="10" customFormat="1" x14ac:dyDescent="0.25">
      <c r="A4" s="10" t="str">
        <f>IF(ISNUMBER(Calculations!M6),CONCATENATE("GPS",Calculations!M6),"")</f>
        <v>GPS2</v>
      </c>
      <c r="B4" s="33" t="str">
        <f>IF(ISNUMBER(Calculations!N6),CONVERT(Calculations!N6,Units_In,Units_Out),"")</f>
        <v/>
      </c>
      <c r="C4" s="33" t="str">
        <f>IF(ISNUMBER(Calculations!O6),CONVERT(Calculations!O6,Units_In,Units_Out),"")</f>
        <v/>
      </c>
      <c r="D4" s="33" t="s">
        <v>60</v>
      </c>
      <c r="E4" s="10" t="str">
        <f t="shared" si="0"/>
        <v>0503 EUSft NUSft</v>
      </c>
      <c r="F4" s="34">
        <v>98</v>
      </c>
      <c r="G4" s="10" t="str">
        <f t="shared" si="1"/>
        <v>Lime</v>
      </c>
      <c r="H4" s="10" t="str">
        <f>Calculations!$A$1</f>
        <v>CSS13</v>
      </c>
    </row>
    <row r="5" spans="1:8" x14ac:dyDescent="0.25">
      <c r="A5">
        <f>IF(ISNUMBER(Calculations!A21),Calculations!A21,"")</f>
        <v>1</v>
      </c>
      <c r="B5" s="33" t="e">
        <f>IF(ISNUMBER(A5),CONVERT(Calculations!T21,Units_In,Units_Out),"")</f>
        <v>#N/A</v>
      </c>
      <c r="C5" s="33" t="e">
        <f>IF(ISNUMBER(A5),CONVERT(Calculations!U21,Units_In,Units_Out),"")</f>
        <v>#N/A</v>
      </c>
      <c r="D5" s="33" t="str">
        <f>IF(ISTEXT(Calculations!F21),Calculations!F21,"")</f>
        <v>BS/ZERO</v>
      </c>
      <c r="E5" t="e">
        <f>IF(ISNUMBER(A5),CONCATENATE("0503 ",B5,"EUSft ",C5,"NUSft"),"")</f>
        <v>#N/A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CSS13</v>
      </c>
    </row>
    <row r="6" spans="1:8" x14ac:dyDescent="0.25">
      <c r="A6" s="10">
        <f>IF(ISNUMBER(Calculations!A22),Calculations!A22,"")</f>
        <v>2</v>
      </c>
      <c r="B6" s="33" t="e">
        <f>IF(ISNUMBER(A6),CONVERT(Calculations!T22,Units_In,Units_Out),"")</f>
        <v>#N/A</v>
      </c>
      <c r="C6" s="33" t="e">
        <f>IF(ISNUMBER(A6),CONVERT(Calculations!U22,Units_In,Units_Out),"")</f>
        <v>#N/A</v>
      </c>
      <c r="D6" s="33" t="str">
        <f>IF(ISTEXT(Calculations!F22),Calculations!F22,"")</f>
        <v xml:space="preserve">BS </v>
      </c>
      <c r="E6" s="10" t="e">
        <f t="shared" ref="E6:E65" si="2">IF(ISNUMBER(A6),CONCATENATE("0503 ",B6,"EUSft ",C6,"NUSft"),"")</f>
        <v>#N/A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CSS13</v>
      </c>
    </row>
    <row r="7" spans="1:8" x14ac:dyDescent="0.25">
      <c r="A7" s="10">
        <f>IF(ISNUMBER(Calculations!A23),Calculations!A23,"")</f>
        <v>3</v>
      </c>
      <c r="B7" s="33" t="e">
        <f>IF(ISNUMBER(A7),CONVERT(Calculations!T23,Units_In,Units_Out),"")</f>
        <v>#N/A</v>
      </c>
      <c r="C7" s="33" t="e">
        <f>IF(ISNUMBER(A7),CONVERT(Calculations!U23,Units_In,Units_Out),"")</f>
        <v>#N/A</v>
      </c>
      <c r="D7" s="33" t="str">
        <f>IF(ISTEXT(Calculations!F23),Calculations!F23,"")</f>
        <v/>
      </c>
      <c r="E7" s="10" t="e">
        <f t="shared" si="2"/>
        <v>#N/A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CSS13</v>
      </c>
    </row>
    <row r="8" spans="1:8" x14ac:dyDescent="0.25">
      <c r="A8" s="10">
        <f>IF(ISNUMBER(Calculations!A24),Calculations!A24,"")</f>
        <v>4</v>
      </c>
      <c r="B8" s="33" t="e">
        <f>IF(ISNUMBER(A8),CONVERT(Calculations!T24,Units_In,Units_Out),"")</f>
        <v>#N/A</v>
      </c>
      <c r="C8" s="33" t="e">
        <f>IF(ISNUMBER(A8),CONVERT(Calculations!U24,Units_In,Units_Out),"")</f>
        <v>#N/A</v>
      </c>
      <c r="D8" s="33" t="str">
        <f>IF(ISTEXT(Calculations!F24),Calculations!F24,"")</f>
        <v/>
      </c>
      <c r="E8" s="10" t="e">
        <f t="shared" si="2"/>
        <v>#N/A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CSS13</v>
      </c>
    </row>
    <row r="9" spans="1:8" x14ac:dyDescent="0.25">
      <c r="A9" s="10">
        <f>IF(ISNUMBER(Calculations!A25),Calculations!A25,"")</f>
        <v>5</v>
      </c>
      <c r="B9" s="33" t="e">
        <f>IF(ISNUMBER(A9),CONVERT(Calculations!T25,Units_In,Units_Out),"")</f>
        <v>#N/A</v>
      </c>
      <c r="C9" s="33" t="e">
        <f>IF(ISNUMBER(A9),CONVERT(Calculations!U25,Units_In,Units_Out),"")</f>
        <v>#N/A</v>
      </c>
      <c r="D9" s="33" t="str">
        <f>IF(ISTEXT(Calculations!F25),Calculations!F25,"")</f>
        <v/>
      </c>
      <c r="E9" s="10" t="e">
        <f t="shared" si="2"/>
        <v>#N/A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CSS13</v>
      </c>
    </row>
    <row r="10" spans="1:8" x14ac:dyDescent="0.25">
      <c r="A10" s="10">
        <f>IF(ISNUMBER(Calculations!A26),Calculations!A26,"")</f>
        <v>6</v>
      </c>
      <c r="B10" s="33" t="e">
        <f>IF(ISNUMBER(A10),CONVERT(Calculations!T26,Units_In,Units_Out),"")</f>
        <v>#N/A</v>
      </c>
      <c r="C10" s="33" t="e">
        <f>IF(ISNUMBER(A10),CONVERT(Calculations!U26,Units_In,Units_Out),"")</f>
        <v>#N/A</v>
      </c>
      <c r="D10" s="33" t="str">
        <f>IF(ISTEXT(Calculations!F26),Calculations!F26,"")</f>
        <v>WS</v>
      </c>
      <c r="E10" s="10" t="e">
        <f t="shared" si="2"/>
        <v>#N/A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CSS13</v>
      </c>
    </row>
    <row r="11" spans="1:8" x14ac:dyDescent="0.25">
      <c r="A11" s="10">
        <f>IF(ISNUMBER(Calculations!A27),Calculations!A27,"")</f>
        <v>7</v>
      </c>
      <c r="B11" s="33" t="e">
        <f>IF(ISNUMBER(A11),CONVERT(Calculations!T27,Units_In,Units_Out),"")</f>
        <v>#N/A</v>
      </c>
      <c r="C11" s="33" t="e">
        <f>IF(ISNUMBER(A11),CONVERT(Calculations!U27,Units_In,Units_Out),"")</f>
        <v>#N/A</v>
      </c>
      <c r="D11" s="33" t="str">
        <f>IF(ISTEXT(Calculations!F27),Calculations!F27,"")</f>
        <v>RIVER</v>
      </c>
      <c r="E11" s="10" t="e">
        <f t="shared" si="2"/>
        <v>#N/A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CSS13</v>
      </c>
    </row>
    <row r="12" spans="1:8" x14ac:dyDescent="0.25">
      <c r="A12" s="10">
        <f>IF(ISNUMBER(Calculations!A28),Calculations!A28,"")</f>
        <v>8</v>
      </c>
      <c r="B12" s="33" t="e">
        <f>IF(ISNUMBER(A12),CONVERT(Calculations!T28,Units_In,Units_Out),"")</f>
        <v>#N/A</v>
      </c>
      <c r="C12" s="33" t="e">
        <f>IF(ISNUMBER(A12),CONVERT(Calculations!U28,Units_In,Units_Out),"")</f>
        <v>#N/A</v>
      </c>
      <c r="D12" s="33" t="str">
        <f>IF(ISTEXT(Calculations!F28),Calculations!F28,"")</f>
        <v>RIVER</v>
      </c>
      <c r="E12" s="10" t="e">
        <f t="shared" si="2"/>
        <v>#N/A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CSS13</v>
      </c>
    </row>
    <row r="13" spans="1:8" x14ac:dyDescent="0.25">
      <c r="A13" s="10">
        <f>IF(ISNUMBER(Calculations!A29),Calculations!A29,"")</f>
        <v>9</v>
      </c>
      <c r="B13" s="33" t="e">
        <f>IF(ISNUMBER(A13),CONVERT(Calculations!T29,Units_In,Units_Out),"")</f>
        <v>#N/A</v>
      </c>
      <c r="C13" s="33" t="e">
        <f>IF(ISNUMBER(A13),CONVERT(Calculations!U29,Units_In,Units_Out),"")</f>
        <v>#N/A</v>
      </c>
      <c r="D13" s="33" t="str">
        <f>IF(ISTEXT(Calculations!F29),Calculations!F29,"")</f>
        <v>RIVER</v>
      </c>
      <c r="E13" s="10" t="e">
        <f t="shared" si="2"/>
        <v>#N/A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CSS13</v>
      </c>
    </row>
    <row r="14" spans="1:8" x14ac:dyDescent="0.25">
      <c r="A14" s="10">
        <f>IF(ISNUMBER(Calculations!A30),Calculations!A30,"")</f>
        <v>10</v>
      </c>
      <c r="B14" s="33" t="e">
        <f>IF(ISNUMBER(A14),CONVERT(Calculations!T30,Units_In,Units_Out),"")</f>
        <v>#N/A</v>
      </c>
      <c r="C14" s="33" t="e">
        <f>IF(ISNUMBER(A14),CONVERT(Calculations!U30,Units_In,Units_Out),"")</f>
        <v>#N/A</v>
      </c>
      <c r="D14" s="33" t="str">
        <f>IF(ISTEXT(Calculations!F30),Calculations!F30,"")</f>
        <v>WS</v>
      </c>
      <c r="E14" s="10" t="e">
        <f t="shared" si="2"/>
        <v>#N/A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CSS13</v>
      </c>
    </row>
    <row r="15" spans="1:8" x14ac:dyDescent="0.25">
      <c r="A15" s="10">
        <f>IF(ISNUMBER(Calculations!A31),Calculations!A31,"")</f>
        <v>11</v>
      </c>
      <c r="B15" s="33" t="e">
        <f>IF(ISNUMBER(A15),CONVERT(Calculations!T31,Units_In,Units_Out),"")</f>
        <v>#N/A</v>
      </c>
      <c r="C15" s="33" t="e">
        <f>IF(ISNUMBER(A15),CONVERT(Calculations!U31,Units_In,Units_Out),"")</f>
        <v>#N/A</v>
      </c>
      <c r="D15" s="33" t="str">
        <f>IF(ISTEXT(Calculations!F31),Calculations!F31,"")</f>
        <v/>
      </c>
      <c r="E15" s="10" t="e">
        <f t="shared" si="2"/>
        <v>#N/A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CSS13</v>
      </c>
    </row>
    <row r="16" spans="1:8" x14ac:dyDescent="0.25">
      <c r="A16" s="10">
        <f>IF(ISNUMBER(Calculations!A32),Calculations!A32,"")</f>
        <v>12</v>
      </c>
      <c r="B16" s="33" t="e">
        <f>IF(ISNUMBER(A16),CONVERT(Calculations!T32,Units_In,Units_Out),"")</f>
        <v>#N/A</v>
      </c>
      <c r="C16" s="33" t="e">
        <f>IF(ISNUMBER(A16),CONVERT(Calculations!U32,Units_In,Units_Out),"")</f>
        <v>#N/A</v>
      </c>
      <c r="D16" s="33" t="str">
        <f>IF(ISTEXT(Calculations!F32),Calculations!F32,"")</f>
        <v/>
      </c>
      <c r="E16" s="10" t="e">
        <f t="shared" si="2"/>
        <v>#N/A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CSS13</v>
      </c>
    </row>
    <row r="17" spans="1:8" x14ac:dyDescent="0.25">
      <c r="A17" s="10">
        <f>IF(ISNUMBER(Calculations!A33),Calculations!A33,"")</f>
        <v>13</v>
      </c>
      <c r="B17" s="33" t="e">
        <f>IF(ISNUMBER(A17),CONVERT(Calculations!T33,Units_In,Units_Out),"")</f>
        <v>#N/A</v>
      </c>
      <c r="C17" s="33" t="e">
        <f>IF(ISNUMBER(A17),CONVERT(Calculations!U33,Units_In,Units_Out),"")</f>
        <v>#N/A</v>
      </c>
      <c r="D17" s="33" t="str">
        <f>IF(ISTEXT(Calculations!F33),Calculations!F33,"")</f>
        <v/>
      </c>
      <c r="E17" s="10" t="e">
        <f t="shared" si="2"/>
        <v>#N/A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CSS13</v>
      </c>
    </row>
    <row r="18" spans="1:8" x14ac:dyDescent="0.25">
      <c r="A18" s="10">
        <f>IF(ISNUMBER(Calculations!A34),Calculations!A34,"")</f>
        <v>14</v>
      </c>
      <c r="B18" s="33" t="e">
        <f>IF(ISNUMBER(A18),CONVERT(Calculations!T34,Units_In,Units_Out),"")</f>
        <v>#N/A</v>
      </c>
      <c r="C18" s="33" t="e">
        <f>IF(ISNUMBER(A18),CONVERT(Calculations!U34,Units_In,Units_Out),"")</f>
        <v>#N/A</v>
      </c>
      <c r="D18" s="33" t="str">
        <f>IF(ISTEXT(Calculations!F34),Calculations!F34,"")</f>
        <v/>
      </c>
      <c r="E18" s="10" t="e">
        <f t="shared" si="2"/>
        <v>#N/A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CSS13</v>
      </c>
    </row>
    <row r="19" spans="1:8" x14ac:dyDescent="0.25">
      <c r="A19" s="10">
        <f>IF(ISNUMBER(Calculations!A35),Calculations!A35,"")</f>
        <v>15</v>
      </c>
      <c r="B19" s="33" t="e">
        <f>IF(ISNUMBER(A19),CONVERT(Calculations!T35,Units_In,Units_Out),"")</f>
        <v>#N/A</v>
      </c>
      <c r="C19" s="33" t="e">
        <f>IF(ISNUMBER(A19),CONVERT(Calculations!U35,Units_In,Units_Out),"")</f>
        <v>#N/A</v>
      </c>
      <c r="D19" s="33" t="str">
        <f>IF(ISTEXT(Calculations!F35),Calculations!F35,"")</f>
        <v/>
      </c>
      <c r="E19" s="10" t="e">
        <f t="shared" si="2"/>
        <v>#N/A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CSS13</v>
      </c>
    </row>
    <row r="20" spans="1:8" x14ac:dyDescent="0.25">
      <c r="A20" s="10">
        <f>IF(ISNUMBER(Calculations!A36),Calculations!A36,"")</f>
        <v>16</v>
      </c>
      <c r="B20" s="33" t="e">
        <f>IF(ISNUMBER(A20),CONVERT(Calculations!T36,Units_In,Units_Out),"")</f>
        <v>#N/A</v>
      </c>
      <c r="C20" s="33" t="e">
        <f>IF(ISNUMBER(A20),CONVERT(Calculations!U36,Units_In,Units_Out),"")</f>
        <v>#N/A</v>
      </c>
      <c r="D20" s="33" t="str">
        <f>IF(ISTEXT(Calculations!F36),Calculations!F36,"")</f>
        <v>PT2</v>
      </c>
      <c r="E20" s="10" t="e">
        <f t="shared" si="2"/>
        <v>#N/A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CSS13</v>
      </c>
    </row>
    <row r="21" spans="1:8" x14ac:dyDescent="0.25">
      <c r="A21" s="10">
        <f>IF(ISNUMBER(Calculations!A37),Calculations!A37,"")</f>
        <v>17</v>
      </c>
      <c r="B21" s="33" t="e">
        <f>IF(ISNUMBER(A21),CONVERT(Calculations!T37,Units_In,Units_Out),"")</f>
        <v>#N/A</v>
      </c>
      <c r="C21" s="33" t="e">
        <f>IF(ISNUMBER(A21),CONVERT(Calculations!U37,Units_In,Units_Out),"")</f>
        <v>#N/A</v>
      </c>
      <c r="D21" s="33" t="str">
        <f>IF(ISTEXT(Calculations!F37),Calculations!F37,"")</f>
        <v>PT1</v>
      </c>
      <c r="E21" s="10" t="e">
        <f t="shared" si="2"/>
        <v>#N/A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CSS13</v>
      </c>
    </row>
    <row r="22" spans="1:8" x14ac:dyDescent="0.25">
      <c r="A22" s="10" t="str">
        <f>IF(ISNUMBER(Calculations!#REF!),Calculations!#REF!,"")</f>
        <v/>
      </c>
      <c r="B22" s="33" t="str">
        <f>IF(ISNUMBER(A22),CONVERT(Calculations!#REF!,Units_In,Units_Out),"")</f>
        <v/>
      </c>
      <c r="C22" s="33" t="str">
        <f>IF(ISNUMBER(A22),CONVERT(Calculations!#REF!,Units_In,Units_Out),"")</f>
        <v/>
      </c>
      <c r="D22" s="33" t="str">
        <f>IF(ISTEXT(Calculations!#REF!),Calculations!#REF!,"")</f>
        <v/>
      </c>
      <c r="E22" s="10" t="str">
        <f t="shared" si="2"/>
        <v/>
      </c>
      <c r="F22" s="34" t="str">
        <f t="shared" si="3"/>
        <v/>
      </c>
      <c r="G22" s="10" t="str">
        <f t="shared" si="1"/>
        <v/>
      </c>
      <c r="H22" s="10" t="str">
        <f>IF(ISNUMBER(A22),Calculations!$A$1,"")</f>
        <v/>
      </c>
    </row>
    <row r="23" spans="1:8" x14ac:dyDescent="0.25">
      <c r="A23" s="10" t="str">
        <f>IF(ISNUMBER(Calculations!#REF!),Calculations!#REF!,"")</f>
        <v/>
      </c>
      <c r="B23" s="33" t="str">
        <f>IF(ISNUMBER(A23),CONVERT(Calculations!#REF!,Units_In,Units_Out),"")</f>
        <v/>
      </c>
      <c r="C23" s="33" t="str">
        <f>IF(ISNUMBER(A23),CONVERT(Calculations!#REF!,Units_In,Units_Out),"")</f>
        <v/>
      </c>
      <c r="D23" s="33" t="str">
        <f>IF(ISTEXT(Calculations!#REF!),Calculations!#REF!,"")</f>
        <v/>
      </c>
      <c r="E23" s="10" t="str">
        <f t="shared" si="2"/>
        <v/>
      </c>
      <c r="F23" s="34" t="str">
        <f t="shared" si="3"/>
        <v/>
      </c>
      <c r="G23" s="10" t="str">
        <f t="shared" si="1"/>
        <v/>
      </c>
      <c r="H23" s="10" t="str">
        <f>IF(ISNUMBER(A23),Calculations!$A$1,"")</f>
        <v/>
      </c>
    </row>
    <row r="24" spans="1:8" x14ac:dyDescent="0.25">
      <c r="A24" s="10" t="str">
        <f>IF(ISNUMBER(Calculations!#REF!),Calculations!#REF!,"")</f>
        <v/>
      </c>
      <c r="B24" s="33" t="str">
        <f>IF(ISNUMBER(A24),CONVERT(Calculations!#REF!,Units_In,Units_Out),"")</f>
        <v/>
      </c>
      <c r="C24" s="33" t="str">
        <f>IF(ISNUMBER(A24),CONVERT(Calculations!#REF!,Units_In,Units_Out),"")</f>
        <v/>
      </c>
      <c r="D24" s="33" t="str">
        <f>IF(ISTEXT(Calculations!#REF!),Calculations!#REF!,"")</f>
        <v/>
      </c>
      <c r="E24" s="10" t="str">
        <f t="shared" si="2"/>
        <v/>
      </c>
      <c r="F24" s="34" t="str">
        <f t="shared" si="3"/>
        <v/>
      </c>
      <c r="G24" s="10" t="str">
        <f t="shared" si="1"/>
        <v/>
      </c>
      <c r="H24" s="10" t="str">
        <f>IF(ISNUMBER(A24),Calculations!$A$1,"")</f>
        <v/>
      </c>
    </row>
    <row r="25" spans="1:8" x14ac:dyDescent="0.25">
      <c r="A25" s="10" t="str">
        <f>IF(ISNUMBER(Calculations!#REF!),Calculations!#REF!,"")</f>
        <v/>
      </c>
      <c r="B25" s="33" t="str">
        <f>IF(ISNUMBER(A25),CONVERT(Calculations!#REF!,Units_In,Units_Out),"")</f>
        <v/>
      </c>
      <c r="C25" s="33" t="str">
        <f>IF(ISNUMBER(A25),CONVERT(Calculations!#REF!,Units_In,Units_Out),"")</f>
        <v/>
      </c>
      <c r="D25" s="33" t="str">
        <f>IF(ISTEXT(Calculations!#REF!),Calculations!#REF!,"")</f>
        <v/>
      </c>
      <c r="E25" s="10" t="str">
        <f t="shared" si="2"/>
        <v/>
      </c>
      <c r="F25" s="34" t="str">
        <f t="shared" si="3"/>
        <v/>
      </c>
      <c r="G25" s="10" t="str">
        <f t="shared" si="1"/>
        <v/>
      </c>
      <c r="H25" s="10" t="str">
        <f>IF(ISNUMBER(A25),Calculations!$A$1,"")</f>
        <v/>
      </c>
    </row>
    <row r="26" spans="1:8" x14ac:dyDescent="0.25">
      <c r="A26" s="10" t="str">
        <f>IF(ISNUMBER(Calculations!#REF!),Calculations!#REF!,"")</f>
        <v/>
      </c>
      <c r="B26" s="33" t="str">
        <f>IF(ISNUMBER(A26),CONVERT(Calculations!#REF!,Units_In,Units_Out),"")</f>
        <v/>
      </c>
      <c r="C26" s="33" t="str">
        <f>IF(ISNUMBER(A26),CONVERT(Calculations!#REF!,Units_In,Units_Out),"")</f>
        <v/>
      </c>
      <c r="D26" s="33" t="str">
        <f>IF(ISTEXT(Calculations!#REF!),Calculations!#REF!,"")</f>
        <v/>
      </c>
      <c r="E26" s="10" t="str">
        <f t="shared" si="2"/>
        <v/>
      </c>
      <c r="F26" s="34" t="str">
        <f t="shared" si="3"/>
        <v/>
      </c>
      <c r="G26" s="10" t="str">
        <f t="shared" si="1"/>
        <v/>
      </c>
      <c r="H26" s="10" t="str">
        <f>IF(ISNUMBER(A26),Calculations!$A$1,"")</f>
        <v/>
      </c>
    </row>
    <row r="27" spans="1:8" x14ac:dyDescent="0.25">
      <c r="A27" s="10" t="str">
        <f>IF(ISNUMBER(Calculations!#REF!),Calculations!#REF!,"")</f>
        <v/>
      </c>
      <c r="B27" s="33" t="str">
        <f>IF(ISNUMBER(A27),CONVERT(Calculations!#REF!,Units_In,Units_Out),"")</f>
        <v/>
      </c>
      <c r="C27" s="33" t="str">
        <f>IF(ISNUMBER(A27),CONVERT(Calculations!#REF!,Units_In,Units_Out),"")</f>
        <v/>
      </c>
      <c r="D27" s="33" t="str">
        <f>IF(ISTEXT(Calculations!#REF!),Calculations!#REF!,"")</f>
        <v/>
      </c>
      <c r="E27" s="10" t="str">
        <f t="shared" si="2"/>
        <v/>
      </c>
      <c r="F27" s="34" t="str">
        <f t="shared" si="3"/>
        <v/>
      </c>
      <c r="G27" s="10" t="str">
        <f t="shared" si="1"/>
        <v/>
      </c>
      <c r="H27" s="10" t="str">
        <f>IF(ISNUMBER(A27),Calculations!$A$1,"")</f>
        <v/>
      </c>
    </row>
    <row r="28" spans="1:8" x14ac:dyDescent="0.25">
      <c r="A28" s="10" t="str">
        <f>IF(ISNUMBER(Calculations!#REF!),Calculations!#REF!,"")</f>
        <v/>
      </c>
      <c r="B28" s="33" t="str">
        <f>IF(ISNUMBER(A28),CONVERT(Calculations!#REF!,Units_In,Units_Out),"")</f>
        <v/>
      </c>
      <c r="C28" s="33" t="str">
        <f>IF(ISNUMBER(A28),CONVERT(Calculations!#REF!,Units_In,Units_Out),"")</f>
        <v/>
      </c>
      <c r="D28" s="33" t="str">
        <f>IF(ISTEXT(Calculations!#REF!),Calculations!#REF!,"")</f>
        <v/>
      </c>
      <c r="E28" s="10" t="str">
        <f t="shared" si="2"/>
        <v/>
      </c>
      <c r="F28" s="34" t="str">
        <f t="shared" si="3"/>
        <v/>
      </c>
      <c r="G28" s="10" t="str">
        <f t="shared" si="1"/>
        <v/>
      </c>
      <c r="H28" s="10" t="str">
        <f>IF(ISNUMBER(A28),Calculations!$A$1,"")</f>
        <v/>
      </c>
    </row>
    <row r="29" spans="1:8" x14ac:dyDescent="0.25">
      <c r="A29" s="10" t="str">
        <f>IF(ISNUMBER(Calculations!#REF!),Calculations!#REF!,"")</f>
        <v/>
      </c>
      <c r="B29" s="33" t="str">
        <f>IF(ISNUMBER(A29),CONVERT(Calculations!#REF!,Units_In,Units_Out),"")</f>
        <v/>
      </c>
      <c r="C29" s="33" t="str">
        <f>IF(ISNUMBER(A29),CONVERT(Calculations!#REF!,Units_In,Units_Out),"")</f>
        <v/>
      </c>
      <c r="D29" s="33" t="str">
        <f>IF(ISTEXT(Calculations!#REF!),Calculations!#REF!,"")</f>
        <v/>
      </c>
      <c r="E29" s="10" t="str">
        <f t="shared" si="2"/>
        <v/>
      </c>
      <c r="F29" s="34" t="str">
        <f t="shared" si="3"/>
        <v/>
      </c>
      <c r="G29" s="10" t="str">
        <f t="shared" si="1"/>
        <v/>
      </c>
      <c r="H29" s="10" t="str">
        <f>IF(ISNUMBER(A29),Calculations!$A$1,"")</f>
        <v/>
      </c>
    </row>
    <row r="30" spans="1:8" x14ac:dyDescent="0.25">
      <c r="A30" s="10" t="str">
        <f>IF(ISNUMBER(Calculations!#REF!),Calculations!#REF!,"")</f>
        <v/>
      </c>
      <c r="B30" s="33" t="str">
        <f>IF(ISNUMBER(A30),CONVERT(Calculations!#REF!,Units_In,Units_Out),"")</f>
        <v/>
      </c>
      <c r="C30" s="33" t="str">
        <f>IF(ISNUMBER(A30),CONVERT(Calculations!#REF!,Units_In,Units_Out),"")</f>
        <v/>
      </c>
      <c r="D30" s="33" t="str">
        <f>IF(ISTEXT(Calculations!#REF!),Calculations!#REF!,"")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IF(ISNUMBER(Calculations!A38),Calculations!A38,"")</f>
        <v/>
      </c>
      <c r="B31" s="33" t="str">
        <f>IF(ISNUMBER(A31),CONVERT(Calculations!T38,Units_In,Units_Out),"")</f>
        <v/>
      </c>
      <c r="C31" s="33" t="str">
        <f>IF(ISNUMBER(A31),CONVERT(Calculations!U38,Units_In,Units_Out),"")</f>
        <v/>
      </c>
      <c r="D31" s="33" t="str">
        <f>IF(ISTEXT(Calculations!F38),Calculations!F38,"")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IF(ISNUMBER(Calculations!A39),Calculations!A39,"")</f>
        <v/>
      </c>
      <c r="B32" s="33" t="str">
        <f>IF(ISNUMBER(A32),CONVERT(Calculations!T39,Units_In,Units_Out),"")</f>
        <v/>
      </c>
      <c r="C32" s="33" t="str">
        <f>IF(ISNUMBER(A32),CONVERT(Calculations!U39,Units_In,Units_Out),"")</f>
        <v/>
      </c>
      <c r="D32" s="33" t="str">
        <f>IF(ISTEXT(Calculations!F39),Calculations!F39,"")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IF(ISNUMBER(Calculations!A40),Calculations!A40,"")</f>
        <v/>
      </c>
      <c r="B33" s="33" t="str">
        <f>IF(ISNUMBER(A33),CONVERT(Calculations!T40,Units_In,Units_Out),"")</f>
        <v/>
      </c>
      <c r="C33" s="33" t="str">
        <f>IF(ISNUMBER(A33),CONVERT(Calculations!U40,Units_In,Units_Out),"")</f>
        <v/>
      </c>
      <c r="D33" s="33" t="str">
        <f>IF(ISTEXT(Calculations!F40),Calculations!F40,"")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IF(ISNUMBER(Calculations!A41),Calculations!A41,"")</f>
        <v/>
      </c>
      <c r="B34" s="33" t="str">
        <f>IF(ISNUMBER(A34),CONVERT(Calculations!T41,Units_In,Units_Out),"")</f>
        <v/>
      </c>
      <c r="C34" s="33" t="str">
        <f>IF(ISNUMBER(A34),CONVERT(Calculations!U41,Units_In,Units_Out),"")</f>
        <v/>
      </c>
      <c r="D34" s="33" t="str">
        <f>IF(ISTEXT(Calculations!F41),Calculations!F41,"")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IF(ISNUMBER(Calculations!A42),Calculations!A42,"")</f>
        <v/>
      </c>
      <c r="B35" s="33" t="str">
        <f>IF(ISNUMBER(A35),CONVERT(Calculations!T42,Units_In,Units_Out),"")</f>
        <v/>
      </c>
      <c r="C35" s="33" t="str">
        <f>IF(ISNUMBER(A35),CONVERT(Calculations!U42,Units_In,Units_Out),"")</f>
        <v/>
      </c>
      <c r="D35" s="33" t="str">
        <f>IF(ISTEXT(Calculations!F42),Calculations!F42,"")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IF(ISNUMBER(Calculations!A43),Calculations!A43,"")</f>
        <v/>
      </c>
      <c r="B36" s="33" t="str">
        <f>IF(ISNUMBER(A36),CONVERT(Calculations!U43,Units_In,Units_Out),"")</f>
        <v/>
      </c>
      <c r="C36" s="33" t="str">
        <f>IF(ISNUMBER(A36),CONVERT(Calculations!V43,Units_In,Units_Out),"")</f>
        <v/>
      </c>
      <c r="D36" s="33" t="str">
        <f>IF(ISTEXT(Calculations!F43),Calculations!F43,"")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IF(ISNUMBER(Calculations!A44),Calculations!A44,"")</f>
        <v/>
      </c>
      <c r="B37" s="33" t="str">
        <f>IF(ISNUMBER(A37),CONVERT(Calculations!U44,Units_In,Units_Out),"")</f>
        <v/>
      </c>
      <c r="C37" s="33" t="str">
        <f>IF(ISNUMBER(A37),CONVERT(Calculations!V44,Units_In,Units_Out),"")</f>
        <v/>
      </c>
      <c r="D37" s="33" t="str">
        <f>IF(ISTEXT(Calculations!F44),Calculations!F44,"")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kmorse</cp:lastModifiedBy>
  <dcterms:created xsi:type="dcterms:W3CDTF">2011-11-09T05:33:48Z</dcterms:created>
  <dcterms:modified xsi:type="dcterms:W3CDTF">2013-09-16T18:30:09Z</dcterms:modified>
</cp:coreProperties>
</file>