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Calculations!$AB$21:$AB$43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Calculations!$X$21:$X$59</definedName>
    <definedName name="yB">Calculations!$Y$21:$Y$59</definedName>
    <definedName name="Zs">Calculations!$W$21:$W$42</definedName>
  </definedNames>
  <calcPr calcId="145621"/>
</workbook>
</file>

<file path=xl/calcChain.xml><?xml version="1.0" encoding="utf-8"?>
<calcChain xmlns="http://schemas.openxmlformats.org/spreadsheetml/2006/main">
  <c r="I38" i="1" l="1"/>
  <c r="J38" i="1" s="1"/>
  <c r="G38" i="1"/>
  <c r="H38" i="1" s="1"/>
  <c r="L38" i="1" l="1"/>
  <c r="K38" i="1"/>
  <c r="N38" i="1"/>
  <c r="G36" i="1"/>
  <c r="H36" i="1" s="1"/>
  <c r="I36" i="1"/>
  <c r="J36" i="1" s="1"/>
  <c r="G37" i="1"/>
  <c r="H37" i="1" s="1"/>
  <c r="I37" i="1"/>
  <c r="J37" i="1" s="1"/>
  <c r="N36" i="1" l="1"/>
  <c r="K37" i="1"/>
  <c r="L37" i="1"/>
  <c r="N37" i="1"/>
  <c r="K36" i="1"/>
  <c r="L36" i="1"/>
  <c r="X22" i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 l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38" i="1" l="1"/>
  <c r="V36" i="1"/>
  <c r="V37" i="1"/>
  <c r="V34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G3" i="2" l="1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38" i="1" l="1"/>
  <c r="P38" i="1" s="1"/>
  <c r="Q38" i="1" s="1"/>
  <c r="R38" i="1" s="1"/>
  <c r="T38" i="1" s="1"/>
  <c r="O37" i="1"/>
  <c r="P37" i="1" s="1"/>
  <c r="Q37" i="1" s="1"/>
  <c r="O36" i="1"/>
  <c r="P36" i="1" s="1"/>
  <c r="Q36" i="1" s="1"/>
  <c r="O35" i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S38" i="1" l="1"/>
  <c r="U38" i="1" s="1"/>
  <c r="X38" i="1"/>
  <c r="R36" i="1"/>
  <c r="T36" i="1" s="1"/>
  <c r="X36" i="1" s="1"/>
  <c r="S36" i="1"/>
  <c r="U36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Y38" i="1" l="1"/>
  <c r="Y36" i="1"/>
  <c r="X37" i="1"/>
  <c r="Y35" i="1"/>
  <c r="Y34" i="1"/>
  <c r="Y5" i="1"/>
  <c r="Y8" i="1" s="1"/>
  <c r="X9" i="1"/>
  <c r="Y9" i="1"/>
  <c r="Y37" i="1" l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W21" i="1" s="1"/>
  <c r="W38" i="1" l="1"/>
  <c r="W37" i="1"/>
  <c r="W36" i="1"/>
  <c r="W35" i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E7" i="2" l="1"/>
  <c r="E19" i="2"/>
  <c r="Y28" i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35" i="1" s="1"/>
  <c r="AF35" i="1" s="1"/>
  <c r="AD38" i="1"/>
  <c r="AF38" i="1" s="1"/>
  <c r="AD36" i="1"/>
  <c r="AF36" i="1" s="1"/>
  <c r="AD37" i="1"/>
  <c r="AF37" i="1" s="1"/>
  <c r="AD34" i="1"/>
  <c r="AF34" i="1" s="1"/>
  <c r="AD33" i="1"/>
  <c r="AF33" i="1" s="1"/>
  <c r="AD27" i="1"/>
  <c r="AF27" i="1" s="1"/>
  <c r="AD24" i="1"/>
  <c r="AF24" i="1" s="1"/>
  <c r="AD25" i="1"/>
  <c r="AF25" i="1" s="1"/>
  <c r="AD29" i="1"/>
  <c r="AF29" i="1" s="1"/>
  <c r="AD23" i="1"/>
  <c r="AF23" i="1" s="1"/>
  <c r="AD31" i="1" l="1"/>
  <c r="AF31" i="1" s="1"/>
  <c r="AD30" i="1"/>
  <c r="AF30" i="1" s="1"/>
  <c r="AD32" i="1"/>
  <c r="AF32" i="1" s="1"/>
  <c r="AD28" i="1"/>
  <c r="AF28" i="1" s="1"/>
  <c r="AD26" i="1"/>
  <c r="AF26" i="1" s="1"/>
  <c r="AC4" i="1"/>
  <c r="AC3" i="1"/>
  <c r="AC6" i="1" s="1"/>
  <c r="Z38" i="1" l="1"/>
  <c r="Z36" i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AA31" i="1" s="1"/>
  <c r="Z29" i="1"/>
  <c r="AA29" i="1" s="1"/>
  <c r="Z33" i="1"/>
  <c r="AA33" i="1" s="1"/>
  <c r="Z27" i="1"/>
  <c r="AA27" i="1" s="1"/>
  <c r="Z26" i="1"/>
  <c r="Z30" i="1"/>
  <c r="AA30" i="1" s="1"/>
  <c r="AA26" i="1" l="1"/>
  <c r="AA38" i="1"/>
  <c r="AA36" i="1"/>
  <c r="AB36" i="1" s="1"/>
  <c r="AA37" i="1"/>
  <c r="AB37" i="1" s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4" i="1"/>
  <c r="AB31" i="1"/>
  <c r="AB25" i="1"/>
  <c r="AB30" i="1"/>
  <c r="AC26" i="1" l="1"/>
  <c r="AE26" i="1" s="1"/>
  <c r="AB26" i="1"/>
  <c r="AC38" i="1"/>
  <c r="AE38" i="1" s="1"/>
  <c r="AB38" i="1"/>
  <c r="AC36" i="1"/>
  <c r="AE36" i="1" s="1"/>
  <c r="AC37" i="1"/>
  <c r="AE37" i="1" s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32" i="1"/>
  <c r="AE32" i="1" s="1"/>
  <c r="AC29" i="1"/>
  <c r="AE29" i="1" s="1"/>
  <c r="AC30" i="1"/>
  <c r="AE30" i="1" s="1"/>
  <c r="AC28" i="1"/>
  <c r="AE28" i="1" s="1"/>
  <c r="AB23" i="1"/>
  <c r="AC9" i="1" l="1"/>
  <c r="AI38" i="1"/>
  <c r="AJ38" i="1" s="1"/>
  <c r="AI36" i="1"/>
  <c r="AJ36" i="1" s="1"/>
  <c r="AI37" i="1"/>
  <c r="AJ37" i="1" s="1"/>
  <c r="AI34" i="1"/>
  <c r="AJ34" i="1" s="1"/>
  <c r="AI35" i="1"/>
  <c r="AJ35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<sst xmlns="http://schemas.openxmlformats.org/spreadsheetml/2006/main" count="105" uniqueCount="90">
  <si>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</si>
  <si>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</si>
  <si>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</si>
  <si>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</si>
  <si>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</si>
  <si>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</si>
  <si>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</si>
  <si>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</si>
  <si>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</si>
  <si>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</si>
  <si>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</si>
  <si>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</si>
  <si>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</si>
  <si>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</si>
  <si>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</si>
  <si>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</si>
  <si>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</si>
  <si>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</si>
  <si>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</si>
  <si>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</si>
  <si>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</si>
  <si>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</si>
  <si>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</si>
  <si>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</si>
  <si>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</si>
  <si>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</si>
  <si>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</si>
  <si>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</si>
  <si>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</si>
  <si>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</si>
  <si>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</si>
  <si>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</si>
  <si>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</si>
  <si>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</si>
  <si>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</si>
  <si>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</si>
  <si>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</si>
  <si>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</si>
  <si>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</si>
  <si>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</si>
  <si>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</si>
  <si>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</si>
  <si>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</si>
  <si>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</si>
  <si>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</si>
  <si>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</si>
  <si>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</si>
  <si>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</si>
  <si>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</si>
  <si>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</si>
  <si>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</si>
  <si>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</si>
  <si>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</si>
  <si>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</si>
  <si>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</si>
  <si>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</si>
  <si>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</si>
  <si>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</si>
  <si>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</si>
  <si>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</si>
  <si>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</si>
  <si>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</si>
  <si>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</si>
  <si>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</si>
  <si>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</si>
  <si>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</si>
  <si>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</si>
  <si>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</si>
  <si>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>PT1</t>
  </si>
  <si>
    <t>PT2</t>
  </si>
  <si>
    <t>ft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</si>
  <si>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</si>
  <si>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</si>
  <si>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</si>
  <si>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</si>
  <si>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</si>
  <si>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</si>
  <si>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</si>
  <si>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</si>
  <si>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</si>
  <si>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</si>
  <si>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</si>
  <si>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</si>
  <si>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</si>
  <si>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>CSS14</t>
  </si>
  <si>
    <t xml:space="preserve">BS </t>
  </si>
  <si>
    <t>SAND BAR</t>
  </si>
  <si>
    <t>RIVER</t>
  </si>
  <si>
    <t>1,3941471.275,1522944.188,3343.656,</t>
  </si>
  <si>
    <t>Manually correct rotation and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</si>
</sst>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Calculations!$AH$23:$AH$58</c:f>
              <c:numCache>
                <c:formatCode>General</c:formatCode>
                <c:ptCount val="36"/>
                <c:pt idx="0">
                  <c:v>0</c:v>
                </c:pt>
                <c:pt idx="1">
                  <c:v>7.04</c:v>
                </c:pt>
                <c:pt idx="2">
                  <c:v>12.72</c:v>
                </c:pt>
                <c:pt idx="3">
                  <c:v>13.96</c:v>
                </c:pt>
                <c:pt idx="4">
                  <c:v>17.260000000000002</c:v>
                </c:pt>
                <c:pt idx="5">
                  <c:v>37.15</c:v>
                </c:pt>
                <c:pt idx="6">
                  <c:v>53.61</c:v>
                </c:pt>
                <c:pt idx="7">
                  <c:v>76.12</c:v>
                </c:pt>
                <c:pt idx="8">
                  <c:v>79.150000000000006</c:v>
                </c:pt>
                <c:pt idx="9">
                  <c:v>81.97</c:v>
                </c:pt>
                <c:pt idx="10">
                  <c:v>86.78</c:v>
                </c:pt>
                <c:pt idx="11">
                  <c:v>92.57</c:v>
                </c:pt>
                <c:pt idx="12">
                  <c:v>118.15</c:v>
                </c:pt>
                <c:pt idx="13">
                  <c:v>128.84</c:v>
                </c:pt>
              </c:numCache>
            </c:numRef>
          </c:xVal>
          <c:yVal>
            <c:numRef>
              <c:f>Calculations!$AI$23:$AI$58</c:f>
              <c:numCache>
                <c:formatCode>General</c:formatCode>
                <c:ptCount val="36"/>
                <c:pt idx="0">
                  <c:v>9.32</c:v>
                </c:pt>
                <c:pt idx="1">
                  <c:v>5.72</c:v>
                </c:pt>
                <c:pt idx="2">
                  <c:v>1.79</c:v>
                </c:pt>
                <c:pt idx="3">
                  <c:v>1.04</c:v>
                </c:pt>
                <c:pt idx="4">
                  <c:v>0.32</c:v>
                </c:pt>
                <c:pt idx="5">
                  <c:v>0.41</c:v>
                </c:pt>
                <c:pt idx="6">
                  <c:v>1.52</c:v>
                </c:pt>
                <c:pt idx="7">
                  <c:v>0</c:v>
                </c:pt>
                <c:pt idx="8">
                  <c:v>0.93</c:v>
                </c:pt>
                <c:pt idx="9">
                  <c:v>2.38</c:v>
                </c:pt>
                <c:pt idx="10">
                  <c:v>3.13</c:v>
                </c:pt>
                <c:pt idx="11">
                  <c:v>3.72</c:v>
                </c:pt>
                <c:pt idx="12">
                  <c:v>3.21</c:v>
                </c:pt>
                <c:pt idx="13">
                  <c:v>6.61</c:v>
                </c:pt>
                <c:pt idx="14">
                  <c:v>9.32</c:v>
                </c:pt>
                <c:pt idx="15">
                  <c:v>9.32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4624"/>
        <c:axId val="106237312"/>
      </c:scatterChart>
      <c:valAx>
        <c:axId val="106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37312"/>
        <c:crosses val="autoZero"/>
        <c:crossBetween val="midCat"/>
      </c:valAx>
      <c:valAx>
        <c:axId val="1062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Calculations!$R$23:$R$33</c:f>
              <c:numCache>
                <c:formatCode>0.00</c:formatCode>
                <c:ptCount val="11"/>
                <c:pt idx="0">
                  <c:v>4.1056562723081367</c:v>
                </c:pt>
                <c:pt idx="1">
                  <c:v>11.187013469364077</c:v>
                </c:pt>
                <c:pt idx="2">
                  <c:v>16.963003850926359</c:v>
                </c:pt>
                <c:pt idx="3">
                  <c:v>17.864578397321431</c:v>
                </c:pt>
                <c:pt idx="4">
                  <c:v>21.287761270957922</c:v>
                </c:pt>
                <c:pt idx="5">
                  <c:v>40.872040903581556</c:v>
                </c:pt>
                <c:pt idx="6">
                  <c:v>57.002168971978556</c:v>
                </c:pt>
                <c:pt idx="7">
                  <c:v>78.220166508968504</c:v>
                </c:pt>
                <c:pt idx="8">
                  <c:v>80.716339228064129</c:v>
                </c:pt>
                <c:pt idx="9">
                  <c:v>83.356445088708128</c:v>
                </c:pt>
                <c:pt idx="10">
                  <c:v>87.834187511010526</c:v>
                </c:pt>
              </c:numCache>
            </c:numRef>
          </c:xVal>
          <c:yVal>
            <c:numRef>
              <c:f>Calculations!$S$23:$S$33</c:f>
              <c:numCache>
                <c:formatCode>0.00</c:formatCode>
                <c:ptCount val="11"/>
                <c:pt idx="0">
                  <c:v>-2.1151563986806785</c:v>
                </c:pt>
                <c:pt idx="1">
                  <c:v>-2.9121455021435207</c:v>
                </c:pt>
                <c:pt idx="2">
                  <c:v>-3.3456058143715963</c:v>
                </c:pt>
                <c:pt idx="3">
                  <c:v>-4.7561791383069467</c:v>
                </c:pt>
                <c:pt idx="4">
                  <c:v>-4.7636884537326027</c:v>
                </c:pt>
                <c:pt idx="5">
                  <c:v>-8.5454388844200189</c:v>
                </c:pt>
                <c:pt idx="6">
                  <c:v>-11.994347343557335</c:v>
                </c:pt>
                <c:pt idx="7">
                  <c:v>-19.700771933762926</c:v>
                </c:pt>
                <c:pt idx="8">
                  <c:v>-22.029765019453961</c:v>
                </c:pt>
                <c:pt idx="9">
                  <c:v>-23.062831804233255</c:v>
                </c:pt>
                <c:pt idx="10">
                  <c:v>-24.920352661547469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4320"/>
        <c:axId val="122052992"/>
      </c:scatterChart>
      <c:valAx>
        <c:axId val="1081043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2052992"/>
        <c:crosses val="autoZero"/>
        <c:crossBetween val="midCat"/>
      </c:valAx>
      <c:valAx>
        <c:axId val="122052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10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Calculations!$Z$21:$Z$38</c:f>
              <c:numCache>
                <c:formatCode>0.00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1522948.7631271379</c:v>
                </c:pt>
                <c:pt idx="3">
                  <c:v>1522955.5421086464</c:v>
                </c:pt>
                <c:pt idx="4">
                  <c:v>1522961.0155626095</c:v>
                </c:pt>
                <c:pt idx="5">
                  <c:v>1522962.2164733179</c:v>
                </c:pt>
                <c:pt idx="6">
                  <c:v>1522965.3959984924</c:v>
                </c:pt>
                <c:pt idx="7">
                  <c:v>1522984.5511448062</c:v>
                </c:pt>
                <c:pt idx="8">
                  <c:v>1523000.4140621608</c:v>
                </c:pt>
                <c:pt idx="9">
                  <c:v>1523022.0985362185</c:v>
                </c:pt>
                <c:pt idx="10">
                  <c:v>1523025.01665286</c:v>
                </c:pt>
                <c:pt idx="11">
                  <c:v>1523027.7339431073</c:v>
                </c:pt>
                <c:pt idx="12">
                  <c:v>1523032.3697916893</c:v>
                </c:pt>
                <c:pt idx="13">
                  <c:v>1523037.9521296374</c:v>
                </c:pt>
                <c:pt idx="14">
                  <c:v>1523062.5974175136</c:v>
                </c:pt>
                <c:pt idx="15">
                  <c:v>1523072.8927230483</c:v>
                </c:pt>
                <c:pt idx="16">
                  <c:v>#N/A</c:v>
                </c:pt>
                <c:pt idx="17">
                  <c:v>#N/A</c:v>
                </c:pt>
              </c:numCache>
            </c:numRef>
          </c:xVal>
          <c:yVal>
            <c:numRef>
              <c:f>Calculations!$AA$21:$AA$38</c:f>
              <c:numCache>
                <c:formatCode>0.00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3941470.8485226245</c:v>
                </c:pt>
                <c:pt idx="3">
                  <c:v>3941468.963893116</c:v>
                </c:pt>
                <c:pt idx="4">
                  <c:v>3941467.4422142562</c:v>
                </c:pt>
                <c:pt idx="5">
                  <c:v>3941467.1083482089</c:v>
                </c:pt>
                <c:pt idx="6">
                  <c:v>3941466.2244061362</c:v>
                </c:pt>
                <c:pt idx="7">
                  <c:v>3941460.8990701782</c:v>
                </c:pt>
                <c:pt idx="8">
                  <c:v>3941456.4890091531</c:v>
                </c:pt>
                <c:pt idx="9">
                  <c:v>3941450.460492976</c:v>
                </c:pt>
                <c:pt idx="10">
                  <c:v>3941449.6492252769</c:v>
                </c:pt>
                <c:pt idx="11">
                  <c:v>3941448.8937894674</c:v>
                </c:pt>
                <c:pt idx="12">
                  <c:v>3941447.6049738801</c:v>
                </c:pt>
                <c:pt idx="13">
                  <c:v>3941446.0530241053</c:v>
                </c:pt>
                <c:pt idx="14">
                  <c:v>3941439.2013699561</c:v>
                </c:pt>
                <c:pt idx="15">
                  <c:v>3941436.3391646845</c:v>
                </c:pt>
                <c:pt idx="16">
                  <c:v>#N/A</c:v>
                </c:pt>
                <c:pt idx="1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83136"/>
        <c:axId val="156193152"/>
      </c:scatterChart>
      <c:valAx>
        <c:axId val="149883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6193152"/>
        <c:crosses val="autoZero"/>
        <c:crossBetween val="midCat"/>
      </c:valAx>
      <c:valAx>
        <c:axId val="156193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988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Calculations!$L$49:$L$75</c:f>
              <c:numCache>
                <c:formatCode>General</c:formatCode>
                <c:ptCount val="27"/>
              </c:numCache>
            </c:numRef>
          </c:xVal>
          <c:yVal>
            <c:numRef>
              <c:f>Calculations!$M$49:$M$75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(Calculations!$L$47:$L$48,Calculations!$L$76:$L$77)</c:f>
              <c:numCache>
                <c:formatCode>General</c:formatCode>
                <c:ptCount val="4"/>
              </c:numCache>
            </c:numRef>
          </c:xVal>
          <c:yVal>
            <c:numRef>
              <c:f>(Calculations!$M$47:$M$48,Calculations!$M$76:$M$77)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0208"/>
        <c:axId val="158717056"/>
      </c:scatterChart>
      <c:valAx>
        <c:axId val="1586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717056"/>
        <c:crosses val="autoZero"/>
        <c:crossBetween val="midCat"/>
      </c:valAx>
      <c:valAx>
        <c:axId val="158717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867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599262</xdr:colOff>
      <xdr:row>39</xdr:row>
      <xdr:rowOff>123749</xdr:rowOff>
    </xdr:from>
    <xdr:to>
      <xdr:col>34</xdr:col>
      <xdr:colOff>167833</xdr:colOff>
      <xdr:row>54</xdr:row>
      <xdr:rowOff>9449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705971</xdr:colOff>
      <xdr:row>40</xdr:row>
      <xdr:rowOff>8988</xdr:rowOff>
    </xdr:from>
    <xdr:to>
      <xdr:col>20</xdr:col>
      <xdr:colOff>654100</xdr:colOff>
      <xdr:row>54</xdr:row>
      <xdr:rowOff>85188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179294</xdr:colOff>
      <xdr:row>39</xdr:row>
      <xdr:rowOff>129988</xdr:rowOff>
    </xdr:from>
    <xdr:to>
      <xdr:col>27</xdr:col>
      <xdr:colOff>392206</xdr:colOff>
      <xdr:row>54</xdr:row>
      <xdr:rowOff>15688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77"/>
  <sheetViews>
    <sheetView tabSelected="1" topLeftCell="AB10" zoomScale="85" zoomScaleNormal="85" workbookViewId="0">
      <selection activeCell="AJ23" sqref="AJ23:AJ36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57" t="s">
        <v>84</v>
      </c>
      <c r="B1" s="58"/>
      <c r="C1" s="51">
        <v>40838</v>
      </c>
      <c r="D1" s="44"/>
      <c r="E1" s="44"/>
      <c r="F1" s="44"/>
      <c r="M1" s="63" t="s">
        <v>21</v>
      </c>
      <c r="N1" s="63"/>
      <c r="O1" s="63"/>
      <c r="P1" s="63"/>
      <c r="Q1" s="63"/>
      <c r="R1" s="22"/>
      <c r="W1" s="60" t="s">
        <v>34</v>
      </c>
      <c r="X1" s="60"/>
      <c r="Y1" s="60"/>
      <c r="Z1" s="2"/>
      <c r="AA1" s="60" t="s">
        <v>56</v>
      </c>
      <c r="AB1" s="60"/>
      <c r="AC1" s="60"/>
    </row>
    <row r="2" spans="1:29" x14ac:dyDescent="0.25">
      <c r="A2" s="57" t="s">
        <v>16</v>
      </c>
      <c r="B2" s="58"/>
      <c r="C2" s="38">
        <v>5.1529999999999996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57" t="s">
        <v>66</v>
      </c>
      <c r="B3" s="58"/>
      <c r="C3" s="38" t="s">
        <v>70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>SLOPE(yB,xB)</f>
        <v>-0.27801071684008366</v>
      </c>
    </row>
    <row r="4" spans="1:29" ht="18" x14ac:dyDescent="0.35">
      <c r="A4" s="57" t="s">
        <v>67</v>
      </c>
      <c r="B4" s="58"/>
      <c r="C4" s="38" t="s">
        <v>70</v>
      </c>
      <c r="D4" s="44"/>
      <c r="E4" s="44"/>
      <c r="F4" s="44"/>
      <c r="M4" s="22">
        <v>0</v>
      </c>
      <c r="N4" s="20">
        <f>VALUE(MID(C10,FIND(",",C10,3)+1,FIND(",",C10,15)-FIND(",",C10,3)-1))</f>
        <v>1522944.1880000001</v>
      </c>
      <c r="O4" s="20">
        <f>VALUE(MID(C10,FIND(",",C10,1)+1,FIND(",",C10,5)-FIND(",",C10,1)-1))</f>
        <v>3941471.2749999999</v>
      </c>
      <c r="P4" s="20">
        <f>VALUE(MID(C10,FIND(",",C10,17)+1,FIND(",",C10,27)-FIND(",",C10,17)-1))</f>
        <v>3343.6559999999999</v>
      </c>
      <c r="Q4" s="23"/>
      <c r="R4" s="22"/>
      <c r="W4" s="27"/>
      <c r="X4" s="20" t="e">
        <f ca="1">VALUE(OFFSET($P$3,MATCH($O$10,$M$4:$M$6,0),0))</f>
        <v>#VALUE!</v>
      </c>
      <c r="Y4" s="20" t="e">
        <f ca="1">OFFSET($P$3,MATCH($Q$10,$M$4:$M$6,0),0)</f>
        <v>#VALUE!</v>
      </c>
      <c r="Z4" s="2"/>
      <c r="AA4" s="26" t="s">
        <v>41</v>
      </c>
      <c r="AB4" s="26" t="s">
        <v>54</v>
      </c>
      <c r="AC4" s="28">
        <f>INTERCEPT(yB,xB)</f>
        <v>4364866.9258703189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 t="e">
        <f t="shared" ref="N5:N6" si="0">VALUE(MID(C11,FIND(",",C11,3)+1,FIND(",",C11,15)-FIND(",",C11,3)-1))</f>
        <v>#VALUE!</v>
      </c>
      <c r="O5" s="20" t="e">
        <f t="shared" ref="O5:O6" si="1">VALUE(MID(C11,FIND(",",C11,1)+1,FIND(",",C11,5)-FIND(",",C11,1)-1))</f>
        <v>#VALUE!</v>
      </c>
      <c r="P5" s="20" t="e">
        <f t="shared" ref="P5:P6" si="2">VALUE(MID(C11,FIND(",",C11,17)+1,FIND(",",C11,27)-FIND(",",C11,17)-1))</f>
        <v>#VALUE!</v>
      </c>
      <c r="Q5" s="24" t="e">
        <f>DEGREES(ATAN2(Old_Y1-Old_Y0,Old_X1-Old_X0))+IF(Old_X1-Old_X0&lt;0,360)</f>
        <v>#VALUE!</v>
      </c>
      <c r="R5" s="22"/>
      <c r="W5" s="21"/>
      <c r="X5" s="20">
        <f ca="1">VALUE(OFFSET($V$20,MATCH($O11,$A$21:$A$43,0),0))</f>
        <v>3341.9582840848434</v>
      </c>
      <c r="Y5" s="20">
        <f ca="1">OFFSET($V$20,MATCH($Q11,$A$21:$A$43,0),0)</f>
        <v>3343.2134093710333</v>
      </c>
      <c r="Z5" s="2"/>
      <c r="AA5" s="26"/>
      <c r="AB5" s="26"/>
      <c r="AC5" s="20"/>
    </row>
    <row r="6" spans="1:29" ht="18" x14ac:dyDescent="0.35">
      <c r="A6" s="59" t="s">
        <v>17</v>
      </c>
      <c r="B6" s="59"/>
      <c r="C6" s="55">
        <v>3</v>
      </c>
      <c r="D6" s="4"/>
      <c r="E6" s="44"/>
      <c r="F6" s="44"/>
      <c r="M6" s="22">
        <v>2</v>
      </c>
      <c r="N6" s="20" t="e">
        <f t="shared" si="0"/>
        <v>#VALUE!</v>
      </c>
      <c r="O6" s="20" t="e">
        <f t="shared" si="1"/>
        <v>#VALUE!</v>
      </c>
      <c r="P6" s="20" t="e">
        <f t="shared" si="2"/>
        <v>#VALUE!</v>
      </c>
      <c r="Q6" s="24" t="e">
        <f>DEGREES(ATAN2(Old_Y2-Old_Y0,Old_X2-Old_X0))+IF(Old_X2-Old_X0&lt;0,360)</f>
        <v>#VALUE!</v>
      </c>
      <c r="R6" s="22"/>
      <c r="W6" s="21"/>
      <c r="X6" s="20">
        <f ca="1">VALUE(OFFSET($V$20,MATCH($O12,$A$21:$A$53,0),0))</f>
        <v>3341.9376529826877</v>
      </c>
      <c r="Y6" s="20">
        <f ca="1">VALUE(OFFSET($V$20,MATCH($O12,$A$21:$A$53,0),0))</f>
        <v>3341.9376529826877</v>
      </c>
      <c r="Z6" s="5"/>
      <c r="AA6" s="26" t="s">
        <v>42</v>
      </c>
      <c r="AB6" s="21" t="s">
        <v>55</v>
      </c>
      <c r="AC6" s="20">
        <f>-1/mA</f>
        <v>3.5969836392142267</v>
      </c>
    </row>
    <row r="7" spans="1:29" x14ac:dyDescent="0.25">
      <c r="A7" s="59" t="s">
        <v>18</v>
      </c>
      <c r="B7" s="59"/>
      <c r="C7" s="55">
        <v>16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60" t="s">
        <v>24</v>
      </c>
      <c r="P8" s="60"/>
      <c r="Q8" s="60" t="s">
        <v>25</v>
      </c>
      <c r="R8" s="60"/>
      <c r="W8" s="21" t="s">
        <v>35</v>
      </c>
      <c r="X8" s="20" t="e">
        <f ca="1">X5-X4</f>
        <v>#VALUE!</v>
      </c>
      <c r="Y8" s="20" t="e">
        <f ca="1">Y5-Y4</f>
        <v>#VALUE!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 t="e">
        <f ca="1">X6-X4</f>
        <v>#VALUE!</v>
      </c>
      <c r="Y9" s="20" t="e">
        <f ca="1">Y6-Y4</f>
        <v>#VALUE!</v>
      </c>
      <c r="AA9" s="31" t="s">
        <v>49</v>
      </c>
      <c r="AB9" s="31"/>
      <c r="AC9" s="20">
        <f>AVERAGE(DfromL)</f>
        <v>1.0327132905840561</v>
      </c>
    </row>
    <row r="10" spans="1:29" s="16" customFormat="1" x14ac:dyDescent="0.25">
      <c r="A10" s="53"/>
      <c r="B10" s="48"/>
      <c r="C10" s="35" t="s">
        <v>88</v>
      </c>
      <c r="D10" s="36"/>
      <c r="E10" s="37"/>
      <c r="F10" s="47"/>
      <c r="M10" s="64" t="s">
        <v>22</v>
      </c>
      <c r="N10" s="64"/>
      <c r="O10" s="32">
        <v>1</v>
      </c>
      <c r="P10" s="20" t="e">
        <f ca="1">OFFSET($Q$3,MATCH($O$10,$M$4:$M$6,0),0)</f>
        <v>#VALUE!</v>
      </c>
      <c r="Q10" s="32">
        <v>2</v>
      </c>
      <c r="R10" s="20" t="e">
        <f ca="1">OFFSET($Q$3,MATCH($O$10,$M$4:$M$6,0),0)</f>
        <v>#VALUE!</v>
      </c>
      <c r="W10" s="22"/>
      <c r="X10" s="22"/>
      <c r="Y10" s="22"/>
      <c r="AA10" s="31" t="s">
        <v>50</v>
      </c>
      <c r="AB10" s="31"/>
      <c r="AC10" s="20">
        <f>_xlfn.STDEV.P(DfromL)</f>
        <v>0.7652747150570236</v>
      </c>
    </row>
    <row r="11" spans="1:29" s="16" customFormat="1" x14ac:dyDescent="0.25">
      <c r="A11" s="14"/>
      <c r="B11" s="48"/>
      <c r="C11" s="35"/>
      <c r="D11" s="36"/>
      <c r="E11" s="37"/>
      <c r="F11" s="47"/>
      <c r="M11" s="60" t="s">
        <v>31</v>
      </c>
      <c r="N11" s="60"/>
      <c r="O11" s="32">
        <v>1</v>
      </c>
      <c r="P11" s="20">
        <f ca="1">OFFSET($N$20,MATCH($O11,$A$21:$A$43,0),0)</f>
        <v>359.9997222222222</v>
      </c>
      <c r="Q11" s="32">
        <v>2</v>
      </c>
      <c r="R11" s="20">
        <f ca="1">OFFSET($N$20,MATCH($Q11,$A$21:$A$43,0),0)</f>
        <v>190.31777777777779</v>
      </c>
      <c r="W11" s="21" t="s">
        <v>37</v>
      </c>
      <c r="X11" s="20">
        <v>0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/>
      <c r="D12" s="36"/>
      <c r="E12" s="37"/>
      <c r="F12" s="47"/>
      <c r="M12" s="60" t="s">
        <v>30</v>
      </c>
      <c r="N12" s="60"/>
      <c r="O12" s="32">
        <v>17</v>
      </c>
      <c r="P12" s="20">
        <f ca="1">OFFSET($N$20,MATCH($O12,$A$21:$A$53,0),0)</f>
        <v>359.95777777777778</v>
      </c>
      <c r="Q12" s="32">
        <v>18</v>
      </c>
      <c r="R12" s="20">
        <f ca="1">OFFSET($N$20,MATCH($Q12,$A$21:$A$43,0),0)</f>
        <v>190.22027777777777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>MIN(Zs)</f>
        <v>3334.2204603796858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60" t="s">
        <v>32</v>
      </c>
      <c r="N14" s="60"/>
      <c r="O14" s="22"/>
      <c r="P14" s="20" t="e">
        <f ca="1">P10-P11+IF(P11&gt;P10,360)</f>
        <v>#VALUE!</v>
      </c>
      <c r="Q14" s="20"/>
      <c r="R14" s="20" t="e">
        <f ca="1">R10-R11+IF(R11&gt;R10,360)</f>
        <v>#VALUE!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60" t="s">
        <v>33</v>
      </c>
      <c r="N15" s="60"/>
      <c r="O15" s="22"/>
      <c r="P15" s="20" t="e">
        <f ca="1">P10-P12+IF(P12&gt;P10,360)</f>
        <v>#VALUE!</v>
      </c>
      <c r="Q15" s="20"/>
      <c r="R15" s="20" t="e">
        <f ca="1">R10-R12+IF(R12&gt;R10,360)</f>
        <v>#VALUE!</v>
      </c>
      <c r="W15" s="20"/>
      <c r="X15" s="20"/>
      <c r="Y15" s="20"/>
      <c r="AA15" s="22"/>
      <c r="AB15" s="22"/>
      <c r="AC15" s="22"/>
    </row>
    <row r="16" spans="1:29" x14ac:dyDescent="0.25">
      <c r="A16" s="56" t="s">
        <v>89</v>
      </c>
      <c r="B16" s="48"/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60" t="s">
        <v>39</v>
      </c>
      <c r="N17" s="60"/>
      <c r="O17" s="20">
        <v>0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61" t="s">
        <v>20</v>
      </c>
      <c r="U19" s="61"/>
      <c r="X19" s="62" t="s">
        <v>45</v>
      </c>
      <c r="Y19" s="62"/>
      <c r="Z19" s="62" t="s">
        <v>46</v>
      </c>
      <c r="AA19" s="62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81</v>
      </c>
      <c r="H20" s="12" t="s">
        <v>75</v>
      </c>
      <c r="I20" s="12" t="s">
        <v>80</v>
      </c>
      <c r="J20" s="12" t="s">
        <v>79</v>
      </c>
      <c r="K20" s="3" t="s">
        <v>73</v>
      </c>
      <c r="L20" s="3" t="s">
        <v>74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78</v>
      </c>
      <c r="R20" s="19" t="s">
        <v>76</v>
      </c>
      <c r="S20" s="19" t="s">
        <v>77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71</v>
      </c>
      <c r="AF20" s="19" t="s">
        <v>72</v>
      </c>
      <c r="AG20" s="19"/>
      <c r="AH20" s="19"/>
      <c r="AI20" s="19"/>
    </row>
    <row r="21" spans="1:36" x14ac:dyDescent="0.25">
      <c r="A21" s="44">
        <v>1</v>
      </c>
      <c r="B21" s="48">
        <v>14.999988425925926</v>
      </c>
      <c r="C21" s="48">
        <v>3.7899652777777777</v>
      </c>
      <c r="D21" s="44">
        <v>116.161</v>
      </c>
      <c r="E21" s="44">
        <v>4.9062000000000001</v>
      </c>
      <c r="F21" s="49" t="s">
        <v>83</v>
      </c>
      <c r="G21" s="43">
        <f>C21*24</f>
        <v>90.959166666666661</v>
      </c>
      <c r="H21" s="43">
        <f>RADIANS(G21)</f>
        <v>1.5875369432036088</v>
      </c>
      <c r="I21" s="43">
        <f t="shared" ref="I21:I33" si="3">B21*24</f>
        <v>359.9997222222222</v>
      </c>
      <c r="J21" s="39">
        <f>RADIANS(I21)</f>
        <v>6.2831804590427751</v>
      </c>
      <c r="K21" s="39">
        <f>D21*SIN(H21)</f>
        <v>116.14472342235656</v>
      </c>
      <c r="L21" s="15">
        <f>D21*COS(H21)</f>
        <v>-1.9445159151563522</v>
      </c>
      <c r="M21" s="13"/>
      <c r="N21" s="16">
        <f t="shared" ref="N21:N33" si="4">I21+M21</f>
        <v>359.9997222222222</v>
      </c>
      <c r="O21" s="16">
        <f>$O$17</f>
        <v>0</v>
      </c>
      <c r="P21" s="16">
        <f>SUM(N21,O21)</f>
        <v>359.9997222222222</v>
      </c>
      <c r="Q21" s="16">
        <f>RADIANS(P21)</f>
        <v>6.2831804590427751</v>
      </c>
      <c r="R21" s="16">
        <f t="shared" ref="R21:R33" si="5">K21*SIN(Q21)</f>
        <v>-5.630855090674998E-4</v>
      </c>
      <c r="S21" s="16">
        <f t="shared" ref="S21:S33" si="6">K21*COS(Q21)</f>
        <v>116.1447234209916</v>
      </c>
      <c r="T21" s="13">
        <f t="shared" ref="T21:T33" si="7">Old_X0+R21</f>
        <v>1522944.1874369145</v>
      </c>
      <c r="U21" s="13">
        <f t="shared" ref="U21:U33" si="8">Old_Y0+S21</f>
        <v>3941587.4197234209</v>
      </c>
      <c r="V21" s="16">
        <f t="shared" ref="V21:V33" si="9">Old_Z0+HI+L21-E21</f>
        <v>3341.9582840848434</v>
      </c>
      <c r="W21" s="16">
        <f>IF(ISNUMBER(T21),V21+dZ,"")</f>
        <v>3341.9582840848434</v>
      </c>
      <c r="X21" s="16" t="str">
        <f t="shared" ref="X21:X38" si="10">IF(AND(A21&gt;=CS_Start,A21&lt;=CS_End),IF(OR(LEFT(UPPER(F21))="D"),"",T21),"")</f>
        <v/>
      </c>
      <c r="Y21" s="16" t="str">
        <f>IF(ISNUMBER(X21),U21,"")</f>
        <v/>
      </c>
      <c r="Z21" s="16" t="e">
        <f t="shared" ref="Z21:Z38" si="11">IF(X21="",NA(),VALUE((-mB*X21+Y21-bA)/(mA-mB)))</f>
        <v>#N/A</v>
      </c>
      <c r="AA21" s="16" t="e">
        <f t="shared" ref="AA21:AA38" si="12">IF(ISNA(Z21),NA(),VALUE(mA*Z21+bA))</f>
        <v>#N/A</v>
      </c>
      <c r="AB21" s="16" t="str">
        <f>IF(ISNUMBER(X21),SQRT((X21-Z21)^2+(Y21-AA21)^2),"")</f>
        <v/>
      </c>
      <c r="AC21" s="16" t="str">
        <f ca="1">IF(ISNUMBER(Z21),SQRT(($Z21-OFFSET($Z$20,MATCH(CS_Start,$A$21:$A$43,0),0))^2+($AA21-OFFSET($AA$20,MATCH(CS_Start,$A$21:$A$43,0),0))^2),"")</f>
        <v/>
      </c>
      <c r="AD21" s="16" t="str">
        <f t="shared" ref="AD21:AD23" si="13">IF(ISNUMBER(X21),W21-Min_Z,"")</f>
        <v/>
      </c>
    </row>
    <row r="22" spans="1:36" x14ac:dyDescent="0.25">
      <c r="A22" s="44">
        <v>2</v>
      </c>
      <c r="B22" s="48">
        <v>7.9299074074074083</v>
      </c>
      <c r="C22" s="48">
        <v>3.7651504629629629</v>
      </c>
      <c r="D22" s="44">
        <v>108.631</v>
      </c>
      <c r="E22" s="44">
        <v>4.9062000000000001</v>
      </c>
      <c r="F22" s="49" t="s">
        <v>85</v>
      </c>
      <c r="G22" s="43">
        <f t="shared" ref="G22:G33" si="14">C22*24</f>
        <v>90.363611111111112</v>
      </c>
      <c r="H22" s="43">
        <f t="shared" ref="H22:H33" si="15">RADIANS(G22)</f>
        <v>1.5771425378806205</v>
      </c>
      <c r="I22" s="43">
        <f t="shared" si="3"/>
        <v>190.31777777777779</v>
      </c>
      <c r="J22" s="39">
        <f t="shared" ref="J22:J33" si="16">RADIANS(I22)</f>
        <v>3.3216718473011193</v>
      </c>
      <c r="K22" s="39">
        <f t="shared" ref="K22:K33" si="17">D22*SIN(H22)</f>
        <v>108.62881248343228</v>
      </c>
      <c r="L22" s="15">
        <f t="shared" ref="L22:L33" si="18">D22*COS(H22)</f>
        <v>-0.68939062896643122</v>
      </c>
      <c r="M22" s="13"/>
      <c r="N22" s="16">
        <f t="shared" si="4"/>
        <v>190.31777777777779</v>
      </c>
      <c r="O22" s="16">
        <f t="shared" ref="O22:O38" si="19">$O$17</f>
        <v>0</v>
      </c>
      <c r="P22" s="16">
        <f t="shared" ref="P22:P33" si="20">SUM(N22,O22)</f>
        <v>190.31777777777779</v>
      </c>
      <c r="Q22" s="16">
        <f t="shared" ref="Q22:Q33" si="21">RADIANS(P22)</f>
        <v>3.3216718473011193</v>
      </c>
      <c r="R22" s="16">
        <f t="shared" si="5"/>
        <v>-19.456233630318568</v>
      </c>
      <c r="S22" s="16">
        <f t="shared" si="6"/>
        <v>-106.8722315406727</v>
      </c>
      <c r="T22" s="13">
        <f t="shared" si="7"/>
        <v>1522924.7317663697</v>
      </c>
      <c r="U22" s="13">
        <f t="shared" si="8"/>
        <v>3941364.4027684592</v>
      </c>
      <c r="V22" s="16">
        <f t="shared" si="9"/>
        <v>3343.2134093710333</v>
      </c>
      <c r="W22" s="16">
        <f t="shared" ref="W22:W33" si="22">IF(ISNUMBER(T22),V22+dZ,"")</f>
        <v>3343.2134093710333</v>
      </c>
      <c r="X22" s="47" t="str">
        <f t="shared" si="10"/>
        <v/>
      </c>
      <c r="Y22" s="47" t="str">
        <f t="shared" ref="Y22:Y35" si="23">IF(ISNUMBER(X22),U22,"")</f>
        <v/>
      </c>
      <c r="Z22" s="47" t="e">
        <f t="shared" si="11"/>
        <v>#N/A</v>
      </c>
      <c r="AA22" s="47" t="e">
        <f t="shared" si="12"/>
        <v>#N/A</v>
      </c>
      <c r="AB22" s="16" t="str">
        <f t="shared" ref="AB22:AB23" si="24">IF(ISNUMBER(X22),SQRT((X22-Z22)^2+(Y22-AA22)^2),"")</f>
        <v/>
      </c>
      <c r="AC22" s="16" t="str">
        <f ca="1">IF(ISNUMBER(Z22),SQRT(($Z22-OFFSET($Z$20,MATCH(CS_Start,$A$21:$A$43,0),0))^2+($AA22-OFFSET($AA$20,MATCH(CS_Start,$A$21:$A$43,0),0))^2),"")</f>
        <v/>
      </c>
      <c r="AD22" s="16" t="str">
        <f t="shared" si="13"/>
        <v/>
      </c>
    </row>
    <row r="23" spans="1:36" x14ac:dyDescent="0.25">
      <c r="A23" s="44">
        <v>3</v>
      </c>
      <c r="B23" s="48">
        <v>4.8856944444444439</v>
      </c>
      <c r="C23" s="48">
        <v>3.9390972222222218</v>
      </c>
      <c r="D23" s="44">
        <v>4.633</v>
      </c>
      <c r="E23" s="44">
        <v>4.9062000000000001</v>
      </c>
      <c r="F23" s="44"/>
      <c r="G23" s="43">
        <f t="shared" si="14"/>
        <v>94.538333333333327</v>
      </c>
      <c r="H23" s="43">
        <f t="shared" si="15"/>
        <v>1.6500051860145726</v>
      </c>
      <c r="I23" s="43">
        <f t="shared" si="3"/>
        <v>117.25666666666666</v>
      </c>
      <c r="J23" s="39">
        <f t="shared" si="16"/>
        <v>2.0465149032468175</v>
      </c>
      <c r="K23" s="39">
        <f t="shared" si="17"/>
        <v>4.6184737757426921</v>
      </c>
      <c r="L23" s="15">
        <f t="shared" si="18"/>
        <v>-0.36659102931883203</v>
      </c>
      <c r="M23" s="13"/>
      <c r="N23" s="16">
        <f t="shared" si="4"/>
        <v>117.25666666666666</v>
      </c>
      <c r="O23" s="16">
        <f t="shared" si="19"/>
        <v>0</v>
      </c>
      <c r="P23" s="16">
        <f t="shared" si="20"/>
        <v>117.25666666666666</v>
      </c>
      <c r="Q23" s="16">
        <f t="shared" si="21"/>
        <v>2.0465149032468175</v>
      </c>
      <c r="R23" s="16">
        <f t="shared" si="5"/>
        <v>4.1056562723081367</v>
      </c>
      <c r="S23" s="16">
        <f t="shared" si="6"/>
        <v>-2.1151563986806785</v>
      </c>
      <c r="T23" s="13">
        <f t="shared" si="7"/>
        <v>1522948.2936562723</v>
      </c>
      <c r="U23" s="13">
        <f t="shared" si="8"/>
        <v>3941469.1598436013</v>
      </c>
      <c r="V23" s="16">
        <f t="shared" si="9"/>
        <v>3343.5362089706809</v>
      </c>
      <c r="W23" s="16">
        <f t="shared" si="22"/>
        <v>3343.5362089706809</v>
      </c>
      <c r="X23" s="47">
        <f t="shared" si="10"/>
        <v>1522948.2936562723</v>
      </c>
      <c r="Y23" s="47">
        <f t="shared" si="23"/>
        <v>3941469.1598436013</v>
      </c>
      <c r="Z23" s="47">
        <f t="shared" si="11"/>
        <v>1522948.7631271379</v>
      </c>
      <c r="AA23" s="47">
        <f t="shared" si="12"/>
        <v>3941470.8485226245</v>
      </c>
      <c r="AB23" s="16">
        <f t="shared" si="24"/>
        <v>1.7527235198220079</v>
      </c>
      <c r="AC23" s="16">
        <f ca="1">IF(ISNUMBER(Z23),SQRT(($Z23-OFFSET($Z$20,MATCH(CS_Start,$A$21:$A$43,0),0))^2+($AA23-OFFSET($AA$20,MATCH(CS_Start,$A$21:$A$43,0),0))^2),"")</f>
        <v>0</v>
      </c>
      <c r="AD23" s="16">
        <f t="shared" si="13"/>
        <v>9.3157485909950992</v>
      </c>
      <c r="AE23" s="47">
        <f ca="1">ROUND(AC23,2)</f>
        <v>0</v>
      </c>
      <c r="AF23" s="47">
        <f t="shared" ref="AF23:AF38" si="25">ROUND(AD23,2)</f>
        <v>9.32</v>
      </c>
      <c r="AH23" s="44">
        <v>0</v>
      </c>
      <c r="AI23" s="2">
        <f ca="1">OFFSET($AF$22,MATCH(AH23,$AE$23:$AE$51,0),0)</f>
        <v>9.32</v>
      </c>
      <c r="AJ23" s="2" t="str">
        <f t="shared" ref="AJ23:AJ38" ca="1" si="26">CONCATENATE(AH23,",",AI23)</f>
        <v>0,9.32</v>
      </c>
    </row>
    <row r="24" spans="1:36" x14ac:dyDescent="0.25">
      <c r="A24" s="44">
        <v>4</v>
      </c>
      <c r="B24" s="48">
        <v>4.3579629629629624</v>
      </c>
      <c r="C24" s="48">
        <v>4.5382986111111112</v>
      </c>
      <c r="D24" s="44">
        <v>12.22</v>
      </c>
      <c r="E24" s="44">
        <v>4.9062000000000001</v>
      </c>
      <c r="F24" s="44"/>
      <c r="G24" s="43">
        <f t="shared" si="14"/>
        <v>108.91916666666667</v>
      </c>
      <c r="H24" s="43">
        <f t="shared" si="15"/>
        <v>1.9009980768617905</v>
      </c>
      <c r="I24" s="43">
        <f t="shared" si="3"/>
        <v>104.5911111111111</v>
      </c>
      <c r="J24" s="39">
        <f t="shared" si="16"/>
        <v>1.8254592572081136</v>
      </c>
      <c r="K24" s="39">
        <f t="shared" si="17"/>
        <v>11.559838311559034</v>
      </c>
      <c r="L24" s="15">
        <f t="shared" si="18"/>
        <v>-3.9621380857577391</v>
      </c>
      <c r="M24" s="13"/>
      <c r="N24" s="16">
        <f t="shared" si="4"/>
        <v>104.5911111111111</v>
      </c>
      <c r="O24" s="16">
        <f t="shared" si="19"/>
        <v>0</v>
      </c>
      <c r="P24" s="16">
        <f t="shared" si="20"/>
        <v>104.5911111111111</v>
      </c>
      <c r="Q24" s="16">
        <f t="shared" si="21"/>
        <v>1.8254592572081136</v>
      </c>
      <c r="R24" s="16">
        <f t="shared" si="5"/>
        <v>11.187013469364077</v>
      </c>
      <c r="S24" s="16">
        <f t="shared" si="6"/>
        <v>-2.9121455021435207</v>
      </c>
      <c r="T24" s="13">
        <f t="shared" si="7"/>
        <v>1522955.3750134695</v>
      </c>
      <c r="U24" s="13">
        <f t="shared" si="8"/>
        <v>3941468.362854498</v>
      </c>
      <c r="V24" s="16">
        <f t="shared" si="9"/>
        <v>3339.9406619142419</v>
      </c>
      <c r="W24" s="16">
        <f t="shared" si="22"/>
        <v>3339.9406619142419</v>
      </c>
      <c r="X24" s="47">
        <f t="shared" si="10"/>
        <v>1522955.3750134695</v>
      </c>
      <c r="Y24" s="47">
        <f t="shared" si="23"/>
        <v>3941468.362854498</v>
      </c>
      <c r="Z24" s="47">
        <f t="shared" si="11"/>
        <v>1522955.5421086464</v>
      </c>
      <c r="AA24" s="47">
        <f t="shared" si="12"/>
        <v>3941468.963893116</v>
      </c>
      <c r="AB24" s="47">
        <f t="shared" ref="AB24:AB33" si="27">IF(ISNUMBER(X24),SQRT((X24-Z24)^2+(Y24-AA24)^2),"")</f>
        <v>0.62383348617910683</v>
      </c>
      <c r="AC24" s="47">
        <f ca="1">IF(ISNUMBER(Z24),SQRT(($Z24-OFFSET($Z$20,MATCH(CS_Start,$A$21:$A$43,0),0))^2+($AA24-OFFSET($AA$20,MATCH(CS_Start,$A$21:$A$43,0),0))^2),"")</f>
        <v>7.0360797804033339</v>
      </c>
      <c r="AD24" s="47">
        <f t="shared" ref="AD24:AD33" si="28">IF(ISNUMBER(X24),W24-Min_Z,"")</f>
        <v>5.720201534556054</v>
      </c>
      <c r="AE24" s="47">
        <f t="shared" ref="AE24:AE38" ca="1" si="29">ROUND(AC24,2)</f>
        <v>7.04</v>
      </c>
      <c r="AF24" s="47">
        <f t="shared" si="25"/>
        <v>5.72</v>
      </c>
      <c r="AH24" s="44">
        <v>7.04</v>
      </c>
      <c r="AI24" s="44">
        <f ca="1">OFFSET($AF$22,MATCH(AH24,$AE$23:$AE$51,0),0)</f>
        <v>5.72</v>
      </c>
      <c r="AJ24" s="2" t="str">
        <f t="shared" ca="1" si="26"/>
        <v>7.04,5.72</v>
      </c>
    </row>
    <row r="25" spans="1:36" x14ac:dyDescent="0.25">
      <c r="A25" s="44">
        <v>5</v>
      </c>
      <c r="B25" s="48">
        <v>4.214884259259259</v>
      </c>
      <c r="C25" s="48">
        <v>4.7726041666666665</v>
      </c>
      <c r="D25" s="44">
        <v>19.007000000000001</v>
      </c>
      <c r="E25" s="44">
        <v>4.9062000000000001</v>
      </c>
      <c r="F25" s="44"/>
      <c r="G25" s="43">
        <f t="shared" si="14"/>
        <v>114.54249999999999</v>
      </c>
      <c r="H25" s="43">
        <f t="shared" si="15"/>
        <v>1.9991437584656047</v>
      </c>
      <c r="I25" s="43">
        <f t="shared" si="3"/>
        <v>101.15722222222222</v>
      </c>
      <c r="J25" s="39">
        <f t="shared" si="16"/>
        <v>1.7655265899493526</v>
      </c>
      <c r="K25" s="39">
        <f t="shared" si="17"/>
        <v>17.289782471497421</v>
      </c>
      <c r="L25" s="15">
        <f t="shared" si="18"/>
        <v>-7.8949015882593887</v>
      </c>
      <c r="M25" s="13"/>
      <c r="N25" s="16">
        <f t="shared" si="4"/>
        <v>101.15722222222222</v>
      </c>
      <c r="O25" s="16">
        <f t="shared" si="19"/>
        <v>0</v>
      </c>
      <c r="P25" s="16">
        <f t="shared" si="20"/>
        <v>101.15722222222222</v>
      </c>
      <c r="Q25" s="16">
        <f t="shared" si="21"/>
        <v>1.7655265899493526</v>
      </c>
      <c r="R25" s="16">
        <f t="shared" si="5"/>
        <v>16.963003850926359</v>
      </c>
      <c r="S25" s="16">
        <f t="shared" si="6"/>
        <v>-3.3456058143715963</v>
      </c>
      <c r="T25" s="13">
        <f t="shared" si="7"/>
        <v>1522961.1510038511</v>
      </c>
      <c r="U25" s="13">
        <f t="shared" si="8"/>
        <v>3941467.9293941855</v>
      </c>
      <c r="V25" s="16">
        <f t="shared" si="9"/>
        <v>3336.0078984117404</v>
      </c>
      <c r="W25" s="16">
        <f t="shared" si="22"/>
        <v>3336.0078984117404</v>
      </c>
      <c r="X25" s="47">
        <f t="shared" si="10"/>
        <v>1522961.1510038511</v>
      </c>
      <c r="Y25" s="47">
        <f t="shared" si="23"/>
        <v>3941467.9293941855</v>
      </c>
      <c r="Z25" s="47">
        <f t="shared" si="11"/>
        <v>1522961.0155626095</v>
      </c>
      <c r="AA25" s="47">
        <f t="shared" si="12"/>
        <v>3941467.4422142562</v>
      </c>
      <c r="AB25" s="47">
        <f t="shared" si="27"/>
        <v>0.50565661620749458</v>
      </c>
      <c r="AC25" s="47">
        <f ca="1">IF(ISNUMBER(Z25),SQRT(($Z25-OFFSET($Z$20,MATCH(CS_Start,$A$21:$A$43,0),0))^2+($AA25-OFFSET($AA$20,MATCH(CS_Start,$A$21:$A$43,0),0))^2),"")</f>
        <v>12.717118843767116</v>
      </c>
      <c r="AD25" s="47">
        <f t="shared" si="28"/>
        <v>1.7874380320545242</v>
      </c>
      <c r="AE25" s="47">
        <f t="shared" ca="1" si="29"/>
        <v>12.72</v>
      </c>
      <c r="AF25" s="47">
        <f t="shared" si="25"/>
        <v>1.79</v>
      </c>
      <c r="AH25" s="44">
        <v>12.72</v>
      </c>
      <c r="AI25" s="44">
        <f ca="1">OFFSET($AF$22,MATCH(AH25,$AE$23:$AE$51,0),0)</f>
        <v>1.79</v>
      </c>
      <c r="AJ25" s="2" t="str">
        <f t="shared" ca="1" si="26"/>
        <v>12.72,1.79</v>
      </c>
    </row>
    <row r="26" spans="1:36" x14ac:dyDescent="0.25">
      <c r="A26" s="44">
        <v>6</v>
      </c>
      <c r="B26" s="48">
        <v>4.3711805555555552</v>
      </c>
      <c r="C26" s="48">
        <v>4.7944212962962967</v>
      </c>
      <c r="D26" s="44">
        <v>20.408999999999999</v>
      </c>
      <c r="E26" s="44">
        <v>4.9062000000000001</v>
      </c>
      <c r="F26" s="49" t="s">
        <v>82</v>
      </c>
      <c r="G26" s="43">
        <f t="shared" si="14"/>
        <v>115.06611111111113</v>
      </c>
      <c r="H26" s="43">
        <f t="shared" si="15"/>
        <v>2.0082824963545201</v>
      </c>
      <c r="I26" s="43">
        <f t="shared" si="3"/>
        <v>104.90833333333333</v>
      </c>
      <c r="J26" s="39">
        <f t="shared" si="16"/>
        <v>1.8309958294463846</v>
      </c>
      <c r="K26" s="39">
        <f t="shared" si="17"/>
        <v>18.486871052444481</v>
      </c>
      <c r="L26" s="15">
        <f t="shared" si="18"/>
        <v>-8.6465530525342995</v>
      </c>
      <c r="M26" s="13"/>
      <c r="N26" s="16">
        <f t="shared" si="4"/>
        <v>104.90833333333333</v>
      </c>
      <c r="O26" s="16">
        <f t="shared" si="19"/>
        <v>0</v>
      </c>
      <c r="P26" s="16">
        <f t="shared" si="20"/>
        <v>104.90833333333333</v>
      </c>
      <c r="Q26" s="16">
        <f t="shared" si="21"/>
        <v>1.8309958294463846</v>
      </c>
      <c r="R26" s="16">
        <f t="shared" si="5"/>
        <v>17.864578397321431</v>
      </c>
      <c r="S26" s="16">
        <f t="shared" si="6"/>
        <v>-4.7561791383069467</v>
      </c>
      <c r="T26" s="13">
        <f t="shared" si="7"/>
        <v>1522962.0525783973</v>
      </c>
      <c r="U26" s="13">
        <f t="shared" si="8"/>
        <v>3941466.5188208618</v>
      </c>
      <c r="V26" s="16">
        <f t="shared" si="9"/>
        <v>3335.2562469474656</v>
      </c>
      <c r="W26" s="16">
        <f t="shared" si="22"/>
        <v>3335.2562469474656</v>
      </c>
      <c r="X26" s="47">
        <f t="shared" si="10"/>
        <v>1522962.0525783973</v>
      </c>
      <c r="Y26" s="47">
        <f t="shared" si="23"/>
        <v>3941466.5188208618</v>
      </c>
      <c r="Z26" s="47">
        <f t="shared" si="11"/>
        <v>1522962.2164733179</v>
      </c>
      <c r="AA26" s="47">
        <f t="shared" si="12"/>
        <v>3941467.1083482089</v>
      </c>
      <c r="AB26" s="47">
        <f t="shared" si="27"/>
        <v>0.61188564128446099</v>
      </c>
      <c r="AC26" s="47">
        <f ca="1">IF(ISNUMBER(Z26),SQRT(($Z26-OFFSET($Z$20,MATCH(CS_Start,$A$21:$A$43,0),0))^2+($AA26-OFFSET($AA$20,MATCH(CS_Start,$A$21:$A$43,0),0))^2),"")</f>
        <v>13.963575047181758</v>
      </c>
      <c r="AD26" s="47">
        <f t="shared" si="28"/>
        <v>1.0357865677797236</v>
      </c>
      <c r="AE26" s="47">
        <f t="shared" ca="1" si="29"/>
        <v>13.96</v>
      </c>
      <c r="AF26" s="47">
        <f t="shared" si="25"/>
        <v>1.04</v>
      </c>
      <c r="AH26" s="44">
        <v>13.96</v>
      </c>
      <c r="AI26" s="44">
        <f ca="1">OFFSET($AF$22,MATCH(AH26,$AE$23:$AE$51,0),0)</f>
        <v>1.04</v>
      </c>
      <c r="AJ26" s="2" t="str">
        <f t="shared" ca="1" si="26"/>
        <v>13.96,1.04</v>
      </c>
    </row>
    <row r="27" spans="1:36" x14ac:dyDescent="0.25">
      <c r="A27" s="44">
        <v>7</v>
      </c>
      <c r="B27" s="48">
        <v>4.2755671296296294</v>
      </c>
      <c r="C27" s="48">
        <v>4.7175000000000002</v>
      </c>
      <c r="D27" s="44">
        <v>23.736999999999998</v>
      </c>
      <c r="E27" s="44">
        <v>4.9062000000000001</v>
      </c>
      <c r="F27" s="49" t="s">
        <v>87</v>
      </c>
      <c r="G27" s="43">
        <f t="shared" si="14"/>
        <v>113.22</v>
      </c>
      <c r="H27" s="43">
        <f t="shared" si="15"/>
        <v>1.97606177910798</v>
      </c>
      <c r="I27" s="43">
        <f t="shared" si="3"/>
        <v>102.61361111111111</v>
      </c>
      <c r="J27" s="39">
        <f t="shared" si="16"/>
        <v>1.7909453712499257</v>
      </c>
      <c r="K27" s="39">
        <f t="shared" si="17"/>
        <v>21.814250104313039</v>
      </c>
      <c r="L27" s="15">
        <f t="shared" si="18"/>
        <v>-9.3586142877286278</v>
      </c>
      <c r="M27" s="13"/>
      <c r="N27" s="16">
        <f t="shared" si="4"/>
        <v>102.61361111111111</v>
      </c>
      <c r="O27" s="16">
        <f t="shared" si="19"/>
        <v>0</v>
      </c>
      <c r="P27" s="16">
        <f t="shared" si="20"/>
        <v>102.61361111111111</v>
      </c>
      <c r="Q27" s="16">
        <f t="shared" si="21"/>
        <v>1.7909453712499257</v>
      </c>
      <c r="R27" s="16">
        <f t="shared" si="5"/>
        <v>21.287761270957922</v>
      </c>
      <c r="S27" s="16">
        <f t="shared" si="6"/>
        <v>-4.7636884537326027</v>
      </c>
      <c r="T27" s="13">
        <f t="shared" si="7"/>
        <v>1522965.4757612711</v>
      </c>
      <c r="U27" s="13">
        <f t="shared" si="8"/>
        <v>3941466.511311546</v>
      </c>
      <c r="V27" s="16">
        <f t="shared" si="9"/>
        <v>3334.5441857122714</v>
      </c>
      <c r="W27" s="16">
        <f t="shared" si="22"/>
        <v>3334.5441857122714</v>
      </c>
      <c r="X27" s="47">
        <f t="shared" si="10"/>
        <v>1522965.4757612711</v>
      </c>
      <c r="Y27" s="47">
        <f t="shared" si="23"/>
        <v>3941466.511311546</v>
      </c>
      <c r="Z27" s="47">
        <f t="shared" si="11"/>
        <v>1522965.3959984924</v>
      </c>
      <c r="AA27" s="47">
        <f t="shared" si="12"/>
        <v>3941466.2244061362</v>
      </c>
      <c r="AB27" s="47">
        <f t="shared" si="27"/>
        <v>0.29778652592403232</v>
      </c>
      <c r="AC27" s="47">
        <f ca="1">IF(ISNUMBER(Z27),SQRT(($Z27-OFFSET($Z$20,MATCH(CS_Start,$A$21:$A$43,0),0))^2+($AA27-OFFSET($AA$20,MATCH(CS_Start,$A$21:$A$43,0),0))^2),"")</f>
        <v>17.263686245736281</v>
      </c>
      <c r="AD27" s="47">
        <f t="shared" si="28"/>
        <v>0.32372533258558178</v>
      </c>
      <c r="AE27" s="47">
        <f t="shared" ca="1" si="29"/>
        <v>17.260000000000002</v>
      </c>
      <c r="AF27" s="47">
        <f t="shared" si="25"/>
        <v>0.32</v>
      </c>
      <c r="AH27" s="44">
        <v>17.260000000000002</v>
      </c>
      <c r="AI27" s="44">
        <f ca="1">OFFSET($AF$22,MATCH(AH27,$AE$23:$AE$51,0),0)</f>
        <v>0.32</v>
      </c>
      <c r="AJ27" s="2" t="str">
        <f t="shared" ca="1" si="26"/>
        <v>17.26,0.32</v>
      </c>
    </row>
    <row r="28" spans="1:36" x14ac:dyDescent="0.25">
      <c r="A28" s="44">
        <v>8</v>
      </c>
      <c r="B28" s="48">
        <v>4.2420486111111115</v>
      </c>
      <c r="C28" s="48">
        <v>4.2719328703703701</v>
      </c>
      <c r="D28" s="44">
        <v>42.774000000000001</v>
      </c>
      <c r="E28" s="44">
        <v>4.9062000000000001</v>
      </c>
      <c r="F28" s="49" t="s">
        <v>87</v>
      </c>
      <c r="G28" s="43">
        <f t="shared" si="14"/>
        <v>102.52638888888887</v>
      </c>
      <c r="H28" s="43">
        <f t="shared" si="15"/>
        <v>1.7894230562912417</v>
      </c>
      <c r="I28" s="43">
        <f t="shared" si="3"/>
        <v>101.80916666666667</v>
      </c>
      <c r="J28" s="39">
        <f t="shared" si="16"/>
        <v>1.7769051670449936</v>
      </c>
      <c r="K28" s="39">
        <f t="shared" si="17"/>
        <v>41.755817000166594</v>
      </c>
      <c r="L28" s="15">
        <f t="shared" si="18"/>
        <v>-9.2772206316654113</v>
      </c>
      <c r="M28" s="13"/>
      <c r="N28" s="16">
        <f t="shared" si="4"/>
        <v>101.80916666666667</v>
      </c>
      <c r="O28" s="16">
        <f t="shared" si="19"/>
        <v>0</v>
      </c>
      <c r="P28" s="16">
        <f t="shared" si="20"/>
        <v>101.80916666666667</v>
      </c>
      <c r="Q28" s="16">
        <f t="shared" si="21"/>
        <v>1.7769051670449936</v>
      </c>
      <c r="R28" s="16">
        <f t="shared" si="5"/>
        <v>40.872040903581556</v>
      </c>
      <c r="S28" s="16">
        <f t="shared" si="6"/>
        <v>-8.5454388844200189</v>
      </c>
      <c r="T28" s="13">
        <f t="shared" si="7"/>
        <v>1522985.0600409037</v>
      </c>
      <c r="U28" s="13">
        <f t="shared" si="8"/>
        <v>3941462.7295611156</v>
      </c>
      <c r="V28" s="16">
        <f t="shared" si="9"/>
        <v>3334.6255793683345</v>
      </c>
      <c r="W28" s="16">
        <f t="shared" si="22"/>
        <v>3334.6255793683345</v>
      </c>
      <c r="X28" s="47">
        <f t="shared" si="10"/>
        <v>1522985.0600409037</v>
      </c>
      <c r="Y28" s="47">
        <f t="shared" si="23"/>
        <v>3941462.7295611156</v>
      </c>
      <c r="Z28" s="47">
        <f t="shared" si="11"/>
        <v>1522984.5511448062</v>
      </c>
      <c r="AA28" s="47">
        <f t="shared" si="12"/>
        <v>3941460.8990701782</v>
      </c>
      <c r="AB28" s="47">
        <f t="shared" si="27"/>
        <v>1.8999137638857839</v>
      </c>
      <c r="AC28" s="47">
        <f ca="1">IF(ISNUMBER(Z28),SQRT(($Z28-OFFSET($Z$20,MATCH(CS_Start,$A$21:$A$43,0),0))^2+($AA28-OFFSET($AA$20,MATCH(CS_Start,$A$21:$A$43,0),0))^2),"")</f>
        <v>37.145306737293012</v>
      </c>
      <c r="AD28" s="47">
        <f t="shared" si="28"/>
        <v>0.40511898864860996</v>
      </c>
      <c r="AE28" s="47">
        <f t="shared" ca="1" si="29"/>
        <v>37.15</v>
      </c>
      <c r="AF28" s="47">
        <f t="shared" si="25"/>
        <v>0.41</v>
      </c>
      <c r="AH28" s="44">
        <v>37.15</v>
      </c>
      <c r="AI28" s="44">
        <f ca="1">OFFSET($AF$22,MATCH(AH28,$AE$23:$AE$51,0),0)</f>
        <v>0.41</v>
      </c>
      <c r="AJ28" s="2" t="str">
        <f t="shared" ca="1" si="26"/>
        <v>37.15,0.41</v>
      </c>
    </row>
    <row r="29" spans="1:36" x14ac:dyDescent="0.25">
      <c r="A29" s="44">
        <v>9</v>
      </c>
      <c r="B29" s="48">
        <v>4.2451157407407409</v>
      </c>
      <c r="C29" s="48">
        <v>4.0825000000000005</v>
      </c>
      <c r="D29" s="44">
        <v>58.82</v>
      </c>
      <c r="E29" s="44">
        <v>4.9062000000000001</v>
      </c>
      <c r="F29" s="49" t="s">
        <v>86</v>
      </c>
      <c r="G29" s="43">
        <f t="shared" si="14"/>
        <v>97.980000000000018</v>
      </c>
      <c r="H29" s="43">
        <f t="shared" si="15"/>
        <v>1.7100736011040445</v>
      </c>
      <c r="I29" s="43">
        <f t="shared" si="3"/>
        <v>101.88277777777779</v>
      </c>
      <c r="J29" s="39">
        <f t="shared" si="16"/>
        <v>1.7781899232999341</v>
      </c>
      <c r="K29" s="39">
        <f t="shared" si="17"/>
        <v>58.250421764206095</v>
      </c>
      <c r="L29" s="15">
        <f t="shared" si="18"/>
        <v>-8.1658290633655302</v>
      </c>
      <c r="M29" s="13"/>
      <c r="N29" s="16">
        <f t="shared" si="4"/>
        <v>101.88277777777779</v>
      </c>
      <c r="O29" s="16">
        <f t="shared" si="19"/>
        <v>0</v>
      </c>
      <c r="P29" s="16">
        <f t="shared" si="20"/>
        <v>101.88277777777779</v>
      </c>
      <c r="Q29" s="16">
        <f t="shared" si="21"/>
        <v>1.7781899232999341</v>
      </c>
      <c r="R29" s="16">
        <f t="shared" si="5"/>
        <v>57.002168971978556</v>
      </c>
      <c r="S29" s="16">
        <f t="shared" si="6"/>
        <v>-11.994347343557335</v>
      </c>
      <c r="T29" s="13">
        <f t="shared" si="7"/>
        <v>1523001.1901689721</v>
      </c>
      <c r="U29" s="13">
        <f t="shared" si="8"/>
        <v>3941459.2806526562</v>
      </c>
      <c r="V29" s="16">
        <f t="shared" si="9"/>
        <v>3335.7369709366344</v>
      </c>
      <c r="W29" s="16">
        <f t="shared" si="22"/>
        <v>3335.7369709366344</v>
      </c>
      <c r="X29" s="47">
        <f t="shared" si="10"/>
        <v>1523001.1901689721</v>
      </c>
      <c r="Y29" s="47">
        <f t="shared" si="23"/>
        <v>3941459.2806526562</v>
      </c>
      <c r="Z29" s="47">
        <f t="shared" si="11"/>
        <v>1523000.4140621608</v>
      </c>
      <c r="AA29" s="47">
        <f t="shared" si="12"/>
        <v>3941456.4890091531</v>
      </c>
      <c r="AB29" s="47">
        <f t="shared" si="27"/>
        <v>2.8975188060071306</v>
      </c>
      <c r="AC29" s="47">
        <f ca="1">IF(ISNUMBER(Z29),SQRT(($Z29-OFFSET($Z$20,MATCH(CS_Start,$A$21:$A$43,0),0))^2+($AA29-OFFSET($AA$20,MATCH(CS_Start,$A$21:$A$43,0),0))^2),"")</f>
        <v>53.609837864612231</v>
      </c>
      <c r="AD29" s="47">
        <f t="shared" si="28"/>
        <v>1.5165105569485604</v>
      </c>
      <c r="AE29" s="47">
        <f t="shared" ca="1" si="29"/>
        <v>53.61</v>
      </c>
      <c r="AF29" s="47">
        <f t="shared" si="25"/>
        <v>1.52</v>
      </c>
      <c r="AH29" s="44">
        <v>53.61</v>
      </c>
      <c r="AI29" s="44">
        <f ca="1">OFFSET($AF$22,MATCH(AH29,$AE$23:$AE$51,0),0)</f>
        <v>1.52</v>
      </c>
      <c r="AJ29" s="2" t="str">
        <f t="shared" ca="1" si="26"/>
        <v>53.61,1.52</v>
      </c>
    </row>
    <row r="30" spans="1:36" x14ac:dyDescent="0.25">
      <c r="A30" s="44">
        <v>10</v>
      </c>
      <c r="B30" s="48">
        <v>4.3390277777777779</v>
      </c>
      <c r="C30" s="48">
        <v>4.035196759259259</v>
      </c>
      <c r="D30" s="44">
        <v>81.242000000000004</v>
      </c>
      <c r="E30" s="44">
        <v>4.9062000000000001</v>
      </c>
      <c r="F30" s="49" t="s">
        <v>87</v>
      </c>
      <c r="G30" s="43">
        <f t="shared" si="14"/>
        <v>96.844722222222217</v>
      </c>
      <c r="H30" s="43">
        <f t="shared" si="15"/>
        <v>1.6902592659570972</v>
      </c>
      <c r="I30" s="43">
        <f t="shared" si="3"/>
        <v>104.13666666666667</v>
      </c>
      <c r="J30" s="39">
        <f t="shared" si="16"/>
        <v>1.8175277053851617</v>
      </c>
      <c r="K30" s="39">
        <f t="shared" si="17"/>
        <v>80.662970832203413</v>
      </c>
      <c r="L30" s="15">
        <f t="shared" si="18"/>
        <v>-9.6823396203139964</v>
      </c>
      <c r="M30" s="13"/>
      <c r="N30" s="16">
        <f t="shared" si="4"/>
        <v>104.13666666666667</v>
      </c>
      <c r="O30" s="16">
        <f t="shared" si="19"/>
        <v>0</v>
      </c>
      <c r="P30" s="16">
        <f t="shared" si="20"/>
        <v>104.13666666666667</v>
      </c>
      <c r="Q30" s="16">
        <f t="shared" si="21"/>
        <v>1.8175277053851617</v>
      </c>
      <c r="R30" s="16">
        <f t="shared" si="5"/>
        <v>78.220166508968504</v>
      </c>
      <c r="S30" s="16">
        <f t="shared" si="6"/>
        <v>-19.700771933762926</v>
      </c>
      <c r="T30" s="13">
        <f t="shared" si="7"/>
        <v>1523022.4081665091</v>
      </c>
      <c r="U30" s="13">
        <f t="shared" si="8"/>
        <v>3941451.574228066</v>
      </c>
      <c r="V30" s="16">
        <f t="shared" si="9"/>
        <v>3334.2204603796858</v>
      </c>
      <c r="W30" s="16">
        <f t="shared" si="22"/>
        <v>3334.2204603796858</v>
      </c>
      <c r="X30" s="47">
        <f t="shared" si="10"/>
        <v>1523022.4081665091</v>
      </c>
      <c r="Y30" s="47">
        <f t="shared" si="23"/>
        <v>3941451.574228066</v>
      </c>
      <c r="Z30" s="47">
        <f t="shared" si="11"/>
        <v>1523022.0985362185</v>
      </c>
      <c r="AA30" s="47">
        <f t="shared" si="12"/>
        <v>3941450.460492976</v>
      </c>
      <c r="AB30" s="47">
        <f t="shared" si="27"/>
        <v>1.1559743801570626</v>
      </c>
      <c r="AC30" s="47">
        <f ca="1">IF(ISNUMBER(Z30),SQRT(($Z30-OFFSET($Z$20,MATCH(CS_Start,$A$21:$A$43,0),0))^2+($AA30-OFFSET($AA$20,MATCH(CS_Start,$A$21:$A$43,0),0))^2),"")</f>
        <v>76.11671286890099</v>
      </c>
      <c r="AD30" s="47">
        <f t="shared" si="28"/>
        <v>0</v>
      </c>
      <c r="AE30" s="47">
        <f t="shared" ca="1" si="29"/>
        <v>76.12</v>
      </c>
      <c r="AF30" s="47">
        <f t="shared" si="25"/>
        <v>0</v>
      </c>
      <c r="AH30" s="44">
        <v>76.12</v>
      </c>
      <c r="AI30" s="44">
        <f ca="1">OFFSET($AF$22,MATCH(AH30,$AE$23:$AE$51,0),0)</f>
        <v>0</v>
      </c>
      <c r="AJ30" s="2" t="str">
        <f t="shared" ca="1" si="26"/>
        <v>76.12,0</v>
      </c>
    </row>
    <row r="31" spans="1:36" x14ac:dyDescent="0.25">
      <c r="A31" s="44">
        <v>11</v>
      </c>
      <c r="B31" s="48">
        <v>4.3860763888888892</v>
      </c>
      <c r="C31" s="48">
        <v>3.9987847222222221</v>
      </c>
      <c r="D31" s="44">
        <v>84.125</v>
      </c>
      <c r="E31" s="44">
        <v>4.9062000000000001</v>
      </c>
      <c r="F31" s="49" t="s">
        <v>82</v>
      </c>
      <c r="G31" s="43">
        <f t="shared" si="14"/>
        <v>95.970833333333331</v>
      </c>
      <c r="H31" s="43">
        <f t="shared" si="15"/>
        <v>1.6750070275493913</v>
      </c>
      <c r="I31" s="43">
        <f t="shared" si="3"/>
        <v>105.26583333333335</v>
      </c>
      <c r="J31" s="39">
        <f t="shared" si="16"/>
        <v>1.8372353815222646</v>
      </c>
      <c r="K31" s="39">
        <f t="shared" si="17"/>
        <v>83.668619955107914</v>
      </c>
      <c r="L31" s="15">
        <f t="shared" si="18"/>
        <v>-8.7508662318491108</v>
      </c>
      <c r="M31" s="13"/>
      <c r="N31" s="16">
        <f t="shared" si="4"/>
        <v>105.26583333333335</v>
      </c>
      <c r="O31" s="16">
        <f t="shared" si="19"/>
        <v>0</v>
      </c>
      <c r="P31" s="16">
        <f t="shared" si="20"/>
        <v>105.26583333333335</v>
      </c>
      <c r="Q31" s="16">
        <f t="shared" si="21"/>
        <v>1.8372353815222646</v>
      </c>
      <c r="R31" s="16">
        <f t="shared" si="5"/>
        <v>80.716339228064129</v>
      </c>
      <c r="S31" s="16">
        <f t="shared" si="6"/>
        <v>-22.029765019453961</v>
      </c>
      <c r="T31" s="13">
        <f t="shared" si="7"/>
        <v>1523024.9043392281</v>
      </c>
      <c r="U31" s="13">
        <f t="shared" si="8"/>
        <v>3941449.2452349802</v>
      </c>
      <c r="V31" s="16">
        <f t="shared" si="9"/>
        <v>3335.1519337681507</v>
      </c>
      <c r="W31" s="16">
        <f t="shared" si="22"/>
        <v>3335.1519337681507</v>
      </c>
      <c r="X31" s="47">
        <f t="shared" si="10"/>
        <v>1523024.9043392281</v>
      </c>
      <c r="Y31" s="47">
        <f t="shared" si="23"/>
        <v>3941449.2452349802</v>
      </c>
      <c r="Z31" s="47">
        <f t="shared" si="11"/>
        <v>1523025.01665286</v>
      </c>
      <c r="AA31" s="47">
        <f t="shared" si="12"/>
        <v>3941449.6492252769</v>
      </c>
      <c r="AB31" s="47">
        <f t="shared" si="27"/>
        <v>0.41931195034294544</v>
      </c>
      <c r="AC31" s="47">
        <f ca="1">IF(ISNUMBER(Z31),SQRT(($Z31-OFFSET($Z$20,MATCH(CS_Start,$A$21:$A$43,0),0))^2+($AA31-OFFSET($AA$20,MATCH(CS_Start,$A$21:$A$43,0),0))^2),"")</f>
        <v>79.145501407709006</v>
      </c>
      <c r="AD31" s="47">
        <f t="shared" si="28"/>
        <v>0.93147338846483763</v>
      </c>
      <c r="AE31" s="47">
        <f t="shared" ca="1" si="29"/>
        <v>79.150000000000006</v>
      </c>
      <c r="AF31" s="47">
        <f t="shared" si="25"/>
        <v>0.93</v>
      </c>
      <c r="AH31" s="44">
        <v>79.150000000000006</v>
      </c>
      <c r="AI31" s="44">
        <f ca="1">OFFSET($AF$22,MATCH(AH31,$AE$23:$AE$51,0),0)</f>
        <v>0.93</v>
      </c>
      <c r="AJ31" s="2" t="str">
        <f t="shared" ca="1" si="26"/>
        <v>79.15,0.93</v>
      </c>
    </row>
    <row r="32" spans="1:36" x14ac:dyDescent="0.25">
      <c r="A32" s="44">
        <v>12</v>
      </c>
      <c r="B32" s="48">
        <v>4.3943981481481478</v>
      </c>
      <c r="C32" s="48">
        <v>3.9511458333333334</v>
      </c>
      <c r="D32" s="44">
        <v>86.796000000000006</v>
      </c>
      <c r="E32" s="44">
        <v>4.9062000000000001</v>
      </c>
      <c r="F32" s="44"/>
      <c r="G32" s="43">
        <f t="shared" si="14"/>
        <v>94.827500000000001</v>
      </c>
      <c r="H32" s="43">
        <f t="shared" si="15"/>
        <v>1.6550520964349229</v>
      </c>
      <c r="I32" s="43">
        <f t="shared" si="3"/>
        <v>105.46555555555554</v>
      </c>
      <c r="J32" s="39">
        <f t="shared" si="16"/>
        <v>1.8407211918894415</v>
      </c>
      <c r="K32" s="39">
        <f t="shared" si="17"/>
        <v>86.488098306398015</v>
      </c>
      <c r="L32" s="15">
        <f t="shared" si="18"/>
        <v>-7.3044142368045222</v>
      </c>
      <c r="M32" s="13"/>
      <c r="N32" s="16">
        <f t="shared" si="4"/>
        <v>105.46555555555554</v>
      </c>
      <c r="O32" s="16">
        <f t="shared" si="19"/>
        <v>0</v>
      </c>
      <c r="P32" s="16">
        <f t="shared" si="20"/>
        <v>105.46555555555554</v>
      </c>
      <c r="Q32" s="16">
        <f t="shared" si="21"/>
        <v>1.8407211918894415</v>
      </c>
      <c r="R32" s="16">
        <f t="shared" si="5"/>
        <v>83.356445088708128</v>
      </c>
      <c r="S32" s="16">
        <f t="shared" si="6"/>
        <v>-23.062831804233255</v>
      </c>
      <c r="T32" s="13">
        <f t="shared" si="7"/>
        <v>1523027.5444450888</v>
      </c>
      <c r="U32" s="13">
        <f t="shared" si="8"/>
        <v>3941448.2121681958</v>
      </c>
      <c r="V32" s="16">
        <f t="shared" si="9"/>
        <v>3336.5983857631954</v>
      </c>
      <c r="W32" s="16">
        <f t="shared" si="22"/>
        <v>3336.5983857631954</v>
      </c>
      <c r="X32" s="47">
        <f t="shared" si="10"/>
        <v>1523027.5444450888</v>
      </c>
      <c r="Y32" s="47">
        <f t="shared" si="23"/>
        <v>3941448.2121681958</v>
      </c>
      <c r="Z32" s="47">
        <f t="shared" si="11"/>
        <v>1523027.7339431073</v>
      </c>
      <c r="AA32" s="47">
        <f t="shared" si="12"/>
        <v>3941448.8937894674</v>
      </c>
      <c r="AB32" s="47">
        <f t="shared" si="27"/>
        <v>0.70747230120534832</v>
      </c>
      <c r="AC32" s="47">
        <f ca="1">IF(ISNUMBER(Z32),SQRT(($Z32-OFFSET($Z$20,MATCH(CS_Start,$A$21:$A$43,0),0))^2+($AA32-OFFSET($AA$20,MATCH(CS_Start,$A$21:$A$43,0),0))^2),"")</f>
        <v>81.965847051503616</v>
      </c>
      <c r="AD32" s="47">
        <f t="shared" si="28"/>
        <v>2.3779253835095915</v>
      </c>
      <c r="AE32" s="47">
        <f t="shared" ca="1" si="29"/>
        <v>81.97</v>
      </c>
      <c r="AF32" s="47">
        <f t="shared" si="25"/>
        <v>2.38</v>
      </c>
      <c r="AH32" s="44">
        <v>81.97</v>
      </c>
      <c r="AI32" s="44">
        <f ca="1">OFFSET($AF$22,MATCH(AH32,$AE$23:$AE$51,0),0)</f>
        <v>2.38</v>
      </c>
      <c r="AJ32" s="44" t="str">
        <f t="shared" ca="1" si="26"/>
        <v>81.97,2.38</v>
      </c>
    </row>
    <row r="33" spans="1:36" x14ac:dyDescent="0.25">
      <c r="A33" s="44">
        <v>13</v>
      </c>
      <c r="B33" s="48">
        <v>4.4099884259259259</v>
      </c>
      <c r="C33" s="48">
        <v>3.9211111111111112</v>
      </c>
      <c r="D33" s="44">
        <v>91.536000000000001</v>
      </c>
      <c r="E33" s="44">
        <v>4.9062000000000001</v>
      </c>
      <c r="F33" s="44"/>
      <c r="G33" s="43">
        <f t="shared" si="14"/>
        <v>94.106666666666669</v>
      </c>
      <c r="H33" s="43">
        <f t="shared" si="15"/>
        <v>1.6424711814101305</v>
      </c>
      <c r="I33" s="43">
        <f t="shared" si="3"/>
        <v>105.83972222222222</v>
      </c>
      <c r="J33" s="39">
        <f t="shared" si="16"/>
        <v>1.8472516321739874</v>
      </c>
      <c r="K33" s="39">
        <f t="shared" si="17"/>
        <v>91.300977390689823</v>
      </c>
      <c r="L33" s="15">
        <f t="shared" si="18"/>
        <v>-6.5552134598918661</v>
      </c>
      <c r="M33" s="13"/>
      <c r="N33" s="16">
        <f t="shared" si="4"/>
        <v>105.83972222222222</v>
      </c>
      <c r="O33" s="16">
        <f t="shared" si="19"/>
        <v>0</v>
      </c>
      <c r="P33" s="16">
        <f t="shared" si="20"/>
        <v>105.83972222222222</v>
      </c>
      <c r="Q33" s="16">
        <f t="shared" si="21"/>
        <v>1.8472516321739874</v>
      </c>
      <c r="R33" s="16">
        <f t="shared" si="5"/>
        <v>87.834187511010526</v>
      </c>
      <c r="S33" s="16">
        <f t="shared" si="6"/>
        <v>-24.920352661547469</v>
      </c>
      <c r="T33" s="13">
        <f t="shared" si="7"/>
        <v>1523032.0221875112</v>
      </c>
      <c r="U33" s="13">
        <f t="shared" si="8"/>
        <v>3941446.3546473384</v>
      </c>
      <c r="V33" s="16">
        <f t="shared" si="9"/>
        <v>3337.3475865401078</v>
      </c>
      <c r="W33" s="16">
        <f t="shared" si="22"/>
        <v>3337.3475865401078</v>
      </c>
      <c r="X33" s="47">
        <f t="shared" si="10"/>
        <v>1523032.0221875112</v>
      </c>
      <c r="Y33" s="47">
        <f t="shared" si="23"/>
        <v>3941446.3546473384</v>
      </c>
      <c r="Z33" s="47">
        <f t="shared" si="11"/>
        <v>1523032.3697916893</v>
      </c>
      <c r="AA33" s="47">
        <f t="shared" si="12"/>
        <v>3941447.6049738801</v>
      </c>
      <c r="AB33" s="47">
        <f t="shared" si="27"/>
        <v>1.2977461714737271</v>
      </c>
      <c r="AC33" s="47">
        <f ca="1">IF(ISNUMBER(Z33),SQRT(($Z33-OFFSET($Z$20,MATCH(CS_Start,$A$21:$A$43,0),0))^2+($AA33-OFFSET($AA$20,MATCH(CS_Start,$A$21:$A$43,0),0))^2),"")</f>
        <v>86.777513882603003</v>
      </c>
      <c r="AD33" s="47">
        <f t="shared" si="28"/>
        <v>3.1271261604219944</v>
      </c>
      <c r="AE33" s="47">
        <f t="shared" ca="1" si="29"/>
        <v>86.78</v>
      </c>
      <c r="AF33" s="47">
        <f t="shared" si="25"/>
        <v>3.13</v>
      </c>
      <c r="AH33" s="44">
        <v>86.78</v>
      </c>
      <c r="AI33" s="44">
        <f ca="1">OFFSET($AF$22,MATCH(AH33,$AE$23:$AE$51,0),0)</f>
        <v>3.13</v>
      </c>
      <c r="AJ33" s="44" t="str">
        <f t="shared" ca="1" si="26"/>
        <v>86.78,3.13</v>
      </c>
    </row>
    <row r="34" spans="1:36" x14ac:dyDescent="0.25">
      <c r="A34" s="44">
        <v>14</v>
      </c>
      <c r="B34" s="48">
        <v>4.4200462962962961</v>
      </c>
      <c r="C34" s="48">
        <v>3.8964004629629634</v>
      </c>
      <c r="D34" s="44">
        <v>97.281000000000006</v>
      </c>
      <c r="E34" s="44">
        <v>4.9062000000000001</v>
      </c>
      <c r="F34" s="44"/>
      <c r="G34" s="43">
        <f t="shared" ref="G34:G35" si="30">C34*24</f>
        <v>93.513611111111118</v>
      </c>
      <c r="H34" s="43">
        <f t="shared" ref="H34:H35" si="31">RADIANS(G34)</f>
        <v>1.6321204093184418</v>
      </c>
      <c r="I34" s="43">
        <f t="shared" ref="I34:I35" si="32">B34*24</f>
        <v>106.08111111111111</v>
      </c>
      <c r="J34" s="49">
        <f t="shared" ref="J34:J35" si="33">RADIANS(I34)</f>
        <v>1.8514646630628293</v>
      </c>
      <c r="K34" s="49">
        <f t="shared" ref="K34:K35" si="34">D34*SIN(H34)</f>
        <v>97.09813775683628</v>
      </c>
      <c r="L34" s="46">
        <f t="shared" ref="L34:L35" si="35">D34*COS(H34)</f>
        <v>-5.9619296502430723</v>
      </c>
      <c r="M34" s="45"/>
      <c r="N34" s="47">
        <f t="shared" ref="N34:N35" si="36">I34+M34</f>
        <v>106.08111111111111</v>
      </c>
      <c r="O34" s="47">
        <f t="shared" si="19"/>
        <v>0</v>
      </c>
      <c r="P34" s="47">
        <f t="shared" ref="P34:P35" si="37">SUM(N34,O34)</f>
        <v>106.08111111111111</v>
      </c>
      <c r="Q34" s="47">
        <f t="shared" ref="Q34:Q35" si="38">RADIANS(P34)</f>
        <v>1.8514646630628293</v>
      </c>
      <c r="R34" s="47">
        <f t="shared" ref="R34:R35" si="39">K34*SIN(Q34)</f>
        <v>93.298738620684233</v>
      </c>
      <c r="S34" s="47">
        <f t="shared" ref="S34:S35" si="40">K34*COS(Q34)</f>
        <v>-26.895979767147374</v>
      </c>
      <c r="T34" s="45">
        <f t="shared" ref="T34:T35" si="41">Old_X0+R34</f>
        <v>1523037.4867386208</v>
      </c>
      <c r="U34" s="45">
        <f t="shared" ref="U34:U35" si="42">Old_Y0+S34</f>
        <v>3941444.3790202327</v>
      </c>
      <c r="V34" s="47">
        <f t="shared" ref="V34:V35" si="43">Old_Z0+HI+L34-E34</f>
        <v>3337.9408703497566</v>
      </c>
      <c r="W34" s="47">
        <f t="shared" ref="W34:W35" si="44">IF(ISNUMBER(T34),V34+dZ,"")</f>
        <v>3337.9408703497566</v>
      </c>
      <c r="X34" s="47">
        <f t="shared" si="10"/>
        <v>1523037.4867386208</v>
      </c>
      <c r="Y34" s="47">
        <f t="shared" si="23"/>
        <v>3941444.3790202327</v>
      </c>
      <c r="Z34" s="47">
        <f t="shared" si="11"/>
        <v>1523037.9521296374</v>
      </c>
      <c r="AA34" s="47">
        <f t="shared" si="12"/>
        <v>3941446.0530241053</v>
      </c>
      <c r="AB34" s="47">
        <f t="shared" ref="AB34:AB35" si="45">IF(ISNUMBER(X34),SQRT((X34-Z34)^2+(Y34-AA34)^2),"")</f>
        <v>1.7374918024635242</v>
      </c>
      <c r="AC34" s="47">
        <f ca="1">IF(ISNUMBER(Z34),SQRT(($Z34-OFFSET($Z$20,MATCH(CS_Start,$A$21:$A$43,0),0))^2+($AA34-OFFSET($AA$20,MATCH(CS_Start,$A$21:$A$43,0),0))^2),"")</f>
        <v>92.571566442740789</v>
      </c>
      <c r="AD34" s="47">
        <f t="shared" ref="AD34:AD35" si="46">IF(ISNUMBER(X34),W34-Min_Z,"")</f>
        <v>3.7204099700707047</v>
      </c>
      <c r="AE34" s="47">
        <f t="shared" ca="1" si="29"/>
        <v>92.57</v>
      </c>
      <c r="AF34" s="47">
        <f t="shared" si="25"/>
        <v>3.72</v>
      </c>
      <c r="AH34" s="44">
        <v>92.57</v>
      </c>
      <c r="AI34" s="44">
        <f ca="1">OFFSET($AF$22,MATCH(AH34,$AE$23:$AE$51,0),0)</f>
        <v>3.72</v>
      </c>
      <c r="AJ34" s="44" t="str">
        <f t="shared" ca="1" si="26"/>
        <v>92.57,3.72</v>
      </c>
    </row>
    <row r="35" spans="1:36" x14ac:dyDescent="0.25">
      <c r="A35" s="44">
        <v>15</v>
      </c>
      <c r="B35" s="48">
        <v>4.372314814814815</v>
      </c>
      <c r="C35" s="48">
        <v>3.8757986111111111</v>
      </c>
      <c r="D35" s="44">
        <v>122.851</v>
      </c>
      <c r="E35" s="44">
        <v>4.9062000000000001</v>
      </c>
      <c r="F35" s="44"/>
      <c r="G35" s="43">
        <f t="shared" si="30"/>
        <v>93.019166666666663</v>
      </c>
      <c r="H35" s="43">
        <f t="shared" si="31"/>
        <v>1.623490725794692</v>
      </c>
      <c r="I35" s="43">
        <f t="shared" si="32"/>
        <v>104.93555555555557</v>
      </c>
      <c r="J35" s="49">
        <f t="shared" si="33"/>
        <v>1.8314709468538721</v>
      </c>
      <c r="K35" s="49">
        <f t="shared" si="34"/>
        <v>122.68047929598477</v>
      </c>
      <c r="L35" s="46">
        <f t="shared" si="35"/>
        <v>-6.470564172269154</v>
      </c>
      <c r="M35" s="45"/>
      <c r="N35" s="47">
        <f t="shared" si="36"/>
        <v>104.93555555555557</v>
      </c>
      <c r="O35" s="47">
        <f t="shared" si="19"/>
        <v>0</v>
      </c>
      <c r="P35" s="47">
        <f t="shared" si="37"/>
        <v>104.93555555555557</v>
      </c>
      <c r="Q35" s="47">
        <f t="shared" si="38"/>
        <v>1.8314709468538721</v>
      </c>
      <c r="R35" s="47">
        <f t="shared" si="39"/>
        <v>118.53588204385824</v>
      </c>
      <c r="S35" s="47">
        <f t="shared" si="40"/>
        <v>-31.618739196512465</v>
      </c>
      <c r="T35" s="45">
        <f t="shared" si="41"/>
        <v>1523062.723882044</v>
      </c>
      <c r="U35" s="45">
        <f t="shared" si="42"/>
        <v>3941439.6562608033</v>
      </c>
      <c r="V35" s="47">
        <f t="shared" si="43"/>
        <v>3337.4322358277309</v>
      </c>
      <c r="W35" s="47">
        <f t="shared" si="44"/>
        <v>3337.4322358277309</v>
      </c>
      <c r="X35" s="47">
        <f t="shared" si="10"/>
        <v>1523062.723882044</v>
      </c>
      <c r="Y35" s="47">
        <f t="shared" si="23"/>
        <v>3941439.6562608033</v>
      </c>
      <c r="Z35" s="47">
        <f t="shared" si="11"/>
        <v>1523062.5974175136</v>
      </c>
      <c r="AA35" s="47">
        <f t="shared" si="12"/>
        <v>3941439.2013699561</v>
      </c>
      <c r="AB35" s="47">
        <f t="shared" si="45"/>
        <v>0.47214294478585755</v>
      </c>
      <c r="AC35" s="47">
        <f ca="1">IF(ISNUMBER(Z35),SQRT(($Z35-OFFSET($Z$20,MATCH(CS_Start,$A$21:$A$43,0),0))^2+($AA35-OFFSET($AA$20,MATCH(CS_Start,$A$21:$A$43,0),0))^2),"")</f>
        <v>118.15154648734766</v>
      </c>
      <c r="AD35" s="47">
        <f t="shared" si="46"/>
        <v>3.2117754480450458</v>
      </c>
      <c r="AE35" s="47">
        <f t="shared" ca="1" si="29"/>
        <v>118.15</v>
      </c>
      <c r="AF35" s="47">
        <f t="shared" si="25"/>
        <v>3.21</v>
      </c>
      <c r="AH35" s="44">
        <v>118.15</v>
      </c>
      <c r="AI35" s="44">
        <f ca="1">OFFSET($AF$22,MATCH(AH35,$AE$23:$AE$51,0),0)</f>
        <v>3.21</v>
      </c>
      <c r="AJ35" s="44" t="str">
        <f t="shared" ca="1" si="26"/>
        <v>118.15,3.21</v>
      </c>
    </row>
    <row r="36" spans="1:36" x14ac:dyDescent="0.25">
      <c r="A36" s="44">
        <v>16</v>
      </c>
      <c r="B36" s="48">
        <v>4.3841782407407406</v>
      </c>
      <c r="C36" s="48">
        <v>3.8050578703703706</v>
      </c>
      <c r="D36" s="44">
        <v>133.39699999999999</v>
      </c>
      <c r="E36" s="44">
        <v>4.9062000000000001</v>
      </c>
      <c r="F36" s="44"/>
      <c r="G36" s="43">
        <f t="shared" ref="G36:G37" si="47">C36*24</f>
        <v>91.32138888888889</v>
      </c>
      <c r="H36" s="43">
        <f t="shared" ref="H36:H37" si="48">RADIANS(G36)</f>
        <v>1.5938589136052772</v>
      </c>
      <c r="I36" s="43">
        <f t="shared" ref="I36:I37" si="49">B36*24</f>
        <v>105.22027777777777</v>
      </c>
      <c r="J36" s="49">
        <f t="shared" ref="J36:J37" si="50">RADIANS(I36)</f>
        <v>1.8364402870852445</v>
      </c>
      <c r="K36" s="49">
        <f t="shared" ref="K36:K37" si="51">D36*SIN(H36)</f>
        <v>133.36152578008767</v>
      </c>
      <c r="L36" s="46">
        <f t="shared" ref="L36:L37" si="52">D36*COS(H36)</f>
        <v>-3.0762071788171843</v>
      </c>
      <c r="M36" s="45"/>
      <c r="N36" s="47">
        <f t="shared" ref="N36:N37" si="53">I36+M36</f>
        <v>105.22027777777777</v>
      </c>
      <c r="O36" s="47">
        <f t="shared" si="19"/>
        <v>0</v>
      </c>
      <c r="P36" s="47">
        <f t="shared" ref="P36:P37" si="54">SUM(N36,O36)</f>
        <v>105.22027777777777</v>
      </c>
      <c r="Q36" s="47">
        <f t="shared" ref="Q36:Q37" si="55">RADIANS(P36)</f>
        <v>1.8364402870852445</v>
      </c>
      <c r="R36" s="47">
        <f t="shared" ref="R36:R37" si="56">K36*SIN(Q36)</f>
        <v>128.68368910772296</v>
      </c>
      <c r="S36" s="47">
        <f t="shared" ref="S36:S37" si="57">K36*COS(Q36)</f>
        <v>-35.011494055808186</v>
      </c>
      <c r="T36" s="45">
        <f t="shared" ref="T36:T37" si="58">Old_X0+R36</f>
        <v>1523072.8716891077</v>
      </c>
      <c r="U36" s="45">
        <f t="shared" ref="U36:U37" si="59">Old_Y0+S36</f>
        <v>3941436.2635059441</v>
      </c>
      <c r="V36" s="47">
        <f t="shared" ref="V36:V37" si="60">Old_Z0+HI+L36-E36</f>
        <v>3340.8265928211827</v>
      </c>
      <c r="W36" s="47">
        <f t="shared" ref="W36:W37" si="61">IF(ISNUMBER(T36),V36+dZ,"")</f>
        <v>3340.8265928211827</v>
      </c>
      <c r="X36" s="47">
        <f t="shared" si="10"/>
        <v>1523072.8716891077</v>
      </c>
      <c r="Y36" s="47">
        <f t="shared" ref="Y36:Y37" si="62">IF(ISNUMBER(X36),U36,"")</f>
        <v>3941436.2635059441</v>
      </c>
      <c r="Z36" s="47">
        <f t="shared" si="11"/>
        <v>1523072.8927230483</v>
      </c>
      <c r="AA36" s="47">
        <f t="shared" si="12"/>
        <v>3941436.3391646845</v>
      </c>
      <c r="AB36" s="47">
        <f t="shared" ref="AB36:AB37" si="63">IF(ISNUMBER(X36),SQRT((X36-Z36)^2+(Y36-AA36)^2),"")</f>
        <v>7.8528158438303311E-2</v>
      </c>
      <c r="AC36" s="47">
        <f ca="1">IF(ISNUMBER(Z36),SQRT(($Z36-OFFSET($Z$20,MATCH(CS_Start,$A$21:$A$43,0),0))^2+($AA36-OFFSET($AA$20,MATCH(CS_Start,$A$21:$A$43,0),0))^2),"")</f>
        <v>128.83730968284763</v>
      </c>
      <c r="AD36" s="47">
        <f t="shared" ref="AD36:AD37" si="64">IF(ISNUMBER(X36),W36-Min_Z,"")</f>
        <v>6.6061324414968112</v>
      </c>
      <c r="AE36" s="47">
        <f t="shared" ca="1" si="29"/>
        <v>128.84</v>
      </c>
      <c r="AF36" s="47">
        <f t="shared" si="25"/>
        <v>6.61</v>
      </c>
      <c r="AH36" s="44">
        <v>128.84</v>
      </c>
      <c r="AI36" s="44">
        <f ca="1">OFFSET($AF$22,MATCH(AH36,$AE$23:$AE$51,0),0)</f>
        <v>6.61</v>
      </c>
      <c r="AJ36" s="44" t="str">
        <f t="shared" ca="1" si="26"/>
        <v>128.84,6.61</v>
      </c>
    </row>
    <row r="37" spans="1:36" x14ac:dyDescent="0.25">
      <c r="A37" s="44">
        <v>17</v>
      </c>
      <c r="B37" s="48">
        <v>14.998240740740741</v>
      </c>
      <c r="C37" s="48">
        <v>3.7903935185185187</v>
      </c>
      <c r="D37" s="44">
        <v>116.149</v>
      </c>
      <c r="E37" s="44">
        <v>4.9062000000000001</v>
      </c>
      <c r="F37" s="49" t="s">
        <v>68</v>
      </c>
      <c r="G37" s="43">
        <f t="shared" si="47"/>
        <v>90.969444444444449</v>
      </c>
      <c r="H37" s="43">
        <f t="shared" si="48"/>
        <v>1.5877163242656194</v>
      </c>
      <c r="I37" s="43">
        <f t="shared" si="49"/>
        <v>359.95777777777778</v>
      </c>
      <c r="J37" s="49">
        <f t="shared" si="50"/>
        <v>6.2824483903842996</v>
      </c>
      <c r="K37" s="49">
        <f t="shared" si="51"/>
        <v>116.13237446207818</v>
      </c>
      <c r="L37" s="46">
        <f t="shared" si="52"/>
        <v>-1.9651470173122889</v>
      </c>
      <c r="M37" s="45"/>
      <c r="N37" s="47">
        <f t="shared" si="53"/>
        <v>359.95777777777778</v>
      </c>
      <c r="O37" s="47">
        <f t="shared" si="19"/>
        <v>0</v>
      </c>
      <c r="P37" s="47">
        <f t="shared" si="54"/>
        <v>359.95777777777778</v>
      </c>
      <c r="Q37" s="47">
        <f t="shared" si="55"/>
        <v>6.2824483903842996</v>
      </c>
      <c r="R37" s="47">
        <f t="shared" si="56"/>
        <v>-8.5579889472010076E-2</v>
      </c>
      <c r="S37" s="47">
        <f t="shared" si="57"/>
        <v>116.1323429294478</v>
      </c>
      <c r="T37" s="45">
        <f t="shared" si="58"/>
        <v>1522944.1024201107</v>
      </c>
      <c r="U37" s="45">
        <f t="shared" si="59"/>
        <v>3941587.4073429294</v>
      </c>
      <c r="V37" s="47">
        <f t="shared" si="60"/>
        <v>3341.9376529826877</v>
      </c>
      <c r="W37" s="47">
        <f t="shared" si="61"/>
        <v>3341.9376529826877</v>
      </c>
      <c r="X37" s="47" t="str">
        <f t="shared" si="10"/>
        <v/>
      </c>
      <c r="Y37" s="47" t="str">
        <f t="shared" si="62"/>
        <v/>
      </c>
      <c r="Z37" s="47" t="e">
        <f t="shared" si="11"/>
        <v>#N/A</v>
      </c>
      <c r="AA37" s="47" t="e">
        <f t="shared" si="12"/>
        <v>#N/A</v>
      </c>
      <c r="AB37" s="47" t="str">
        <f t="shared" si="63"/>
        <v/>
      </c>
      <c r="AC37" s="47" t="str">
        <f ca="1">IF(ISNUMBER(Z37),SQRT(($Z37-OFFSET($Z$20,MATCH(CS_Start,$A$21:$A$43,0),0))^2+($AA37-OFFSET($AA$20,MATCH(CS_Start,$A$21:$A$43,0),0))^2),"")</f>
        <v/>
      </c>
      <c r="AD37" s="47" t="str">
        <f t="shared" si="64"/>
        <v/>
      </c>
      <c r="AE37" s="47" t="e">
        <f t="shared" ca="1" si="29"/>
        <v>#VALUE!</v>
      </c>
      <c r="AF37" s="47" t="e">
        <f t="shared" si="25"/>
        <v>#VALUE!</v>
      </c>
      <c r="AH37" s="44"/>
      <c r="AI37" s="44">
        <f ca="1">OFFSET($AF$22,MATCH(AH37,$AE$23:$AE$51,0),0)</f>
        <v>9.32</v>
      </c>
      <c r="AJ37" s="44" t="str">
        <f t="shared" ca="1" si="26"/>
        <v>,9.32</v>
      </c>
    </row>
    <row r="38" spans="1:36" x14ac:dyDescent="0.25">
      <c r="A38" s="44">
        <v>18</v>
      </c>
      <c r="B38" s="48">
        <v>7.9258449074074067</v>
      </c>
      <c r="C38" s="48">
        <v>3.7644328703703707</v>
      </c>
      <c r="D38" s="44">
        <v>108.694</v>
      </c>
      <c r="E38" s="44">
        <v>4.9062000000000001</v>
      </c>
      <c r="F38" s="49" t="s">
        <v>69</v>
      </c>
      <c r="G38" s="43">
        <f t="shared" ref="G38" si="65">C38*24</f>
        <v>90.346388888888896</v>
      </c>
      <c r="H38" s="43">
        <f t="shared" ref="H38" si="66">RADIANS(G38)</f>
        <v>1.5768419533983327</v>
      </c>
      <c r="I38" s="43">
        <f t="shared" ref="I38" si="67">B38*24</f>
        <v>190.22027777777777</v>
      </c>
      <c r="J38" s="49">
        <f t="shared" ref="J38" si="68">RADIANS(I38)</f>
        <v>3.3199701512804247</v>
      </c>
      <c r="K38" s="49">
        <f t="shared" ref="K38" si="69">D38*SIN(H38)</f>
        <v>108.69201364488298</v>
      </c>
      <c r="L38" s="46">
        <f t="shared" ref="L38" si="70">D38*COS(H38)</f>
        <v>-0.65711933510855403</v>
      </c>
      <c r="M38" s="45"/>
      <c r="N38" s="47">
        <f t="shared" ref="N38" si="71">I38+M38</f>
        <v>190.22027777777777</v>
      </c>
      <c r="O38" s="47">
        <f t="shared" si="19"/>
        <v>0</v>
      </c>
      <c r="P38" s="47">
        <f t="shared" ref="P38" si="72">SUM(N38,O38)</f>
        <v>190.22027777777777</v>
      </c>
      <c r="Q38" s="47">
        <f t="shared" ref="Q38" si="73">RADIANS(P38)</f>
        <v>3.3199701512804247</v>
      </c>
      <c r="R38" s="47">
        <f t="shared" ref="R38" si="74">K38*SIN(Q38)</f>
        <v>-19.285555471408056</v>
      </c>
      <c r="S38" s="47">
        <f t="shared" ref="S38" si="75">K38*COS(Q38)</f>
        <v>-106.96738372204244</v>
      </c>
      <c r="T38" s="45">
        <f t="shared" ref="T38" si="76">Old_X0+R38</f>
        <v>1522924.9024445286</v>
      </c>
      <c r="U38" s="45">
        <f t="shared" ref="U38" si="77">Old_Y0+S38</f>
        <v>3941364.3076162781</v>
      </c>
      <c r="V38" s="47">
        <f t="shared" ref="V38" si="78">Old_Z0+HI+L38-E38</f>
        <v>3343.2456806648911</v>
      </c>
      <c r="W38" s="47">
        <f t="shared" ref="W38" si="79">IF(ISNUMBER(T38),V38+dZ,"")</f>
        <v>3343.2456806648911</v>
      </c>
      <c r="X38" s="47" t="str">
        <f t="shared" si="10"/>
        <v/>
      </c>
      <c r="Y38" s="47" t="str">
        <f t="shared" ref="Y38" si="80">IF(ISNUMBER(X38),U38,"")</f>
        <v/>
      </c>
      <c r="Z38" s="47" t="e">
        <f t="shared" si="11"/>
        <v>#N/A</v>
      </c>
      <c r="AA38" s="47" t="e">
        <f t="shared" si="12"/>
        <v>#N/A</v>
      </c>
      <c r="AB38" s="47" t="str">
        <f t="shared" ref="AB38" si="81">IF(ISNUMBER(X38),SQRT((X38-Z38)^2+(Y38-AA38)^2),"")</f>
        <v/>
      </c>
      <c r="AC38" s="47" t="str">
        <f ca="1">IF(ISNUMBER(Z38),SQRT(($Z38-OFFSET($Z$20,MATCH(CS_Start,$A$21:$A$43,0),0))^2+($AA38-OFFSET($AA$20,MATCH(CS_Start,$A$21:$A$43,0),0))^2),"")</f>
        <v/>
      </c>
      <c r="AD38" s="47" t="str">
        <f t="shared" ref="AD38" si="82">IF(ISNUMBER(X38),W38-Min_Z,"")</f>
        <v/>
      </c>
      <c r="AE38" s="47" t="e">
        <f t="shared" ca="1" si="29"/>
        <v>#VALUE!</v>
      </c>
      <c r="AF38" s="47" t="e">
        <f t="shared" si="25"/>
        <v>#VALUE!</v>
      </c>
      <c r="AH38" s="44"/>
      <c r="AI38" s="44">
        <f ca="1">OFFSET($AF$22,MATCH(AH38,$AE$23:$AE$51,0),0)</f>
        <v>9.32</v>
      </c>
      <c r="AJ38" s="44" t="str">
        <f t="shared" ca="1" si="26"/>
        <v>,9.32</v>
      </c>
    </row>
    <row r="39" spans="1:36" x14ac:dyDescent="0.25">
      <c r="A39" s="44"/>
      <c r="B39" s="48"/>
      <c r="C39" s="48"/>
      <c r="D39" s="44"/>
      <c r="E39" s="44"/>
      <c r="F39" s="44"/>
      <c r="G39" s="43"/>
      <c r="H39" s="43"/>
      <c r="I39" s="43"/>
      <c r="J39" s="49"/>
      <c r="K39" s="49"/>
      <c r="L39" s="46"/>
      <c r="M39" s="45"/>
      <c r="N39" s="47"/>
      <c r="O39" s="47"/>
      <c r="P39" s="47"/>
      <c r="Q39" s="47"/>
      <c r="R39" s="47"/>
      <c r="S39" s="47"/>
      <c r="T39" s="45"/>
      <c r="U39" s="45"/>
      <c r="V39" s="47"/>
      <c r="W39" s="47"/>
      <c r="X39" s="47"/>
      <c r="Y39" s="47"/>
      <c r="Z39" s="47"/>
      <c r="AA39" s="47"/>
      <c r="AB39" s="47"/>
      <c r="AC39" s="47"/>
      <c r="AD39" s="47"/>
      <c r="AE39" s="44"/>
      <c r="AF39" s="44"/>
    </row>
    <row r="40" spans="1:36" x14ac:dyDescent="0.25">
      <c r="A40" s="44"/>
      <c r="B40" s="48"/>
      <c r="C40" s="48"/>
      <c r="D40" s="44"/>
      <c r="E40" s="44"/>
      <c r="F40" s="44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4"/>
      <c r="AF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9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48"/>
      <c r="D44" s="44"/>
      <c r="E44" s="44"/>
      <c r="F44" s="44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4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50"/>
      <c r="D48" s="44"/>
      <c r="E48" s="44"/>
      <c r="F48" s="50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4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9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  <c r="AH52" s="44"/>
      <c r="AI52" s="44"/>
      <c r="AJ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  <c r="AH53" s="44"/>
      <c r="AI53" s="44"/>
      <c r="AJ53" s="44"/>
    </row>
    <row r="54" spans="1:36" x14ac:dyDescent="0.25">
      <c r="A54" s="40"/>
      <c r="C54" s="2"/>
      <c r="D54" s="42"/>
      <c r="E54" s="42"/>
      <c r="F54" s="42"/>
      <c r="G54" s="42"/>
      <c r="H54" s="42"/>
      <c r="I54" s="10"/>
      <c r="J54" s="10"/>
      <c r="K54" s="10"/>
      <c r="L54" s="10"/>
      <c r="M54" s="10"/>
      <c r="V54" s="2"/>
      <c r="W54" s="13"/>
      <c r="X54" s="2"/>
      <c r="Y54" s="2"/>
      <c r="Z54" s="2"/>
      <c r="AH54" s="44"/>
      <c r="AI54" s="44"/>
      <c r="AJ54" s="44"/>
    </row>
    <row r="55" spans="1:36" x14ac:dyDescent="0.25">
      <c r="A55" s="40"/>
      <c r="C55" s="2"/>
      <c r="D55" s="42"/>
      <c r="E55" s="42"/>
      <c r="F55" s="42"/>
      <c r="G55" s="42"/>
      <c r="H55" s="42"/>
      <c r="I55" s="10"/>
      <c r="J55" s="10"/>
      <c r="K55" s="10"/>
      <c r="L55" s="10"/>
      <c r="M55" s="10"/>
      <c r="V55" s="2"/>
      <c r="W55" s="13"/>
      <c r="X55" s="2"/>
      <c r="Y55" s="2"/>
      <c r="Z55" s="2"/>
      <c r="AH55" s="44"/>
      <c r="AI55" s="44"/>
      <c r="AJ55" s="44"/>
    </row>
    <row r="56" spans="1:36" x14ac:dyDescent="0.25">
      <c r="A56" s="40"/>
      <c r="C56" s="2"/>
      <c r="D56" s="42"/>
      <c r="E56" s="42"/>
      <c r="F56" s="42"/>
      <c r="G56" s="42"/>
      <c r="H56" s="42"/>
      <c r="I56" s="10"/>
      <c r="J56" s="10"/>
      <c r="K56" s="10"/>
      <c r="L56" s="10"/>
      <c r="M56" s="10"/>
      <c r="V56" s="2"/>
      <c r="W56" s="13"/>
      <c r="X56" s="2"/>
      <c r="Y56" s="2"/>
      <c r="Z56" s="2"/>
      <c r="AH56" s="44"/>
      <c r="AI56" s="44"/>
      <c r="AJ56" s="44"/>
    </row>
    <row r="57" spans="1:36" x14ac:dyDescent="0.25">
      <c r="A57" s="40"/>
      <c r="C57" s="2"/>
      <c r="D57" s="42"/>
      <c r="E57" s="42"/>
      <c r="F57" s="42"/>
      <c r="G57" s="42"/>
      <c r="H57" s="42"/>
      <c r="I57" s="10"/>
      <c r="J57" s="10"/>
      <c r="K57" s="10"/>
      <c r="L57" s="10"/>
      <c r="M57" s="10"/>
      <c r="V57" s="2"/>
      <c r="W57" s="13"/>
      <c r="X57" s="2"/>
      <c r="Y57" s="2"/>
      <c r="Z57" s="2"/>
      <c r="AH57" s="44"/>
      <c r="AI57" s="44"/>
      <c r="AJ57" s="44"/>
    </row>
    <row r="58" spans="1:36" x14ac:dyDescent="0.25">
      <c r="A58" s="40"/>
      <c r="C58" s="2"/>
      <c r="D58" s="42"/>
      <c r="E58" s="42"/>
      <c r="F58" s="42"/>
      <c r="G58" s="42"/>
      <c r="H58" s="42"/>
      <c r="I58" s="10"/>
      <c r="J58" s="10"/>
      <c r="K58" s="10"/>
      <c r="L58" s="10"/>
      <c r="M58" s="10"/>
      <c r="V58" s="2"/>
      <c r="W58" s="13"/>
      <c r="X58" s="2"/>
      <c r="Y58" s="2"/>
      <c r="Z58" s="2"/>
      <c r="AH58" s="44"/>
      <c r="AI58" s="44"/>
      <c r="AJ58" s="44"/>
    </row>
    <row r="59" spans="1:36" x14ac:dyDescent="0.25">
      <c r="A59" s="40"/>
      <c r="C59" s="2"/>
      <c r="D59" s="42"/>
      <c r="E59" s="42"/>
      <c r="F59" s="42"/>
      <c r="G59" s="42"/>
      <c r="H59" s="42"/>
      <c r="I59" s="10"/>
      <c r="J59" s="10"/>
      <c r="K59" s="10"/>
      <c r="L59" s="10"/>
      <c r="M59" s="10"/>
      <c r="V59" s="2"/>
      <c r="W59" s="13"/>
      <c r="X59" s="2"/>
      <c r="Y59" s="2"/>
      <c r="Z59" s="2"/>
    </row>
    <row r="60" spans="1:36" x14ac:dyDescent="0.25">
      <c r="A60" s="40"/>
      <c r="C60" s="2"/>
      <c r="D60" s="42"/>
      <c r="E60" s="42"/>
      <c r="F60" s="42"/>
      <c r="G60" s="42"/>
      <c r="H60" s="42"/>
      <c r="I60" s="10"/>
      <c r="J60" s="10"/>
      <c r="K60" s="10"/>
      <c r="L60" s="10"/>
      <c r="M60" s="10"/>
      <c r="V60" s="2"/>
      <c r="W60" s="13"/>
      <c r="X60" s="2"/>
      <c r="Y60" s="2"/>
      <c r="Z60" s="2"/>
      <c r="AA60" s="2"/>
    </row>
    <row r="61" spans="1:36" x14ac:dyDescent="0.25">
      <c r="A61" s="40"/>
      <c r="C61" s="2"/>
      <c r="D61" s="42"/>
      <c r="E61" s="42"/>
      <c r="F61" s="42"/>
      <c r="G61" s="42"/>
      <c r="H61" s="42"/>
      <c r="I61" s="10"/>
      <c r="J61" s="10"/>
      <c r="K61" s="10"/>
      <c r="L61" s="10"/>
      <c r="M61" s="10"/>
      <c r="V61" s="2"/>
      <c r="W61" s="13"/>
      <c r="X61" s="2"/>
      <c r="Y61" s="2"/>
      <c r="Z61" s="2"/>
      <c r="AA61" s="2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A62" s="2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W63" s="2"/>
      <c r="X63" s="13"/>
      <c r="Y63" s="2"/>
      <c r="Z63" s="2"/>
      <c r="AA63" s="2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W64" s="2"/>
      <c r="X64" s="13"/>
      <c r="Y64" s="2"/>
      <c r="Z64" s="2"/>
      <c r="AA64" s="2"/>
    </row>
    <row r="65" spans="1:27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W65" s="2"/>
      <c r="X65" s="13"/>
      <c r="Y65" s="2"/>
      <c r="Z65" s="2"/>
      <c r="AA65" s="2"/>
    </row>
    <row r="66" spans="1:27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X66" s="13"/>
      <c r="Y66" s="2"/>
      <c r="Z66" s="2"/>
      <c r="AA66" s="2"/>
    </row>
    <row r="67" spans="1:27" x14ac:dyDescent="0.25">
      <c r="A67" s="17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X67" s="13"/>
      <c r="Y67" s="2"/>
      <c r="Z67" s="2"/>
      <c r="AA67" s="2"/>
    </row>
    <row r="68" spans="1:27" x14ac:dyDescent="0.25">
      <c r="A68" s="17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X68" s="13"/>
      <c r="Y68" s="2"/>
      <c r="Z68" s="2"/>
      <c r="AA68" s="2"/>
    </row>
    <row r="69" spans="1:27" x14ac:dyDescent="0.25">
      <c r="A69" s="17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X69" s="13"/>
      <c r="Y69" s="2"/>
      <c r="Z69" s="2"/>
      <c r="AA69" s="2"/>
    </row>
    <row r="70" spans="1:27" x14ac:dyDescent="0.25">
      <c r="A70" s="17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X70" s="13"/>
      <c r="Y70" s="2"/>
      <c r="Z70" s="2"/>
      <c r="AA70" s="2"/>
    </row>
    <row r="71" spans="1:27" x14ac:dyDescent="0.25">
      <c r="A71" s="17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X71" s="13"/>
      <c r="Y71" s="2"/>
      <c r="Z71" s="2"/>
      <c r="AA71" s="2"/>
    </row>
    <row r="72" spans="1:27" x14ac:dyDescent="0.25">
      <c r="A72" s="17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X72" s="13"/>
      <c r="Y72" s="2"/>
      <c r="Z72" s="2"/>
      <c r="AA72" s="2"/>
    </row>
    <row r="73" spans="1:27" x14ac:dyDescent="0.25">
      <c r="A73" s="17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X73" s="13"/>
      <c r="Y73" s="2"/>
      <c r="Z73" s="2"/>
      <c r="AA73" s="2"/>
    </row>
    <row r="74" spans="1:27" x14ac:dyDescent="0.25">
      <c r="A74" s="17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27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27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27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</sheetData>
  <sortState ref="AH23:AH36">
    <sortCondition ref="AH23"/>
  </sortState>
  <mergeCells count="20"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  <mergeCell ref="A1:B1"/>
    <mergeCell ref="A6:B6"/>
    <mergeCell ref="A7:B7"/>
    <mergeCell ref="A4:B4"/>
    <mergeCell ref="A3:B3"/>
    <mergeCell ref="A2:B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1522944.1880000001</v>
      </c>
      <c r="C2" s="33">
        <f>IF(ISNUMBER(Calculations!O4),CONVERT(Calculations!O4,Units_In,Units_Out),"")</f>
        <v>3941471.2749999999</v>
      </c>
      <c r="D2" s="33" t="s">
        <v>60</v>
      </c>
      <c r="E2" s="10" t="str">
        <f>CONCATENATE("0503 ",B2,"EUSft ",C2,"NUSft")</f>
        <v>0503 1522944.188EUSft 3941471.275NUSft</v>
      </c>
      <c r="F2" s="34">
        <v>98</v>
      </c>
      <c r="G2" s="10" t="str">
        <f>IF(F2=98,"Lime",IF(F2=94,"Yellow",""))</f>
        <v>Lime</v>
      </c>
      <c r="H2" s="10" t="str">
        <f>Calculations!$A$1</f>
        <v>CSS14</v>
      </c>
    </row>
    <row r="3" spans="1:8" s="10" customFormat="1" x14ac:dyDescent="0.25">
      <c r="A3" s="10" t="str">
        <f>IF(ISNUMBER(Calculations!M5),CONCATENATE("GPS",Calculations!M5),"")</f>
        <v>GPS1</v>
      </c>
      <c r="B3" s="33" t="str">
        <f>IF(ISNUMBER(Calculations!N5),CONVERT(Calculations!N5,Units_In,Units_Out),"")</f>
        <v/>
      </c>
      <c r="C3" s="33" t="str">
        <f>IF(ISNUMBER(Calculations!O5),CONVERT(Calculations!O5,Units_In,Units_Out),"")</f>
        <v/>
      </c>
      <c r="D3" s="33" t="s">
        <v>60</v>
      </c>
      <c r="E3" s="10" t="str">
        <f t="shared" ref="E3:E4" si="0">CONCATENATE("0503 ",B3,"EUSft ",C3,"NUSft")</f>
        <v>0503 EUSft 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CSS14</v>
      </c>
    </row>
    <row r="4" spans="1:8" s="10" customFormat="1" x14ac:dyDescent="0.25">
      <c r="A4" s="10" t="str">
        <f>IF(ISNUMBER(Calculations!M6),CONCATENATE("GPS",Calculations!M6),"")</f>
        <v>GPS2</v>
      </c>
      <c r="B4" s="33" t="str">
        <f>IF(ISNUMBER(Calculations!N6),CONVERT(Calculations!N6,Units_In,Units_Out),"")</f>
        <v/>
      </c>
      <c r="C4" s="33" t="str">
        <f>IF(ISNUMBER(Calculations!O6),CONVERT(Calculations!O6,Units_In,Units_Out),"")</f>
        <v/>
      </c>
      <c r="D4" s="33" t="s">
        <v>60</v>
      </c>
      <c r="E4" s="10" t="str">
        <f t="shared" si="0"/>
        <v>0503 EUSft NUSft</v>
      </c>
      <c r="F4" s="34">
        <v>98</v>
      </c>
      <c r="G4" s="10" t="str">
        <f t="shared" si="1"/>
        <v>Lime</v>
      </c>
      <c r="H4" s="10" t="str">
        <f>Calculations!$A$1</f>
        <v>CSS14</v>
      </c>
    </row>
    <row r="5" spans="1:8" x14ac:dyDescent="0.25">
      <c r="A5">
        <f>IF(ISNUMBER(Calculations!A21),Calculations!A21,"")</f>
        <v>1</v>
      </c>
      <c r="B5" s="33">
        <f>IF(ISNUMBER(A5),CONVERT(Calculations!T21,Units_In,Units_Out),"")</f>
        <v>1522944.1874369148</v>
      </c>
      <c r="C5" s="33">
        <f>IF(ISNUMBER(A5),CONVERT(Calculations!U21,Units_In,Units_Out),"")</f>
        <v>3941587.4197234204</v>
      </c>
      <c r="D5" s="33" t="str">
        <f>IF(ISTEXT(Calculations!F21),Calculations!F21,"")</f>
        <v>BS/ZERO</v>
      </c>
      <c r="E5" t="str">
        <f>IF(ISNUMBER(A5),CONCATENATE("0503 ",B5,"EUSft ",C5,"NUSft"),"")</f>
        <v>0503 1522944.18743691EUSft 3941587.41972342NUSft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CSS14</v>
      </c>
    </row>
    <row r="6" spans="1:8" x14ac:dyDescent="0.25">
      <c r="A6" s="10">
        <f>IF(ISNUMBER(Calculations!A22),Calculations!A22,"")</f>
        <v>2</v>
      </c>
      <c r="B6" s="33">
        <f>IF(ISNUMBER(A6),CONVERT(Calculations!T22,Units_In,Units_Out),"")</f>
        <v>1522924.7317663697</v>
      </c>
      <c r="C6" s="33">
        <f>IF(ISNUMBER(A6),CONVERT(Calculations!U22,Units_In,Units_Out),"")</f>
        <v>3941364.4027684592</v>
      </c>
      <c r="D6" s="33" t="str">
        <f>IF(ISTEXT(Calculations!F22),Calculations!F22,"")</f>
        <v xml:space="preserve">BS </v>
      </c>
      <c r="E6" s="10" t="str">
        <f t="shared" ref="E6:E65" si="2">IF(ISNUMBER(A6),CONCATENATE("0503 ",B6,"EUSft ",C6,"NUSft"),"")</f>
        <v>0503 1522924.73176637EUSft 3941364.40276846NUSft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CSS14</v>
      </c>
    </row>
    <row r="7" spans="1:8" x14ac:dyDescent="0.25">
      <c r="A7" s="10">
        <f>IF(ISNUMBER(Calculations!A23),Calculations!A23,"")</f>
        <v>3</v>
      </c>
      <c r="B7" s="33">
        <f>IF(ISNUMBER(A7),CONVERT(Calculations!T23,Units_In,Units_Out),"")</f>
        <v>1522948.2936562723</v>
      </c>
      <c r="C7" s="33">
        <f>IF(ISNUMBER(A7),CONVERT(Calculations!U23,Units_In,Units_Out),"")</f>
        <v>3941469.1598436008</v>
      </c>
      <c r="D7" s="33" t="str">
        <f>IF(ISTEXT(Calculations!F23),Calculations!F23,"")</f>
        <v/>
      </c>
      <c r="E7" s="10" t="str">
        <f t="shared" si="2"/>
        <v>0503 1522948.29365627EUSft 3941469.1598436NUSft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CSS14</v>
      </c>
    </row>
    <row r="8" spans="1:8" x14ac:dyDescent="0.25">
      <c r="A8" s="10">
        <f>IF(ISNUMBER(Calculations!A24),Calculations!A24,"")</f>
        <v>4</v>
      </c>
      <c r="B8" s="33">
        <f>IF(ISNUMBER(A8),CONVERT(Calculations!T24,Units_In,Units_Out),"")</f>
        <v>1522955.3750134695</v>
      </c>
      <c r="C8" s="33">
        <f>IF(ISNUMBER(A8),CONVERT(Calculations!U24,Units_In,Units_Out),"")</f>
        <v>3941468.362854498</v>
      </c>
      <c r="D8" s="33" t="str">
        <f>IF(ISTEXT(Calculations!F24),Calculations!F24,"")</f>
        <v/>
      </c>
      <c r="E8" s="10" t="str">
        <f t="shared" si="2"/>
        <v>0503 1522955.37501347EUSft 3941468.3628545NUSft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CSS14</v>
      </c>
    </row>
    <row r="9" spans="1:8" x14ac:dyDescent="0.25">
      <c r="A9" s="10">
        <f>IF(ISNUMBER(Calculations!A25),Calculations!A25,"")</f>
        <v>5</v>
      </c>
      <c r="B9" s="33">
        <f>IF(ISNUMBER(A9),CONVERT(Calculations!T25,Units_In,Units_Out),"")</f>
        <v>1522961.1510038511</v>
      </c>
      <c r="C9" s="33">
        <f>IF(ISNUMBER(A9),CONVERT(Calculations!U25,Units_In,Units_Out),"")</f>
        <v>3941467.9293941855</v>
      </c>
      <c r="D9" s="33" t="str">
        <f>IF(ISTEXT(Calculations!F25),Calculations!F25,"")</f>
        <v/>
      </c>
      <c r="E9" s="10" t="str">
        <f t="shared" si="2"/>
        <v>0503 1522961.15100385EUSft 3941467.92939419NUSft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CSS14</v>
      </c>
    </row>
    <row r="10" spans="1:8" x14ac:dyDescent="0.25">
      <c r="A10" s="10">
        <f>IF(ISNUMBER(Calculations!A26),Calculations!A26,"")</f>
        <v>6</v>
      </c>
      <c r="B10" s="33">
        <f>IF(ISNUMBER(A10),CONVERT(Calculations!T26,Units_In,Units_Out),"")</f>
        <v>1522962.0525783973</v>
      </c>
      <c r="C10" s="33">
        <f>IF(ISNUMBER(A10),CONVERT(Calculations!U26,Units_In,Units_Out),"")</f>
        <v>3941466.5188208614</v>
      </c>
      <c r="D10" s="33" t="str">
        <f>IF(ISTEXT(Calculations!F26),Calculations!F26,"")</f>
        <v>WS</v>
      </c>
      <c r="E10" s="10" t="str">
        <f t="shared" si="2"/>
        <v>0503 1522962.0525784EUSft 3941466.51882086NUSft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CSS14</v>
      </c>
    </row>
    <row r="11" spans="1:8" x14ac:dyDescent="0.25">
      <c r="A11" s="10">
        <f>IF(ISNUMBER(Calculations!A27),Calculations!A27,"")</f>
        <v>7</v>
      </c>
      <c r="B11" s="33">
        <f>IF(ISNUMBER(A11),CONVERT(Calculations!T27,Units_In,Units_Out),"")</f>
        <v>1522965.4757612711</v>
      </c>
      <c r="C11" s="33">
        <f>IF(ISNUMBER(A11),CONVERT(Calculations!U27,Units_In,Units_Out),"")</f>
        <v>3941466.511311546</v>
      </c>
      <c r="D11" s="33" t="str">
        <f>IF(ISTEXT(Calculations!F27),Calculations!F27,"")</f>
        <v>RIVER</v>
      </c>
      <c r="E11" s="10" t="str">
        <f t="shared" si="2"/>
        <v>0503 1522965.47576127EUSft 3941466.51131155NUSft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CSS14</v>
      </c>
    </row>
    <row r="12" spans="1:8" x14ac:dyDescent="0.25">
      <c r="A12" s="10">
        <f>IF(ISNUMBER(Calculations!A28),Calculations!A28,"")</f>
        <v>8</v>
      </c>
      <c r="B12" s="33">
        <f>IF(ISNUMBER(A12),CONVERT(Calculations!T28,Units_In,Units_Out),"")</f>
        <v>1522985.060040904</v>
      </c>
      <c r="C12" s="33">
        <f>IF(ISNUMBER(A12),CONVERT(Calculations!U28,Units_In,Units_Out),"")</f>
        <v>3941462.7295611156</v>
      </c>
      <c r="D12" s="33" t="str">
        <f>IF(ISTEXT(Calculations!F28),Calculations!F28,"")</f>
        <v>RIVER</v>
      </c>
      <c r="E12" s="10" t="str">
        <f t="shared" si="2"/>
        <v>0503 1522985.0600409EUSft 3941462.72956112NUSft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CSS14</v>
      </c>
    </row>
    <row r="13" spans="1:8" x14ac:dyDescent="0.25">
      <c r="A13" s="10">
        <f>IF(ISNUMBER(Calculations!A29),Calculations!A29,"")</f>
        <v>9</v>
      </c>
      <c r="B13" s="33">
        <f>IF(ISNUMBER(A13),CONVERT(Calculations!T29,Units_In,Units_Out),"")</f>
        <v>1523001.1901689721</v>
      </c>
      <c r="C13" s="33">
        <f>IF(ISNUMBER(A13),CONVERT(Calculations!U29,Units_In,Units_Out),"")</f>
        <v>3941459.2806526562</v>
      </c>
      <c r="D13" s="33" t="str">
        <f>IF(ISTEXT(Calculations!F29),Calculations!F29,"")</f>
        <v>SAND BAR</v>
      </c>
      <c r="E13" s="10" t="str">
        <f t="shared" si="2"/>
        <v>0503 1523001.19016897EUSft 3941459.28065266NUSft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CSS14</v>
      </c>
    </row>
    <row r="14" spans="1:8" x14ac:dyDescent="0.25">
      <c r="A14" s="10">
        <f>IF(ISNUMBER(Calculations!A30),Calculations!A30,"")</f>
        <v>10</v>
      </c>
      <c r="B14" s="33">
        <f>IF(ISNUMBER(A14),CONVERT(Calculations!T30,Units_In,Units_Out),"")</f>
        <v>1523022.4081665091</v>
      </c>
      <c r="C14" s="33">
        <f>IF(ISNUMBER(A14),CONVERT(Calculations!U30,Units_In,Units_Out),"")</f>
        <v>3941451.5742280665</v>
      </c>
      <c r="D14" s="33" t="str">
        <f>IF(ISTEXT(Calculations!F30),Calculations!F30,"")</f>
        <v>RIVER</v>
      </c>
      <c r="E14" s="10" t="str">
        <f t="shared" si="2"/>
        <v>0503 1523022.40816651EUSft 3941451.57422807NUSft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CSS14</v>
      </c>
    </row>
    <row r="15" spans="1:8" x14ac:dyDescent="0.25">
      <c r="A15" s="10">
        <f>IF(ISNUMBER(Calculations!A31),Calculations!A31,"")</f>
        <v>11</v>
      </c>
      <c r="B15" s="33">
        <f>IF(ISNUMBER(A15),CONVERT(Calculations!T31,Units_In,Units_Out),"")</f>
        <v>1523024.9043392281</v>
      </c>
      <c r="C15" s="33">
        <f>IF(ISNUMBER(A15),CONVERT(Calculations!U31,Units_In,Units_Out),"")</f>
        <v>3941449.2452349802</v>
      </c>
      <c r="D15" s="33" t="str">
        <f>IF(ISTEXT(Calculations!F31),Calculations!F31,"")</f>
        <v>WS</v>
      </c>
      <c r="E15" s="10" t="str">
        <f t="shared" si="2"/>
        <v>0503 1523024.90433923EUSft 3941449.24523498NUSft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CSS14</v>
      </c>
    </row>
    <row r="16" spans="1:8" x14ac:dyDescent="0.25">
      <c r="A16" s="10">
        <f>IF(ISNUMBER(Calculations!A32),Calculations!A32,"")</f>
        <v>12</v>
      </c>
      <c r="B16" s="33">
        <f>IF(ISNUMBER(A16),CONVERT(Calculations!T32,Units_In,Units_Out),"")</f>
        <v>1523027.5444450888</v>
      </c>
      <c r="C16" s="33">
        <f>IF(ISNUMBER(A16),CONVERT(Calculations!U32,Units_In,Units_Out),"")</f>
        <v>3941448.2121681958</v>
      </c>
      <c r="D16" s="33" t="str">
        <f>IF(ISTEXT(Calculations!F32),Calculations!F32,"")</f>
        <v/>
      </c>
      <c r="E16" s="10" t="str">
        <f t="shared" si="2"/>
        <v>0503 1523027.54444509EUSft 3941448.2121682NUSft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CSS14</v>
      </c>
    </row>
    <row r="17" spans="1:8" x14ac:dyDescent="0.25">
      <c r="A17" s="10">
        <f>IF(ISNUMBER(Calculations!A33),Calculations!A33,"")</f>
        <v>13</v>
      </c>
      <c r="B17" s="33">
        <f>IF(ISNUMBER(A17),CONVERT(Calculations!T33,Units_In,Units_Out),"")</f>
        <v>1523032.0221875112</v>
      </c>
      <c r="C17" s="33">
        <f>IF(ISNUMBER(A17),CONVERT(Calculations!U33,Units_In,Units_Out),"")</f>
        <v>3941446.3546473384</v>
      </c>
      <c r="D17" s="33" t="str">
        <f>IF(ISTEXT(Calculations!F33),Calculations!F33,"")</f>
        <v/>
      </c>
      <c r="E17" s="10" t="str">
        <f t="shared" si="2"/>
        <v>0503 1523032.02218751EUSft 3941446.35464734NUSft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CSS14</v>
      </c>
    </row>
    <row r="18" spans="1:8" x14ac:dyDescent="0.25">
      <c r="A18" s="10">
        <f>IF(ISNUMBER(Calculations!A34),Calculations!A34,"")</f>
        <v>14</v>
      </c>
      <c r="B18" s="33">
        <f>IF(ISNUMBER(A18),CONVERT(Calculations!T34,Units_In,Units_Out),"")</f>
        <v>1523037.4867386208</v>
      </c>
      <c r="C18" s="33">
        <f>IF(ISNUMBER(A18),CONVERT(Calculations!U34,Units_In,Units_Out),"")</f>
        <v>3941444.3790202327</v>
      </c>
      <c r="D18" s="33" t="str">
        <f>IF(ISTEXT(Calculations!F34),Calculations!F34,"")</f>
        <v/>
      </c>
      <c r="E18" s="10" t="str">
        <f t="shared" si="2"/>
        <v>0503 1523037.48673862EUSft 3941444.37902023NUSft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CSS14</v>
      </c>
    </row>
    <row r="19" spans="1:8" x14ac:dyDescent="0.25">
      <c r="A19" s="10">
        <f>IF(ISNUMBER(Calculations!A35),Calculations!A35,"")</f>
        <v>15</v>
      </c>
      <c r="B19" s="33">
        <f>IF(ISNUMBER(A19),CONVERT(Calculations!T35,Units_In,Units_Out),"")</f>
        <v>1523062.723882044</v>
      </c>
      <c r="C19" s="33">
        <f>IF(ISNUMBER(A19),CONVERT(Calculations!U35,Units_In,Units_Out),"")</f>
        <v>3941439.6562608033</v>
      </c>
      <c r="D19" s="33" t="str">
        <f>IF(ISTEXT(Calculations!F35),Calculations!F35,"")</f>
        <v/>
      </c>
      <c r="E19" s="10" t="str">
        <f t="shared" si="2"/>
        <v>0503 1523062.72388204EUSft 3941439.6562608NUSft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CSS14</v>
      </c>
    </row>
    <row r="20" spans="1:8" x14ac:dyDescent="0.25">
      <c r="A20" s="10">
        <f>IF(ISNUMBER(Calculations!A36),Calculations!A36,"")</f>
        <v>16</v>
      </c>
      <c r="B20" s="33">
        <f>IF(ISNUMBER(A20),CONVERT(Calculations!T36,Units_In,Units_Out),"")</f>
        <v>1523072.8716891075</v>
      </c>
      <c r="C20" s="33">
        <f>IF(ISNUMBER(A20),CONVERT(Calculations!U36,Units_In,Units_Out),"")</f>
        <v>3941436.2635059441</v>
      </c>
      <c r="D20" s="33" t="str">
        <f>IF(ISTEXT(Calculations!F36),Calculations!F36,"")</f>
        <v/>
      </c>
      <c r="E20" s="10" t="str">
        <f t="shared" si="2"/>
        <v>0503 1523072.87168911EUSft 3941436.26350594NUSft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CSS14</v>
      </c>
    </row>
    <row r="21" spans="1:8" x14ac:dyDescent="0.25">
      <c r="A21" s="10">
        <f>IF(ISNUMBER(Calculations!A37),Calculations!A37,"")</f>
        <v>17</v>
      </c>
      <c r="B21" s="33">
        <f>IF(ISNUMBER(A21),CONVERT(Calculations!T37,Units_In,Units_Out),"")</f>
        <v>1522944.1024201105</v>
      </c>
      <c r="C21" s="33">
        <f>IF(ISNUMBER(A21),CONVERT(Calculations!U37,Units_In,Units_Out),"")</f>
        <v>3941587.4073429289</v>
      </c>
      <c r="D21" s="33" t="str">
        <f>IF(ISTEXT(Calculations!F37),Calculations!F37,"")</f>
        <v>PT1</v>
      </c>
      <c r="E21" s="10" t="str">
        <f t="shared" si="2"/>
        <v>0503 1522944.10242011EUSft 3941587.40734293NUSft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CSS14</v>
      </c>
    </row>
    <row r="22" spans="1:8" x14ac:dyDescent="0.25">
      <c r="A22" s="10">
        <f>IF(ISNUMBER(Calculations!A38),Calculations!A38,"")</f>
        <v>18</v>
      </c>
      <c r="B22" s="33">
        <f>IF(ISNUMBER(A22),CONVERT(Calculations!T38,Units_In,Units_Out),"")</f>
        <v>1522924.9024445286</v>
      </c>
      <c r="C22" s="33">
        <f>IF(ISNUMBER(A22),CONVERT(Calculations!U38,Units_In,Units_Out),"")</f>
        <v>3941364.3076162781</v>
      </c>
      <c r="D22" s="33" t="str">
        <f>IF(ISTEXT(Calculations!F38),Calculations!F38,"")</f>
        <v>PT2</v>
      </c>
      <c r="E22" s="10" t="str">
        <f t="shared" si="2"/>
        <v>0503 1522924.90244453EUSft 3941364.30761628NUSft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CSS14</v>
      </c>
    </row>
    <row r="23" spans="1:8" x14ac:dyDescent="0.25">
      <c r="A23" s="10" t="str">
        <f>IF(ISNUMBER(Calculations!#REF!),Calculations!#REF!,"")</f>
        <v/>
      </c>
      <c r="B23" s="33" t="str">
        <f>IF(ISNUMBER(A23),CONVERT(Calculations!#REF!,Units_In,Units_Out),"")</f>
        <v/>
      </c>
      <c r="C23" s="33" t="str">
        <f>IF(ISNUMBER(A23),CONVERT(Calculations!#REF!,Units_In,Units_Out),"")</f>
        <v/>
      </c>
      <c r="D23" s="33" t="str">
        <f>IF(ISTEXT(Calculations!#REF!),Calculations!#REF!,"")</f>
        <v/>
      </c>
      <c r="E23" s="10" t="str">
        <f t="shared" si="2"/>
        <v/>
      </c>
      <c r="F23" s="34" t="str">
        <f t="shared" si="3"/>
        <v/>
      </c>
      <c r="G23" s="10" t="str">
        <f t="shared" si="1"/>
        <v/>
      </c>
      <c r="H23" s="10" t="str">
        <f>IF(ISNUMBER(A23),Calculations!$A$1,"")</f>
        <v/>
      </c>
    </row>
    <row r="24" spans="1:8" x14ac:dyDescent="0.25">
      <c r="A24" s="10" t="str">
        <f>IF(ISNUMBER(Calculations!#REF!),Calculations!#REF!,"")</f>
        <v/>
      </c>
      <c r="B24" s="33" t="str">
        <f>IF(ISNUMBER(A24),CONVERT(Calculations!#REF!,Units_In,Units_Out),"")</f>
        <v/>
      </c>
      <c r="C24" s="33" t="str">
        <f>IF(ISNUMBER(A24),CONVERT(Calculations!#REF!,Units_In,Units_Out),"")</f>
        <v/>
      </c>
      <c r="D24" s="33" t="str">
        <f>IF(ISTEXT(Calculations!#REF!),Calculations!#REF!,"")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IF(ISNUMBER(Calculations!#REF!),Calculations!#REF!,"")</f>
        <v/>
      </c>
      <c r="B25" s="33" t="str">
        <f>IF(ISNUMBER(A25),CONVERT(Calculations!#REF!,Units_In,Units_Out),"")</f>
        <v/>
      </c>
      <c r="C25" s="33" t="str">
        <f>IF(ISNUMBER(A25),CONVERT(Calculations!#REF!,Units_In,Units_Out),"")</f>
        <v/>
      </c>
      <c r="D25" s="33" t="str">
        <f>IF(ISTEXT(Calculations!#REF!),Calculations!#REF!,"")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IF(ISNUMBER(Calculations!#REF!),Calculations!#REF!,"")</f>
        <v/>
      </c>
      <c r="B26" s="33" t="str">
        <f>IF(ISNUMBER(A26),CONVERT(Calculations!#REF!,Units_In,Units_Out),"")</f>
        <v/>
      </c>
      <c r="C26" s="33" t="str">
        <f>IF(ISNUMBER(A26),CONVERT(Calculations!#REF!,Units_In,Units_Out),"")</f>
        <v/>
      </c>
      <c r="D26" s="33" t="str">
        <f>IF(ISTEXT(Calculations!#REF!),Calculations!#REF!,"")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IF(ISNUMBER(Calculations!#REF!),Calculations!#REF!,"")</f>
        <v/>
      </c>
      <c r="B27" s="33" t="str">
        <f>IF(ISNUMBER(A27),CONVERT(Calculations!#REF!,Units_In,Units_Out),"")</f>
        <v/>
      </c>
      <c r="C27" s="33" t="str">
        <f>IF(ISNUMBER(A27),CONVERT(Calculations!#REF!,Units_In,Units_Out),"")</f>
        <v/>
      </c>
      <c r="D27" s="33" t="str">
        <f>IF(ISTEXT(Calculations!#REF!),Calculations!#REF!,"")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IF(ISNUMBER(Calculations!#REF!),Calculations!#REF!,"")</f>
        <v/>
      </c>
      <c r="B28" s="33" t="str">
        <f>IF(ISNUMBER(A28),CONVERT(Calculations!#REF!,Units_In,Units_Out),"")</f>
        <v/>
      </c>
      <c r="C28" s="33" t="str">
        <f>IF(ISNUMBER(A28),CONVERT(Calculations!#REF!,Units_In,Units_Out),"")</f>
        <v/>
      </c>
      <c r="D28" s="33" t="str">
        <f>IF(ISTEXT(Calculations!#REF!),Calculations!#REF!,"")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IF(ISNUMBER(Calculations!#REF!),Calculations!#REF!,"")</f>
        <v/>
      </c>
      <c r="B29" s="33" t="str">
        <f>IF(ISNUMBER(A29),CONVERT(Calculations!#REF!,Units_In,Units_Out),"")</f>
        <v/>
      </c>
      <c r="C29" s="33" t="str">
        <f>IF(ISNUMBER(A29),CONVERT(Calculations!#REF!,Units_In,Units_Out),"")</f>
        <v/>
      </c>
      <c r="D29" s="33" t="str">
        <f>IF(ISTEXT(Calculations!#REF!),Calculations!#REF!,"")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IF(ISNUMBER(Calculations!#REF!),Calculations!#REF!,"")</f>
        <v/>
      </c>
      <c r="B30" s="33" t="str">
        <f>IF(ISNUMBER(A30),CONVERT(Calculations!#REF!,Units_In,Units_Out),"")</f>
        <v/>
      </c>
      <c r="C30" s="33" t="str">
        <f>IF(ISNUMBER(A30),CONVERT(Calculations!#REF!,Units_In,Units_Out),"")</f>
        <v/>
      </c>
      <c r="D30" s="33" t="str">
        <f>IF(ISTEXT(Calculations!#REF!),Calculations!#REF!,"")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IF(ISNUMBER(Calculations!A39),Calculations!A39,"")</f>
        <v/>
      </c>
      <c r="B31" s="33" t="str">
        <f>IF(ISNUMBER(A31),CONVERT(Calculations!T39,Units_In,Units_Out),"")</f>
        <v/>
      </c>
      <c r="C31" s="33" t="str">
        <f>IF(ISNUMBER(A31),CONVERT(Calculations!U39,Units_In,Units_Out),"")</f>
        <v/>
      </c>
      <c r="D31" s="33" t="str">
        <f>IF(ISTEXT(Calculations!F39),Calculations!F39,"")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IF(ISNUMBER(Calculations!A40),Calculations!A40,"")</f>
        <v/>
      </c>
      <c r="B32" s="33" t="str">
        <f>IF(ISNUMBER(A32),CONVERT(Calculations!T40,Units_In,Units_Out),"")</f>
        <v/>
      </c>
      <c r="C32" s="33" t="str">
        <f>IF(ISNUMBER(A32),CONVERT(Calculations!U40,Units_In,Units_Out),"")</f>
        <v/>
      </c>
      <c r="D32" s="33" t="str">
        <f>IF(ISTEXT(Calculations!F40),Calculations!F40,"")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IF(ISNUMBER(Calculations!A41),Calculations!A41,"")</f>
        <v/>
      </c>
      <c r="B33" s="33" t="str">
        <f>IF(ISNUMBER(A33),CONVERT(Calculations!T41,Units_In,Units_Out),"")</f>
        <v/>
      </c>
      <c r="C33" s="33" t="str">
        <f>IF(ISNUMBER(A33),CONVERT(Calculations!U41,Units_In,Units_Out),"")</f>
        <v/>
      </c>
      <c r="D33" s="33" t="str">
        <f>IF(ISTEXT(Calculations!F41),Calculations!F41,"")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IF(ISNUMBER(Calculations!A42),Calculations!A42,"")</f>
        <v/>
      </c>
      <c r="B34" s="33" t="str">
        <f>IF(ISNUMBER(A34),CONVERT(Calculations!T42,Units_In,Units_Out),"")</f>
        <v/>
      </c>
      <c r="C34" s="33" t="str">
        <f>IF(ISNUMBER(A34),CONVERT(Calculations!U42,Units_In,Units_Out),"")</f>
        <v/>
      </c>
      <c r="D34" s="33" t="str">
        <f>IF(ISTEXT(Calculations!F42),Calculations!F42,"")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IF(ISNUMBER(Calculations!A43),Calculations!A43,"")</f>
        <v/>
      </c>
      <c r="B35" s="33" t="str">
        <f>IF(ISNUMBER(A35),CONVERT(Calculations!T43,Units_In,Units_Out),"")</f>
        <v/>
      </c>
      <c r="C35" s="33" t="str">
        <f>IF(ISNUMBER(A35),CONVERT(Calculations!U43,Units_In,Units_Out),"")</f>
        <v/>
      </c>
      <c r="D35" s="33" t="str">
        <f>IF(ISTEXT(Calculations!F43),Calculations!F43,"")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IF(ISNUMBER(Calculations!A44),Calculations!A44,"")</f>
        <v/>
      </c>
      <c r="B36" s="33" t="str">
        <f>IF(ISNUMBER(A36),CONVERT(Calculations!U44,Units_In,Units_Out),"")</f>
        <v/>
      </c>
      <c r="C36" s="33" t="str">
        <f>IF(ISNUMBER(A36),CONVERT(Calculations!V44,Units_In,Units_Out),"")</f>
        <v/>
      </c>
      <c r="D36" s="33" t="str">
        <f>IF(ISTEXT(Calculations!F44),Calculations!F44,"")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IF(ISNUMBER(Calculations!A45),Calculations!A45,"")</f>
        <v/>
      </c>
      <c r="B37" s="33" t="str">
        <f>IF(ISNUMBER(A37),CONVERT(Calculations!U45,Units_In,Units_Out),"")</f>
        <v/>
      </c>
      <c r="C37" s="33" t="str">
        <f>IF(ISNUMBER(A37),CONVERT(Calculations!V45,Units_In,Units_Out),"")</f>
        <v/>
      </c>
      <c r="D37" s="33" t="str">
        <f>IF(ISTEXT(Calculations!F45),Calculations!F45,"")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kmorse</cp:lastModifiedBy>
  <dcterms:created xsi:type="dcterms:W3CDTF">2011-11-09T05:33:48Z</dcterms:created>
  <dcterms:modified xsi:type="dcterms:W3CDTF">2013-09-16T18:27:19Z</dcterms:modified>
</cp:coreProperties>
</file>