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G36" i="1" l="1"/>
  <c r="H36" i="1" s="1"/>
  <c r="I36" i="1"/>
  <c r="J36" i="1" s="1"/>
  <c r="N36" i="1"/>
  <c r="G37" i="1"/>
  <c r="H37" i="1" s="1"/>
  <c r="I37" i="1"/>
  <c r="J37" i="1" s="1"/>
  <c r="K37" i="1" l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36" i="1" l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G3" i="2" l="1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7" i="1" l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R36" i="1" l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Y36" i="1" l="1"/>
  <c r="X37" i="1"/>
  <c r="Y35" i="1"/>
  <c r="Y34" i="1"/>
  <c r="Y5" i="1"/>
  <c r="Y8" i="1" s="1"/>
  <c r="X9" i="1"/>
  <c r="Y9" i="1"/>
  <c r="Y37" i="1" l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W21" i="1" s="1"/>
  <c r="W37" i="1" l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E19" i="2" l="1"/>
  <c r="Y28" i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5" i="1" s="1"/>
  <c r="AF35" i="1" s="1"/>
  <c r="AD36" i="1"/>
  <c r="AF36" i="1" s="1"/>
  <c r="AD37" i="1"/>
  <c r="AF37" i="1" s="1"/>
  <c r="AD34" i="1"/>
  <c r="AF34" i="1" s="1"/>
  <c r="AD33" i="1"/>
  <c r="AF33" i="1" s="1"/>
  <c r="AD27" i="1"/>
  <c r="AF27" i="1" s="1"/>
  <c r="AD24" i="1"/>
  <c r="AF24" i="1" s="1"/>
  <c r="AD25" i="1"/>
  <c r="AF25" i="1" s="1"/>
  <c r="AD29" i="1"/>
  <c r="AF29" i="1" s="1"/>
  <c r="AD23" i="1"/>
  <c r="AF23" i="1" s="1"/>
  <c r="AD31" i="1" l="1"/>
  <c r="AF31" i="1" s="1"/>
  <c r="AD30" i="1"/>
  <c r="AF30" i="1" s="1"/>
  <c r="AD32" i="1"/>
  <c r="AF32" i="1" s="1"/>
  <c r="AD28" i="1"/>
  <c r="AF28" i="1" s="1"/>
  <c r="AD26" i="1"/>
  <c r="AF26" i="1" s="1"/>
  <c r="AC4" i="1"/>
  <c r="AC3" i="1"/>
  <c r="AC6" i="1" s="1"/>
  <c r="Z36" i="1" l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AA31" i="1" s="1"/>
  <c r="Z29" i="1"/>
  <c r="AA29" i="1" s="1"/>
  <c r="Z33" i="1"/>
  <c r="AA33" i="1" s="1"/>
  <c r="Z27" i="1"/>
  <c r="AA27" i="1" s="1"/>
  <c r="Z26" i="1"/>
  <c r="Z30" i="1"/>
  <c r="AA30" i="1" s="1"/>
  <c r="AA26" i="1" l="1"/>
  <c r="AA36" i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4" i="1"/>
  <c r="AB31" i="1"/>
  <c r="AB25" i="1"/>
  <c r="AB30" i="1"/>
  <c r="AC26" i="1" l="1"/>
  <c r="AE26" i="1" s="1"/>
  <c r="AB26" i="1"/>
  <c r="AC36" i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32" i="1"/>
  <c r="AE32" i="1" s="1"/>
  <c r="AC29" i="1"/>
  <c r="AE29" i="1" s="1"/>
  <c r="AC30" i="1"/>
  <c r="AE30" i="1" s="1"/>
  <c r="AC28" i="1"/>
  <c r="AE28" i="1" s="1"/>
  <c r="AB23" i="1"/>
  <c r="AC9" i="1" s="1"/>
  <c r="AI36" i="1" l="1"/>
  <c r="AJ36" i="1" s="1"/>
  <c r="AI37" i="1"/>
  <c r="AJ37" i="1" s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<sst xmlns="http://schemas.openxmlformats.org/spreadsheetml/2006/main" count="101" uniqueCount="88">
  <si>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</si>
  <si>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</si>
  <si>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</si>
  <si>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</si>
  <si>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</si>
  <si>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</si>
  <si>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</si>
  <si>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</si>
  <si>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</si>
  <si>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</si>
  <si>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</si>
  <si>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</si>
  <si>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</si>
  <si>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</si>
  <si>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</si>
  <si>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</si>
  <si>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</si>
  <si>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</si>
  <si>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</si>
  <si>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</si>
  <si>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</si>
  <si>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</si>
  <si>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</si>
  <si>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</si>
  <si>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</si>
  <si>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</si>
  <si>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</si>
  <si>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</si>
  <si>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</si>
  <si>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</si>
  <si>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</si>
  <si>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</si>
  <si>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</si>
  <si>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</si>
  <si>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</si>
  <si>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</si>
  <si>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</si>
  <si>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</si>
  <si>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</si>
  <si>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</si>
  <si>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</si>
  <si>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</si>
  <si>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</si>
  <si>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</si>
  <si>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</si>
  <si>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</si>
  <si>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</si>
  <si>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</si>
  <si>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</si>
  <si>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</si>
  <si>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</si>
  <si>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</si>
  <si>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</si>
  <si>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</si>
  <si>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</si>
  <si>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</si>
  <si>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</si>
  <si>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</si>
  <si>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</si>
  <si>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</si>
  <si>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</si>
  <si>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</si>
  <si>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</si>
  <si>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</si>
  <si>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</si>
  <si>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</si>
  <si>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</si>
  <si>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</si>
  <si>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</si>
  <si>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</si>
  <si>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</si>
  <si>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</si>
  <si>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</si>
  <si>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</si>
  <si>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</si>
  <si>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</si>
  <si>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</si>
  <si>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</si>
  <si>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</si>
  <si>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</si>
  <si>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</si>
  <si>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</si>
  <si>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</si>
  <si>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</si>
  <si>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ISLAND</t>
  </si>
  <si>
    <t>MID CHAN</t>
  </si>
  <si>
    <t>CSS15</t>
  </si>
  <si>
    <t>1,3951171.468,1518650.925,3331.288,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</si>
</sst>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6.16</c:v>
                </c:pt>
                <c:pt idx="2">
                  <c:v>9.02</c:v>
                </c:pt>
                <c:pt idx="3">
                  <c:v>14.92</c:v>
                </c:pt>
                <c:pt idx="4">
                  <c:v>16.98</c:v>
                </c:pt>
                <c:pt idx="5">
                  <c:v>19.7</c:v>
                </c:pt>
                <c:pt idx="6">
                  <c:v>36.020000000000003</c:v>
                </c:pt>
                <c:pt idx="7">
                  <c:v>61.12</c:v>
                </c:pt>
                <c:pt idx="8">
                  <c:v>81.760000000000005</c:v>
                </c:pt>
                <c:pt idx="9">
                  <c:v>84.83</c:v>
                </c:pt>
                <c:pt idx="10">
                  <c:v>87.25</c:v>
                </c:pt>
                <c:pt idx="11">
                  <c:v>88.93</c:v>
                </c:pt>
                <c:pt idx="12">
                  <c:v>90.98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9.25</c:v>
                </c:pt>
                <c:pt idx="1">
                  <c:v>6.25</c:v>
                </c:pt>
                <c:pt idx="2">
                  <c:v>3.05</c:v>
                </c:pt>
                <c:pt idx="3">
                  <c:v>1.19</c:v>
                </c:pt>
                <c:pt idx="4">
                  <c:v>0.72</c:v>
                </c:pt>
                <c:pt idx="5">
                  <c:v>0.49</c:v>
                </c:pt>
                <c:pt idx="6">
                  <c:v>1.04</c:v>
                </c:pt>
                <c:pt idx="7">
                  <c:v>0.21</c:v>
                </c:pt>
                <c:pt idx="8">
                  <c:v>0</c:v>
                </c:pt>
                <c:pt idx="9">
                  <c:v>0.76</c:v>
                </c:pt>
                <c:pt idx="10">
                  <c:v>1.43</c:v>
                </c:pt>
                <c:pt idx="11">
                  <c:v>4.09</c:v>
                </c:pt>
                <c:pt idx="12">
                  <c:v>5.66</c:v>
                </c:pt>
                <c:pt idx="13">
                  <c:v>9.25</c:v>
                </c:pt>
                <c:pt idx="14">
                  <c:v>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2544"/>
        <c:axId val="106291968"/>
      </c:scatterChart>
      <c:valAx>
        <c:axId val="1062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1968"/>
        <c:crosses val="autoZero"/>
        <c:crossBetween val="midCat"/>
      </c:valAx>
      <c:valAx>
        <c:axId val="1062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Calculations!$R$25:$R$33</c:f>
              <c:numCache>
                <c:formatCode>0.00</c:formatCode>
                <c:ptCount val="9"/>
                <c:pt idx="0">
                  <c:v>-21.537637211602362</c:v>
                </c:pt>
                <c:pt idx="1">
                  <c:v>-27.510384382660693</c:v>
                </c:pt>
                <c:pt idx="2">
                  <c:v>-29.374965662699559</c:v>
                </c:pt>
                <c:pt idx="3">
                  <c:v>-32.055838918605062</c:v>
                </c:pt>
                <c:pt idx="4">
                  <c:v>-48.620985687302458</c:v>
                </c:pt>
                <c:pt idx="5">
                  <c:v>-72.831676459089337</c:v>
                </c:pt>
                <c:pt idx="6">
                  <c:v>-92.315638020191798</c:v>
                </c:pt>
                <c:pt idx="7">
                  <c:v>-95.063779797448063</c:v>
                </c:pt>
                <c:pt idx="8">
                  <c:v>-97.382910839869012</c:v>
                </c:pt>
              </c:numCache>
            </c:numRef>
          </c:xVal>
          <c:yVal>
            <c:numRef>
              <c:f>Calculations!$S$25:$S$33</c:f>
              <c:numCache>
                <c:formatCode>0.00</c:formatCode>
                <c:ptCount val="9"/>
                <c:pt idx="0">
                  <c:v>7.318729169317467</c:v>
                </c:pt>
                <c:pt idx="1">
                  <c:v>7.7483650896017267</c:v>
                </c:pt>
                <c:pt idx="2">
                  <c:v>8.7773756656065913</c:v>
                </c:pt>
                <c:pt idx="3">
                  <c:v>9.2943783578015076</c:v>
                </c:pt>
                <c:pt idx="4">
                  <c:v>10.192391418777563</c:v>
                </c:pt>
                <c:pt idx="5">
                  <c:v>16.874779071286003</c:v>
                </c:pt>
                <c:pt idx="6">
                  <c:v>24.135337661590388</c:v>
                </c:pt>
                <c:pt idx="7">
                  <c:v>25.806977683627256</c:v>
                </c:pt>
                <c:pt idx="8">
                  <c:v>26.544049472481223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54912"/>
        <c:axId val="126009728"/>
      </c:scatterChart>
      <c:valAx>
        <c:axId val="122054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6009728"/>
        <c:crosses val="autoZero"/>
        <c:crossBetween val="midCat"/>
      </c:valAx>
      <c:valAx>
        <c:axId val="126009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05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1518638.2682866901</c:v>
                </c:pt>
                <c:pt idx="3">
                  <c:v>1518632.2747224595</c:v>
                </c:pt>
                <c:pt idx="4">
                  <c:v>1518629.5010368789</c:v>
                </c:pt>
                <c:pt idx="5">
                  <c:v>1518623.7548277825</c:v>
                </c:pt>
                <c:pt idx="6">
                  <c:v>1518621.7583237141</c:v>
                </c:pt>
                <c:pt idx="7">
                  <c:v>1518619.1057273662</c:v>
                </c:pt>
                <c:pt idx="8">
                  <c:v>1518603.2353500794</c:v>
                </c:pt>
                <c:pt idx="9">
                  <c:v>1518578.8241002769</c:v>
                </c:pt>
                <c:pt idx="10">
                  <c:v>1518558.7523833532</c:v>
                </c:pt>
                <c:pt idx="11">
                  <c:v>1518555.7747021061</c:v>
                </c:pt>
                <c:pt idx="12">
                  <c:v>1518553.4144013389</c:v>
                </c:pt>
                <c:pt idx="13">
                  <c:v>1518551.7801327545</c:v>
                </c:pt>
                <c:pt idx="14">
                  <c:v>1518549.7854757446</c:v>
                </c:pt>
                <c:pt idx="15">
                  <c:v>#N/A</c:v>
                </c:pt>
                <c:pt idx="16">
                  <c:v>#N/A</c:v>
                </c:pt>
              </c:numCache>
            </c:numRef>
          </c:xVal>
          <c:yVal>
            <c:numRef>
              <c:f>Calculations!$AA$21:$AA$46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3951177.1623818399</c:v>
                </c:pt>
                <c:pt idx="3">
                  <c:v>3951178.5974066108</c:v>
                </c:pt>
                <c:pt idx="4">
                  <c:v>3951179.261503526</c:v>
                </c:pt>
                <c:pt idx="5">
                  <c:v>3951180.6373046478</c:v>
                </c:pt>
                <c:pt idx="6">
                  <c:v>3951181.1153228492</c:v>
                </c:pt>
                <c:pt idx="7">
                  <c:v>3951181.7504276587</c:v>
                </c:pt>
                <c:pt idx="8">
                  <c:v>3951185.5502341939</c:v>
                </c:pt>
                <c:pt idx="9">
                  <c:v>3951191.3949614405</c:v>
                </c:pt>
                <c:pt idx="10">
                  <c:v>3951196.2006846927</c:v>
                </c:pt>
                <c:pt idx="11">
                  <c:v>3951196.9136238028</c:v>
                </c:pt>
                <c:pt idx="12">
                  <c:v>3951197.478744979</c:v>
                </c:pt>
                <c:pt idx="13">
                  <c:v>3951197.8700340036</c:v>
                </c:pt>
                <c:pt idx="14">
                  <c:v>3951198.3476099684</c:v>
                </c:pt>
                <c:pt idx="15">
                  <c:v>#N/A</c:v>
                </c:pt>
                <c:pt idx="16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5456"/>
        <c:axId val="157680000"/>
      </c:scatterChart>
      <c:valAx>
        <c:axId val="156195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7680000"/>
        <c:crosses val="autoZero"/>
        <c:crossBetween val="midCat"/>
      </c:valAx>
      <c:valAx>
        <c:axId val="157680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19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9360"/>
        <c:axId val="159143808"/>
      </c:scatterChart>
      <c:valAx>
        <c:axId val="1587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43808"/>
        <c:crosses val="autoZero"/>
        <c:crossBetween val="midCat"/>
      </c:valAx>
      <c:valAx>
        <c:axId val="159143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71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47</xdr:row>
      <xdr:rowOff>123749</xdr:rowOff>
    </xdr:from>
    <xdr:to>
      <xdr:col>34</xdr:col>
      <xdr:colOff>167833</xdr:colOff>
      <xdr:row>62</xdr:row>
      <xdr:rowOff>9449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48</xdr:row>
      <xdr:rowOff>8988</xdr:rowOff>
    </xdr:from>
    <xdr:to>
      <xdr:col>20</xdr:col>
      <xdr:colOff>654100</xdr:colOff>
      <xdr:row>62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47</xdr:row>
      <xdr:rowOff>129988</xdr:rowOff>
    </xdr:from>
    <xdr:to>
      <xdr:col>27</xdr:col>
      <xdr:colOff>392206</xdr:colOff>
      <xdr:row>62</xdr:row>
      <xdr:rowOff>15688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topLeftCell="AB1" zoomScale="85" zoomScaleNormal="85" workbookViewId="0">
      <selection activeCell="AJ23" sqref="AJ23:AJ35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6" t="s">
        <v>86</v>
      </c>
      <c r="B1" s="57"/>
      <c r="C1" s="51">
        <v>40838</v>
      </c>
      <c r="D1" s="44"/>
      <c r="E1" s="44"/>
      <c r="F1" s="44"/>
      <c r="M1" s="62" t="s">
        <v>21</v>
      </c>
      <c r="N1" s="62"/>
      <c r="O1" s="62"/>
      <c r="P1" s="62"/>
      <c r="Q1" s="62"/>
      <c r="R1" s="22"/>
      <c r="W1" s="59" t="s">
        <v>34</v>
      </c>
      <c r="X1" s="59"/>
      <c r="Y1" s="59"/>
      <c r="Z1" s="2"/>
      <c r="AA1" s="59" t="s">
        <v>56</v>
      </c>
      <c r="AB1" s="59"/>
      <c r="AC1" s="59"/>
    </row>
    <row r="2" spans="1:29" x14ac:dyDescent="0.25">
      <c r="A2" s="56" t="s">
        <v>16</v>
      </c>
      <c r="B2" s="57"/>
      <c r="C2" s="38">
        <v>4.9656000000000002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56" t="s">
        <v>66</v>
      </c>
      <c r="B3" s="57"/>
      <c r="C3" s="38" t="s">
        <v>71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>SLOPE(yB,xB)</f>
        <v>-0.239427612010572</v>
      </c>
    </row>
    <row r="4" spans="1:29" ht="18" x14ac:dyDescent="0.35">
      <c r="A4" s="56" t="s">
        <v>67</v>
      </c>
      <c r="B4" s="57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1518650.925</v>
      </c>
      <c r="O4" s="20">
        <f>VALUE(MID(C10,FIND(",",C10,1)+1,FIND(",",C10,5)-FIND(",",C10,1)-1))</f>
        <v>3951171.4679999999</v>
      </c>
      <c r="P4" s="20">
        <f>VALUE(MID(C10,FIND(",",C10,17)+1,FIND(",",C10,27)-FIND(",",C10,17)-1))</f>
        <v>3331.288</v>
      </c>
      <c r="Q4" s="23"/>
      <c r="R4" s="22"/>
      <c r="W4" s="27"/>
      <c r="X4" s="20" t="e">
        <f ca="1">VALUE(OFFSET($P$3,MATCH($O$10,$M$4:$M$6,0),0))</f>
        <v>#VALUE!</v>
      </c>
      <c r="Y4" s="20" t="e">
        <f ca="1">OFFSET($P$3,MATCH($Q$10,$M$4:$M$6,0),0)</f>
        <v>#VALUE!</v>
      </c>
      <c r="Z4" s="2"/>
      <c r="AA4" s="26" t="s">
        <v>41</v>
      </c>
      <c r="AB4" s="26" t="s">
        <v>54</v>
      </c>
      <c r="AC4" s="28">
        <f>INTERCEPT(yB,xB)</f>
        <v>4314781.0964655923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 t="e">
        <f t="shared" ref="N5:N6" si="0">VALUE(MID(C11,FIND(",",C11,3)+1,FIND(",",C11,15)-FIND(",",C11,3)-1))</f>
        <v>#VALUE!</v>
      </c>
      <c r="O5" s="20" t="e">
        <f t="shared" ref="O5:O6" si="1">VALUE(MID(C11,FIND(",",C11,1)+1,FIND(",",C11,5)-FIND(",",C11,1)-1))</f>
        <v>#VALUE!</v>
      </c>
      <c r="P5" s="20" t="e">
        <f t="shared" ref="P5:P6" si="2">VALUE(MID(C11,FIND(",",C11,17)+1,FIND(",",C11,27)-FIND(",",C11,17)-1))</f>
        <v>#VALUE!</v>
      </c>
      <c r="Q5" s="24" t="e">
        <f>DEGREES(ATAN2(Old_Y1-Old_Y0,Old_X1-Old_X0))+IF(Old_X1-Old_X0&lt;0,360)</f>
        <v>#VALUE!</v>
      </c>
      <c r="R5" s="22"/>
      <c r="W5" s="21"/>
      <c r="X5" s="20">
        <f ca="1">VALUE(OFFSET($V$20,MATCH($O11,$A$21:$A$51,0),0))</f>
        <v>3332.5372417617714</v>
      </c>
      <c r="Y5" s="20">
        <f ca="1">OFFSET($V$20,MATCH($Q11,$A$21:$A$51,0),0)</f>
        <v>3330.8000531201351</v>
      </c>
      <c r="Z5" s="2"/>
      <c r="AA5" s="26"/>
      <c r="AB5" s="26"/>
      <c r="AC5" s="20"/>
    </row>
    <row r="6" spans="1:29" ht="18" x14ac:dyDescent="0.35">
      <c r="A6" s="58" t="s">
        <v>17</v>
      </c>
      <c r="B6" s="58"/>
      <c r="C6" s="55">
        <v>3</v>
      </c>
      <c r="D6" s="4"/>
      <c r="E6" s="44"/>
      <c r="F6" s="44"/>
      <c r="M6" s="22">
        <v>2</v>
      </c>
      <c r="N6" s="20" t="e">
        <f t="shared" si="0"/>
        <v>#VALUE!</v>
      </c>
      <c r="O6" s="20" t="e">
        <f t="shared" si="1"/>
        <v>#VALUE!</v>
      </c>
      <c r="P6" s="20" t="e">
        <f t="shared" si="2"/>
        <v>#VALUE!</v>
      </c>
      <c r="Q6" s="24" t="e">
        <f>DEGREES(ATAN2(Old_Y2-Old_Y0,Old_X2-Old_X0))+IF(Old_X2-Old_X0&lt;0,360)</f>
        <v>#VALUE!</v>
      </c>
      <c r="R6" s="22"/>
      <c r="W6" s="21"/>
      <c r="X6" s="20">
        <f ca="1">VALUE(OFFSET($V$20,MATCH($O12,$A$21:$A$61,0),0))</f>
        <v>3332.5407263104967</v>
      </c>
      <c r="Y6" s="20">
        <f ca="1">VALUE(OFFSET($V$20,MATCH($O12,$A$21:$A$61,0),0))</f>
        <v>3332.5407263104967</v>
      </c>
      <c r="Z6" s="5"/>
      <c r="AA6" s="26" t="s">
        <v>42</v>
      </c>
      <c r="AB6" s="21" t="s">
        <v>55</v>
      </c>
      <c r="AC6" s="20">
        <f>-1/mA</f>
        <v>4.1766277147509818</v>
      </c>
    </row>
    <row r="7" spans="1:29" x14ac:dyDescent="0.25">
      <c r="A7" s="58" t="s">
        <v>18</v>
      </c>
      <c r="B7" s="58"/>
      <c r="C7" s="55">
        <v>15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9" t="s">
        <v>24</v>
      </c>
      <c r="P8" s="59"/>
      <c r="Q8" s="59" t="s">
        <v>25</v>
      </c>
      <c r="R8" s="59"/>
      <c r="W8" s="21" t="s">
        <v>35</v>
      </c>
      <c r="X8" s="20" t="e">
        <f ca="1">X5-X4</f>
        <v>#VALUE!</v>
      </c>
      <c r="Y8" s="20" t="e">
        <f ca="1">Y5-Y4</f>
        <v>#VALUE!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 t="e">
        <f ca="1">X6-X4</f>
        <v>#VALUE!</v>
      </c>
      <c r="Y9" s="20" t="e">
        <f ca="1">Y6-Y4</f>
        <v>#VALUE!</v>
      </c>
      <c r="AA9" s="31" t="s">
        <v>49</v>
      </c>
      <c r="AB9" s="31"/>
      <c r="AC9" s="20">
        <f>AVERAGE(DfromL)</f>
        <v>1.7865020416055017</v>
      </c>
    </row>
    <row r="10" spans="1:29" s="16" customFormat="1" x14ac:dyDescent="0.25">
      <c r="A10" s="53"/>
      <c r="B10" s="48"/>
      <c r="C10" s="35" t="s">
        <v>87</v>
      </c>
      <c r="D10" s="36"/>
      <c r="E10" s="37"/>
      <c r="F10" s="47"/>
      <c r="M10" s="63" t="s">
        <v>22</v>
      </c>
      <c r="N10" s="63"/>
      <c r="O10" s="32">
        <v>1</v>
      </c>
      <c r="P10" s="20" t="e">
        <f ca="1">OFFSET($Q$3,MATCH($O$10,$M$4:$M$6,0),0)</f>
        <v>#VALUE!</v>
      </c>
      <c r="Q10" s="32">
        <v>2</v>
      </c>
      <c r="R10" s="20" t="e">
        <f ca="1">OFFSET($Q$3,MATCH($O$10,$M$4:$M$6,0),0)</f>
        <v>#VALUE!</v>
      </c>
      <c r="W10" s="22"/>
      <c r="X10" s="22"/>
      <c r="Y10" s="22"/>
      <c r="AA10" s="31" t="s">
        <v>50</v>
      </c>
      <c r="AB10" s="31"/>
      <c r="AC10" s="20">
        <f>_xlfn.STDEV.P(DfromL)</f>
        <v>1.3544539718292314</v>
      </c>
    </row>
    <row r="11" spans="1:29" s="16" customFormat="1" x14ac:dyDescent="0.25">
      <c r="A11" s="14"/>
      <c r="B11" s="48"/>
      <c r="C11" s="35"/>
      <c r="D11" s="36"/>
      <c r="E11" s="37"/>
      <c r="F11" s="47"/>
      <c r="M11" s="59" t="s">
        <v>31</v>
      </c>
      <c r="N11" s="59"/>
      <c r="O11" s="32">
        <v>1</v>
      </c>
      <c r="P11" s="20">
        <f ca="1">OFFSET($N$20,MATCH($O11,$A$21:$A$51,0),0)</f>
        <v>359.9997222222222</v>
      </c>
      <c r="Q11" s="32">
        <v>2</v>
      </c>
      <c r="R11" s="20">
        <f ca="1">OFFSET($N$20,MATCH($Q11,$A$21:$A$51,0),0)</f>
        <v>93.930555555555557</v>
      </c>
      <c r="W11" s="21" t="s">
        <v>37</v>
      </c>
      <c r="X11" s="20">
        <v>0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/>
      <c r="D12" s="36"/>
      <c r="E12" s="37"/>
      <c r="F12" s="47"/>
      <c r="M12" s="59" t="s">
        <v>30</v>
      </c>
      <c r="N12" s="59"/>
      <c r="O12" s="32">
        <v>16</v>
      </c>
      <c r="P12" s="20">
        <f ca="1">OFFSET($N$20,MATCH($O12,$A$21:$A$61,0),0)</f>
        <v>359.98694444444442</v>
      </c>
      <c r="Q12" s="32">
        <v>17</v>
      </c>
      <c r="R12" s="20">
        <f ca="1">OFFSET($N$20,MATCH($Q12,$A$21:$A$51,0),0)</f>
        <v>93.978055555555557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>MIN(Zs)</f>
        <v>3321.7196348446832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9" t="s">
        <v>32</v>
      </c>
      <c r="N14" s="59"/>
      <c r="O14" s="22"/>
      <c r="P14" s="20" t="e">
        <f ca="1">P10-P11+IF(P11&gt;P10,360)</f>
        <v>#VALUE!</v>
      </c>
      <c r="Q14" s="20"/>
      <c r="R14" s="20" t="e">
        <f ca="1">R10-R11+IF(R11&gt;R10,360)</f>
        <v>#VALUE!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9" t="s">
        <v>33</v>
      </c>
      <c r="N15" s="59"/>
      <c r="O15" s="22"/>
      <c r="P15" s="20" t="e">
        <f ca="1">P10-P12+IF(P12&gt;P10,360)</f>
        <v>#VALUE!</v>
      </c>
      <c r="Q15" s="20"/>
      <c r="R15" s="20" t="e">
        <f ca="1">R10-R12+IF(R12&gt;R10,360)</f>
        <v>#VALUE!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9" t="s">
        <v>39</v>
      </c>
      <c r="N17" s="59"/>
      <c r="O17" s="20">
        <v>0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60" t="s">
        <v>20</v>
      </c>
      <c r="U19" s="60"/>
      <c r="X19" s="61" t="s">
        <v>45</v>
      </c>
      <c r="Y19" s="61"/>
      <c r="Z19" s="61" t="s">
        <v>46</v>
      </c>
      <c r="AA19" s="61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82</v>
      </c>
      <c r="H20" s="12" t="s">
        <v>76</v>
      </c>
      <c r="I20" s="12" t="s">
        <v>81</v>
      </c>
      <c r="J20" s="12" t="s">
        <v>80</v>
      </c>
      <c r="K20" s="3" t="s">
        <v>74</v>
      </c>
      <c r="L20" s="3" t="s">
        <v>75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79</v>
      </c>
      <c r="R20" s="19" t="s">
        <v>77</v>
      </c>
      <c r="S20" s="19" t="s">
        <v>78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72</v>
      </c>
      <c r="AF20" s="19" t="s">
        <v>73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3.7259606481481478</v>
      </c>
      <c r="D21" s="44">
        <v>118.164</v>
      </c>
      <c r="E21" s="44">
        <v>4.9062000000000001</v>
      </c>
      <c r="F21" s="44"/>
      <c r="G21" s="43">
        <f>C21*24</f>
        <v>89.42305555555555</v>
      </c>
      <c r="H21" s="43">
        <f>RADIANS(G21)</f>
        <v>1.5607267466382515</v>
      </c>
      <c r="I21" s="43">
        <f t="shared" ref="I21:I33" si="3">B21*24</f>
        <v>359.9997222222222</v>
      </c>
      <c r="J21" s="39">
        <f>RADIANS(I21)</f>
        <v>6.2831804590427751</v>
      </c>
      <c r="K21" s="39">
        <f>D21*SIN(H21)</f>
        <v>118.15800934588373</v>
      </c>
      <c r="L21" s="15">
        <f>D21*COS(H21)</f>
        <v>1.1898417617712462</v>
      </c>
      <c r="M21" s="13"/>
      <c r="N21" s="16">
        <f t="shared" ref="N21:N33" si="4">I21+M21</f>
        <v>359.9997222222222</v>
      </c>
      <c r="O21" s="16">
        <f>$O$17</f>
        <v>0</v>
      </c>
      <c r="P21" s="16">
        <f>SUM(N21,O21)</f>
        <v>359.9997222222222</v>
      </c>
      <c r="Q21" s="16">
        <f>RADIANS(P21)</f>
        <v>6.2831804590427751</v>
      </c>
      <c r="R21" s="16">
        <f t="shared" ref="R21:R33" si="5">K21*SIN(Q21)</f>
        <v>-5.7284619466511607E-4</v>
      </c>
      <c r="S21" s="16">
        <f t="shared" ref="S21:S33" si="6">K21*COS(Q21)</f>
        <v>118.1580093444951</v>
      </c>
      <c r="T21" s="13">
        <f t="shared" ref="T21:T33" si="7">Old_X0+R21</f>
        <v>1518650.9244271538</v>
      </c>
      <c r="U21" s="13">
        <f t="shared" ref="U21:U33" si="8">Old_Y0+S21</f>
        <v>3951289.6260093446</v>
      </c>
      <c r="V21" s="16">
        <f t="shared" ref="V21:V33" si="9">Old_Z0+HI+L21-E21</f>
        <v>3332.5372417617714</v>
      </c>
      <c r="W21" s="16">
        <f>IF(ISNUMBER(T21),V21+dZ,"")</f>
        <v>3332.5372417617714</v>
      </c>
      <c r="X21" s="16" t="str">
        <f t="shared" ref="X21:X46" si="10">IF(AND(A21&gt;=CS_Start,A21&lt;=CS_End),IF(OR(LEFT(UPPER(F21))="D"),"",T21),"")</f>
        <v/>
      </c>
      <c r="Y21" s="16" t="str">
        <f>IF(ISNUMBER(X21),U21,"")</f>
        <v/>
      </c>
      <c r="Z21" s="16" t="e">
        <f t="shared" ref="Z21:Z46" si="11">IF(X21="",NA(),VALUE((-mB*X21+Y21-bA)/(mA-mB)))</f>
        <v>#N/A</v>
      </c>
      <c r="AA21" s="16" t="e">
        <f t="shared" ref="AA21:AA46" si="12"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3">IF(ISNUMBER(Z21),SQRT(($Z21-OFFSET($Z$20,MATCH(CS_Start,$A$21:$A$51,0),0))^2+($AA21-OFFSET($AA$20,MATCH(CS_Start,$A$21:$A$51,0),0))^2),"")</f>
        <v/>
      </c>
      <c r="AD21" s="16" t="str">
        <f t="shared" ref="AD21:AD23" si="14">IF(ISNUMBER(X21),W21-Min_Z,"")</f>
        <v/>
      </c>
    </row>
    <row r="22" spans="1:36" x14ac:dyDescent="0.25">
      <c r="A22" s="44">
        <v>2</v>
      </c>
      <c r="B22" s="48">
        <v>3.9137731481481484</v>
      </c>
      <c r="C22" s="48">
        <v>3.7747222222222221</v>
      </c>
      <c r="D22" s="44">
        <v>52.856000000000002</v>
      </c>
      <c r="E22" s="44">
        <v>4.9062000000000001</v>
      </c>
      <c r="F22" s="44"/>
      <c r="G22" s="43">
        <f t="shared" ref="G22:G33" si="15">C22*24</f>
        <v>90.593333333333334</v>
      </c>
      <c r="H22" s="43">
        <f t="shared" ref="H22:H33" si="16">RADIANS(G22)</f>
        <v>1.5811519470233963</v>
      </c>
      <c r="I22" s="43">
        <f t="shared" si="3"/>
        <v>93.930555555555557</v>
      </c>
      <c r="J22" s="39">
        <f t="shared" ref="J22:J33" si="17">RADIANS(I22)</f>
        <v>1.6393974626718959</v>
      </c>
      <c r="K22" s="39">
        <f t="shared" ref="K22:K33" si="18">D22*SIN(H22)</f>
        <v>52.853165916462395</v>
      </c>
      <c r="L22" s="15">
        <f t="shared" ref="L22:L33" si="19">D22*COS(H22)</f>
        <v>-0.5473468798650073</v>
      </c>
      <c r="M22" s="13"/>
      <c r="N22" s="16">
        <f t="shared" si="4"/>
        <v>93.930555555555557</v>
      </c>
      <c r="O22" s="16">
        <f t="shared" ref="O22:O46" si="20">$O$17</f>
        <v>0</v>
      </c>
      <c r="P22" s="16">
        <f t="shared" ref="P22:P33" si="21">SUM(N22,O22)</f>
        <v>93.930555555555557</v>
      </c>
      <c r="Q22" s="16">
        <f t="shared" ref="Q22:Q33" si="22">RADIANS(P22)</f>
        <v>1.6393974626718959</v>
      </c>
      <c r="R22" s="16">
        <f t="shared" si="5"/>
        <v>52.728848121679732</v>
      </c>
      <c r="S22" s="16">
        <f t="shared" si="6"/>
        <v>-3.6229439898974198</v>
      </c>
      <c r="T22" s="13">
        <f t="shared" si="7"/>
        <v>1518703.6538481216</v>
      </c>
      <c r="U22" s="13">
        <f t="shared" si="8"/>
        <v>3951167.8450560099</v>
      </c>
      <c r="V22" s="16">
        <f t="shared" si="9"/>
        <v>3330.8000531201351</v>
      </c>
      <c r="W22" s="16">
        <f t="shared" ref="W22:W33" si="23">IF(ISNUMBER(T22),V22+dZ,"")</f>
        <v>3330.8000531201351</v>
      </c>
      <c r="X22" s="47" t="str">
        <f t="shared" si="10"/>
        <v/>
      </c>
      <c r="Y22" s="47" t="str">
        <f t="shared" ref="Y22:Y35" si="24">IF(ISNUMBER(X22),U22,"")</f>
        <v/>
      </c>
      <c r="Z22" s="47" t="e">
        <f t="shared" si="11"/>
        <v>#N/A</v>
      </c>
      <c r="AA22" s="47" t="e">
        <f t="shared" si="12"/>
        <v>#N/A</v>
      </c>
      <c r="AB22" s="16" t="str">
        <f t="shared" ref="AB22:AB23" si="25">IF(ISNUMBER(X22),SQRT((X22-Z22)^2+(Y22-AA22)^2),"")</f>
        <v/>
      </c>
      <c r="AC22" s="16" t="str">
        <f t="shared" ca="1" si="13"/>
        <v/>
      </c>
      <c r="AD22" s="16" t="str">
        <f t="shared" si="14"/>
        <v/>
      </c>
    </row>
    <row r="23" spans="1:36" x14ac:dyDescent="0.25">
      <c r="A23" s="44">
        <v>3</v>
      </c>
      <c r="B23" s="48">
        <v>12.989560185185185</v>
      </c>
      <c r="C23" s="48">
        <v>3.8081712962962961</v>
      </c>
      <c r="D23" s="44">
        <v>15.488</v>
      </c>
      <c r="E23" s="44">
        <v>4.9062000000000001</v>
      </c>
      <c r="F23" s="44"/>
      <c r="G23" s="43">
        <f t="shared" si="15"/>
        <v>91.396111111111111</v>
      </c>
      <c r="H23" s="43">
        <f t="shared" si="16"/>
        <v>1.595163062407462</v>
      </c>
      <c r="I23" s="43">
        <f t="shared" si="3"/>
        <v>311.74944444444446</v>
      </c>
      <c r="J23" s="39">
        <f t="shared" si="17"/>
        <v>5.4410542468187009</v>
      </c>
      <c r="K23" s="39">
        <f t="shared" si="18"/>
        <v>15.483402321933989</v>
      </c>
      <c r="L23" s="15">
        <f t="shared" si="19"/>
        <v>-0.37735465695970016</v>
      </c>
      <c r="M23" s="13"/>
      <c r="N23" s="16">
        <f t="shared" si="4"/>
        <v>311.74944444444446</v>
      </c>
      <c r="O23" s="16">
        <f t="shared" si="20"/>
        <v>0</v>
      </c>
      <c r="P23" s="16">
        <f t="shared" si="21"/>
        <v>311.74944444444446</v>
      </c>
      <c r="Q23" s="16">
        <f t="shared" si="22"/>
        <v>5.4410542468187009</v>
      </c>
      <c r="R23" s="16">
        <f t="shared" si="5"/>
        <v>-11.551606462467101</v>
      </c>
      <c r="S23" s="16">
        <f t="shared" si="6"/>
        <v>10.310001726438225</v>
      </c>
      <c r="T23" s="13">
        <f t="shared" si="7"/>
        <v>1518639.3733935375</v>
      </c>
      <c r="U23" s="13">
        <f t="shared" si="8"/>
        <v>3951181.7780017261</v>
      </c>
      <c r="V23" s="16">
        <f t="shared" si="9"/>
        <v>3330.9700453430405</v>
      </c>
      <c r="W23" s="16">
        <f t="shared" si="23"/>
        <v>3330.9700453430405</v>
      </c>
      <c r="X23" s="47">
        <f t="shared" si="10"/>
        <v>1518639.3733935375</v>
      </c>
      <c r="Y23" s="47">
        <f t="shared" si="24"/>
        <v>3951181.7780017261</v>
      </c>
      <c r="Z23" s="47">
        <f t="shared" si="11"/>
        <v>1518638.2682866901</v>
      </c>
      <c r="AA23" s="47">
        <f t="shared" si="12"/>
        <v>3951177.1623818399</v>
      </c>
      <c r="AB23" s="16">
        <f t="shared" si="25"/>
        <v>4.7460729111526039</v>
      </c>
      <c r="AC23" s="16">
        <f t="shared" ca="1" si="13"/>
        <v>0</v>
      </c>
      <c r="AD23" s="16">
        <f t="shared" si="14"/>
        <v>9.2504104983572688</v>
      </c>
      <c r="AE23" s="47">
        <f ca="1">ROUND(AC23,2)</f>
        <v>0</v>
      </c>
      <c r="AF23" s="47">
        <f t="shared" ref="AF23:AF46" si="26">ROUND(AD23,2)</f>
        <v>9.25</v>
      </c>
      <c r="AH23" s="44">
        <v>0</v>
      </c>
      <c r="AI23" s="2">
        <f t="shared" ref="AI23:AI43" ca="1" si="27">OFFSET($AF$22,MATCH(AH23,$AE$23:$AE$59,0),0)</f>
        <v>9.25</v>
      </c>
      <c r="AJ23" s="2" t="str">
        <f t="shared" ref="AJ23:AJ43" ca="1" si="28">CONCATENATE(AH23,",",AI23)</f>
        <v>0,9.25</v>
      </c>
    </row>
    <row r="24" spans="1:36" x14ac:dyDescent="0.25">
      <c r="A24" s="44">
        <v>4</v>
      </c>
      <c r="B24" s="48">
        <v>12.333078703703704</v>
      </c>
      <c r="C24" s="48">
        <v>4.1439699074074072</v>
      </c>
      <c r="D24" s="44">
        <v>20.56</v>
      </c>
      <c r="E24" s="44">
        <v>4.9062000000000001</v>
      </c>
      <c r="F24" s="44"/>
      <c r="G24" s="43">
        <f t="shared" si="15"/>
        <v>99.455277777777781</v>
      </c>
      <c r="H24" s="43">
        <f t="shared" si="16"/>
        <v>1.7358220557077717</v>
      </c>
      <c r="I24" s="43">
        <f t="shared" si="3"/>
        <v>295.99388888888888</v>
      </c>
      <c r="J24" s="39">
        <f t="shared" si="17"/>
        <v>5.1660679268933709</v>
      </c>
      <c r="K24" s="39">
        <f t="shared" si="18"/>
        <v>20.280674491950958</v>
      </c>
      <c r="L24" s="15">
        <f t="shared" si="19"/>
        <v>-3.3775497259892124</v>
      </c>
      <c r="M24" s="13"/>
      <c r="N24" s="16">
        <f t="shared" si="4"/>
        <v>295.99388888888888</v>
      </c>
      <c r="O24" s="16">
        <f t="shared" si="20"/>
        <v>0</v>
      </c>
      <c r="P24" s="16">
        <f t="shared" si="21"/>
        <v>295.99388888888888</v>
      </c>
      <c r="Q24" s="16">
        <f t="shared" si="22"/>
        <v>5.1660679268933709</v>
      </c>
      <c r="R24" s="16">
        <f t="shared" si="5"/>
        <v>-18.229097632543088</v>
      </c>
      <c r="S24" s="16">
        <f t="shared" si="6"/>
        <v>8.8885182877509035</v>
      </c>
      <c r="T24" s="13">
        <f t="shared" si="7"/>
        <v>1518632.6959023676</v>
      </c>
      <c r="U24" s="13">
        <f t="shared" si="8"/>
        <v>3951180.3565182877</v>
      </c>
      <c r="V24" s="16">
        <f t="shared" si="9"/>
        <v>3327.9698502740107</v>
      </c>
      <c r="W24" s="16">
        <f t="shared" si="23"/>
        <v>3327.9698502740107</v>
      </c>
      <c r="X24" s="47">
        <f t="shared" si="10"/>
        <v>1518632.6959023676</v>
      </c>
      <c r="Y24" s="47">
        <f t="shared" si="24"/>
        <v>3951180.3565182877</v>
      </c>
      <c r="Z24" s="47">
        <f t="shared" si="11"/>
        <v>1518632.2747224595</v>
      </c>
      <c r="AA24" s="47">
        <f t="shared" si="12"/>
        <v>3951178.5974066108</v>
      </c>
      <c r="AB24" s="47">
        <f t="shared" ref="AB24:AB33" si="29">IF(ISNUMBER(X24),SQRT((X24-Z24)^2+(Y24-AA24)^2),"")</f>
        <v>1.8088301209746909</v>
      </c>
      <c r="AC24" s="47">
        <f t="shared" ref="AC24:AC33" ca="1" si="30">IF(ISNUMBER(Z24),SQRT(($Z24-OFFSET($Z$20,MATCH(CS_Start,$A$21:$A$51,0),0))^2+($AA24-OFFSET($AA$20,MATCH(CS_Start,$A$21:$A$51,0),0))^2),"")</f>
        <v>6.1629626219635538</v>
      </c>
      <c r="AD24" s="47">
        <f t="shared" ref="AD24:AD33" si="31">IF(ISNUMBER(X24),W24-Min_Z,"")</f>
        <v>6.2502154293274543</v>
      </c>
      <c r="AE24" s="47">
        <f t="shared" ref="AE24:AE46" ca="1" si="32">ROUND(AC24,2)</f>
        <v>6.16</v>
      </c>
      <c r="AF24" s="47">
        <f t="shared" si="26"/>
        <v>6.25</v>
      </c>
      <c r="AH24" s="44">
        <v>6.16</v>
      </c>
      <c r="AI24" s="44">
        <f t="shared" ca="1" si="27"/>
        <v>6.25</v>
      </c>
      <c r="AJ24" s="2" t="str">
        <f t="shared" ca="1" si="28"/>
        <v>6.16,6.25</v>
      </c>
    </row>
    <row r="25" spans="1:36" x14ac:dyDescent="0.25">
      <c r="A25" s="44">
        <v>5</v>
      </c>
      <c r="B25" s="48">
        <v>12.032013888888889</v>
      </c>
      <c r="C25" s="48">
        <v>4.4219675925925923</v>
      </c>
      <c r="D25" s="44">
        <v>23.678999999999998</v>
      </c>
      <c r="E25" s="44">
        <v>4.9062000000000001</v>
      </c>
      <c r="F25" s="44"/>
      <c r="G25" s="43">
        <f t="shared" si="15"/>
        <v>106.12722222222222</v>
      </c>
      <c r="H25" s="43">
        <f t="shared" si="16"/>
        <v>1.852269453773471</v>
      </c>
      <c r="I25" s="43">
        <f t="shared" si="3"/>
        <v>288.76833333333332</v>
      </c>
      <c r="J25" s="39">
        <f t="shared" si="17"/>
        <v>5.0399581921631587</v>
      </c>
      <c r="K25" s="39">
        <f t="shared" si="18"/>
        <v>22.747167149173041</v>
      </c>
      <c r="L25" s="15">
        <f t="shared" si="19"/>
        <v>-6.5773419925972219</v>
      </c>
      <c r="M25" s="13"/>
      <c r="N25" s="16">
        <f t="shared" si="4"/>
        <v>288.76833333333332</v>
      </c>
      <c r="O25" s="16">
        <f t="shared" si="20"/>
        <v>0</v>
      </c>
      <c r="P25" s="16">
        <f t="shared" si="21"/>
        <v>288.76833333333332</v>
      </c>
      <c r="Q25" s="16">
        <f t="shared" si="22"/>
        <v>5.0399581921631587</v>
      </c>
      <c r="R25" s="16">
        <f t="shared" si="5"/>
        <v>-21.537637211602362</v>
      </c>
      <c r="S25" s="16">
        <f t="shared" si="6"/>
        <v>7.318729169317467</v>
      </c>
      <c r="T25" s="13">
        <f t="shared" si="7"/>
        <v>1518629.3873627884</v>
      </c>
      <c r="U25" s="13">
        <f t="shared" si="8"/>
        <v>3951178.7867291691</v>
      </c>
      <c r="V25" s="16">
        <f t="shared" si="9"/>
        <v>3324.7700580074029</v>
      </c>
      <c r="W25" s="16">
        <f t="shared" si="23"/>
        <v>3324.7700580074029</v>
      </c>
      <c r="X25" s="47">
        <f t="shared" si="10"/>
        <v>1518629.3873627884</v>
      </c>
      <c r="Y25" s="47">
        <f t="shared" si="24"/>
        <v>3951178.7867291691</v>
      </c>
      <c r="Z25" s="47">
        <f t="shared" si="11"/>
        <v>1518629.5010368789</v>
      </c>
      <c r="AA25" s="47">
        <f t="shared" si="12"/>
        <v>3951179.261503526</v>
      </c>
      <c r="AB25" s="47">
        <f t="shared" si="29"/>
        <v>0.48819308561815628</v>
      </c>
      <c r="AC25" s="47">
        <f t="shared" ca="1" si="30"/>
        <v>9.0150419358458205</v>
      </c>
      <c r="AD25" s="47">
        <f t="shared" si="31"/>
        <v>3.0504231627196532</v>
      </c>
      <c r="AE25" s="47">
        <f t="shared" ca="1" si="32"/>
        <v>9.02</v>
      </c>
      <c r="AF25" s="47">
        <f t="shared" si="26"/>
        <v>3.05</v>
      </c>
      <c r="AH25" s="44">
        <v>9.02</v>
      </c>
      <c r="AI25" s="44">
        <f t="shared" ca="1" si="27"/>
        <v>3.05</v>
      </c>
      <c r="AJ25" s="2" t="str">
        <f t="shared" ca="1" si="28"/>
        <v>9.02,3.05</v>
      </c>
    </row>
    <row r="26" spans="1:36" x14ac:dyDescent="0.25">
      <c r="A26" s="44">
        <v>6</v>
      </c>
      <c r="B26" s="48">
        <v>11.905416666666667</v>
      </c>
      <c r="C26" s="48">
        <v>4.4352662037037041</v>
      </c>
      <c r="D26" s="44">
        <v>29.8</v>
      </c>
      <c r="E26" s="44">
        <v>4.9062000000000001</v>
      </c>
      <c r="F26" s="44"/>
      <c r="G26" s="43">
        <f t="shared" si="15"/>
        <v>106.44638888888889</v>
      </c>
      <c r="H26" s="43">
        <f t="shared" si="16"/>
        <v>1.8578399629694196</v>
      </c>
      <c r="I26" s="43">
        <f t="shared" si="3"/>
        <v>285.73</v>
      </c>
      <c r="J26" s="39">
        <f t="shared" si="17"/>
        <v>4.9869292717233984</v>
      </c>
      <c r="K26" s="39">
        <f t="shared" si="18"/>
        <v>28.580734952822681</v>
      </c>
      <c r="L26" s="15">
        <f t="shared" si="19"/>
        <v>-8.4369182499595166</v>
      </c>
      <c r="M26" s="13"/>
      <c r="N26" s="16">
        <f t="shared" si="4"/>
        <v>285.73</v>
      </c>
      <c r="O26" s="16">
        <f t="shared" si="20"/>
        <v>0</v>
      </c>
      <c r="P26" s="16">
        <f t="shared" si="21"/>
        <v>285.73</v>
      </c>
      <c r="Q26" s="16">
        <f t="shared" si="22"/>
        <v>4.9869292717233984</v>
      </c>
      <c r="R26" s="16">
        <f t="shared" si="5"/>
        <v>-27.510384382660693</v>
      </c>
      <c r="S26" s="16">
        <f t="shared" si="6"/>
        <v>7.7483650896017267</v>
      </c>
      <c r="T26" s="13">
        <f t="shared" si="7"/>
        <v>1518623.4146156174</v>
      </c>
      <c r="U26" s="13">
        <f t="shared" si="8"/>
        <v>3951179.2163650896</v>
      </c>
      <c r="V26" s="16">
        <f t="shared" si="9"/>
        <v>3322.9104817500406</v>
      </c>
      <c r="W26" s="16">
        <f t="shared" si="23"/>
        <v>3322.9104817500406</v>
      </c>
      <c r="X26" s="47">
        <f t="shared" si="10"/>
        <v>1518623.4146156174</v>
      </c>
      <c r="Y26" s="47">
        <f t="shared" si="24"/>
        <v>3951179.2163650896</v>
      </c>
      <c r="Z26" s="47">
        <f t="shared" si="11"/>
        <v>1518623.7548277825</v>
      </c>
      <c r="AA26" s="47">
        <f t="shared" si="12"/>
        <v>3951180.6373046478</v>
      </c>
      <c r="AB26" s="47">
        <f t="shared" si="29"/>
        <v>1.4611001147524356</v>
      </c>
      <c r="AC26" s="47">
        <f ca="1">IF(ISNUMBER(Z26),SQRT(($Z26-OFFSET($Z$20,MATCH(CS_Start,$A$21:$A$51,0),0))^2+($AA26-OFFSET($AA$20,MATCH(CS_Start,$A$21:$A$51,0),0))^2),"")</f>
        <v>14.923658331102693</v>
      </c>
      <c r="AD26" s="47">
        <f t="shared" si="31"/>
        <v>1.1908469053573754</v>
      </c>
      <c r="AE26" s="47">
        <f t="shared" ca="1" si="32"/>
        <v>14.92</v>
      </c>
      <c r="AF26" s="47">
        <f t="shared" si="26"/>
        <v>1.19</v>
      </c>
      <c r="AH26" s="44">
        <v>14.92</v>
      </c>
      <c r="AI26" s="44">
        <f t="shared" ca="1" si="27"/>
        <v>1.19</v>
      </c>
      <c r="AJ26" s="2" t="str">
        <f t="shared" ca="1" si="28"/>
        <v>14.92,1.19</v>
      </c>
    </row>
    <row r="27" spans="1:36" x14ac:dyDescent="0.25">
      <c r="A27" s="44">
        <v>7</v>
      </c>
      <c r="B27" s="48">
        <v>11.943182870370372</v>
      </c>
      <c r="C27" s="48">
        <v>4.4250115740740741</v>
      </c>
      <c r="D27" s="44">
        <v>31.925999999999998</v>
      </c>
      <c r="E27" s="44">
        <v>4.9062000000000001</v>
      </c>
      <c r="F27" s="49" t="s">
        <v>83</v>
      </c>
      <c r="G27" s="43">
        <f t="shared" si="15"/>
        <v>106.20027777777779</v>
      </c>
      <c r="H27" s="43">
        <f t="shared" si="16"/>
        <v>1.8535445137547892</v>
      </c>
      <c r="I27" s="43">
        <f t="shared" si="3"/>
        <v>286.63638888888892</v>
      </c>
      <c r="J27" s="39">
        <f t="shared" si="17"/>
        <v>5.0027487421380021</v>
      </c>
      <c r="K27" s="39">
        <f t="shared" si="18"/>
        <v>30.658293025867582</v>
      </c>
      <c r="L27" s="15">
        <f t="shared" si="19"/>
        <v>-8.9072186871121009</v>
      </c>
      <c r="M27" s="13"/>
      <c r="N27" s="16">
        <f t="shared" si="4"/>
        <v>286.63638888888892</v>
      </c>
      <c r="O27" s="16">
        <f t="shared" si="20"/>
        <v>0</v>
      </c>
      <c r="P27" s="16">
        <f t="shared" si="21"/>
        <v>286.63638888888892</v>
      </c>
      <c r="Q27" s="16">
        <f t="shared" si="22"/>
        <v>5.0027487421380021</v>
      </c>
      <c r="R27" s="16">
        <f t="shared" si="5"/>
        <v>-29.374965662699559</v>
      </c>
      <c r="S27" s="16">
        <f t="shared" si="6"/>
        <v>8.7773756656065913</v>
      </c>
      <c r="T27" s="13">
        <f t="shared" si="7"/>
        <v>1518621.5500343374</v>
      </c>
      <c r="U27" s="13">
        <f t="shared" si="8"/>
        <v>3951180.2453756654</v>
      </c>
      <c r="V27" s="16">
        <f t="shared" si="9"/>
        <v>3322.4401813128879</v>
      </c>
      <c r="W27" s="16">
        <f t="shared" si="23"/>
        <v>3322.4401813128879</v>
      </c>
      <c r="X27" s="47">
        <f t="shared" si="10"/>
        <v>1518621.5500343374</v>
      </c>
      <c r="Y27" s="47">
        <f t="shared" si="24"/>
        <v>3951180.2453756654</v>
      </c>
      <c r="Z27" s="47">
        <f t="shared" si="11"/>
        <v>1518621.7583237141</v>
      </c>
      <c r="AA27" s="47">
        <f t="shared" si="12"/>
        <v>3951181.1153228492</v>
      </c>
      <c r="AB27" s="47">
        <f t="shared" si="29"/>
        <v>0.89453483284834523</v>
      </c>
      <c r="AC27" s="47">
        <f t="shared" ca="1" si="30"/>
        <v>16.97659035528838</v>
      </c>
      <c r="AD27" s="47">
        <f t="shared" si="31"/>
        <v>0.72054646820470225</v>
      </c>
      <c r="AE27" s="47">
        <f t="shared" ca="1" si="32"/>
        <v>16.98</v>
      </c>
      <c r="AF27" s="47">
        <f t="shared" si="26"/>
        <v>0.72</v>
      </c>
      <c r="AH27" s="44">
        <v>16.98</v>
      </c>
      <c r="AI27" s="44">
        <f t="shared" ca="1" si="27"/>
        <v>0.72</v>
      </c>
      <c r="AJ27" s="2" t="str">
        <f t="shared" ca="1" si="28"/>
        <v>16.98,0.72</v>
      </c>
    </row>
    <row r="28" spans="1:36" x14ac:dyDescent="0.25">
      <c r="A28" s="44">
        <v>8</v>
      </c>
      <c r="B28" s="48">
        <v>11.923715277777779</v>
      </c>
      <c r="C28" s="48">
        <v>4.3881365740740739</v>
      </c>
      <c r="D28" s="44">
        <v>34.604999999999997</v>
      </c>
      <c r="E28" s="44">
        <v>4.9062000000000001</v>
      </c>
      <c r="F28" s="44"/>
      <c r="G28" s="43">
        <f t="shared" si="15"/>
        <v>105.31527777777777</v>
      </c>
      <c r="H28" s="43">
        <f t="shared" si="16"/>
        <v>1.838098349874639</v>
      </c>
      <c r="I28" s="43">
        <f t="shared" si="3"/>
        <v>286.16916666666668</v>
      </c>
      <c r="J28" s="39">
        <f t="shared" si="17"/>
        <v>4.9945941760217396</v>
      </c>
      <c r="K28" s="39">
        <f t="shared" si="18"/>
        <v>33.376073433427187</v>
      </c>
      <c r="L28" s="15">
        <f t="shared" si="19"/>
        <v>-9.1402268662476782</v>
      </c>
      <c r="M28" s="13"/>
      <c r="N28" s="16">
        <f t="shared" si="4"/>
        <v>286.16916666666668</v>
      </c>
      <c r="O28" s="16">
        <f t="shared" si="20"/>
        <v>0</v>
      </c>
      <c r="P28" s="16">
        <f t="shared" si="21"/>
        <v>286.16916666666668</v>
      </c>
      <c r="Q28" s="16">
        <f t="shared" si="22"/>
        <v>4.9945941760217396</v>
      </c>
      <c r="R28" s="16">
        <f t="shared" si="5"/>
        <v>-32.055838918605062</v>
      </c>
      <c r="S28" s="16">
        <f t="shared" si="6"/>
        <v>9.2943783578015076</v>
      </c>
      <c r="T28" s="13">
        <f t="shared" si="7"/>
        <v>1518618.8691610815</v>
      </c>
      <c r="U28" s="13">
        <f t="shared" si="8"/>
        <v>3951180.7623783578</v>
      </c>
      <c r="V28" s="16">
        <f t="shared" si="9"/>
        <v>3322.2071731337523</v>
      </c>
      <c r="W28" s="16">
        <f t="shared" si="23"/>
        <v>3322.2071731337523</v>
      </c>
      <c r="X28" s="47">
        <f t="shared" si="10"/>
        <v>1518618.8691610815</v>
      </c>
      <c r="Y28" s="47">
        <f t="shared" si="24"/>
        <v>3951180.7623783578</v>
      </c>
      <c r="Z28" s="47">
        <f t="shared" si="11"/>
        <v>1518619.1057273662</v>
      </c>
      <c r="AA28" s="47">
        <f t="shared" si="12"/>
        <v>3951181.7504276587</v>
      </c>
      <c r="AB28" s="47">
        <f t="shared" si="29"/>
        <v>1.0159749150248081</v>
      </c>
      <c r="AC28" s="47">
        <f t="shared" ca="1" si="30"/>
        <v>19.704158045408985</v>
      </c>
      <c r="AD28" s="47">
        <f t="shared" si="31"/>
        <v>0.48753828906910712</v>
      </c>
      <c r="AE28" s="47">
        <f t="shared" ca="1" si="32"/>
        <v>19.7</v>
      </c>
      <c r="AF28" s="47">
        <f t="shared" si="26"/>
        <v>0.49</v>
      </c>
      <c r="AH28" s="44">
        <v>19.7</v>
      </c>
      <c r="AI28" s="44">
        <f t="shared" ca="1" si="27"/>
        <v>0.49</v>
      </c>
      <c r="AJ28" s="2" t="str">
        <f t="shared" ca="1" si="28"/>
        <v>19.7,0.49</v>
      </c>
    </row>
    <row r="29" spans="1:36" x14ac:dyDescent="0.25">
      <c r="A29" s="44">
        <v>9</v>
      </c>
      <c r="B29" s="48">
        <v>11.743310185185186</v>
      </c>
      <c r="C29" s="48">
        <v>4.1584837962962959</v>
      </c>
      <c r="D29" s="44">
        <v>50.414000000000001</v>
      </c>
      <c r="E29" s="44">
        <v>4.9062000000000001</v>
      </c>
      <c r="F29" s="49" t="s">
        <v>84</v>
      </c>
      <c r="G29" s="43">
        <f t="shared" si="15"/>
        <v>99.80361111111111</v>
      </c>
      <c r="H29" s="43">
        <f t="shared" si="16"/>
        <v>1.7419016192688852</v>
      </c>
      <c r="I29" s="43">
        <f t="shared" si="3"/>
        <v>281.83944444444444</v>
      </c>
      <c r="J29" s="39">
        <f t="shared" si="17"/>
        <v>4.9190262675471965</v>
      </c>
      <c r="K29" s="39">
        <f t="shared" si="18"/>
        <v>49.67781287494892</v>
      </c>
      <c r="L29" s="15">
        <f t="shared" si="19"/>
        <v>-8.58407269083615</v>
      </c>
      <c r="M29" s="13"/>
      <c r="N29" s="16">
        <f t="shared" si="4"/>
        <v>281.83944444444444</v>
      </c>
      <c r="O29" s="16">
        <f t="shared" si="20"/>
        <v>0</v>
      </c>
      <c r="P29" s="16">
        <f t="shared" si="21"/>
        <v>281.83944444444444</v>
      </c>
      <c r="Q29" s="16">
        <f t="shared" si="22"/>
        <v>4.9190262675471965</v>
      </c>
      <c r="R29" s="16">
        <f t="shared" si="5"/>
        <v>-48.620985687302458</v>
      </c>
      <c r="S29" s="16">
        <f t="shared" si="6"/>
        <v>10.192391418777563</v>
      </c>
      <c r="T29" s="13">
        <f t="shared" si="7"/>
        <v>1518602.3040143128</v>
      </c>
      <c r="U29" s="13">
        <f t="shared" si="8"/>
        <v>3951181.6603914187</v>
      </c>
      <c r="V29" s="16">
        <f t="shared" si="9"/>
        <v>3322.7633273091637</v>
      </c>
      <c r="W29" s="16">
        <f t="shared" si="23"/>
        <v>3322.7633273091637</v>
      </c>
      <c r="X29" s="47">
        <f t="shared" si="10"/>
        <v>1518602.3040143128</v>
      </c>
      <c r="Y29" s="47">
        <f t="shared" si="24"/>
        <v>3951181.6603914187</v>
      </c>
      <c r="Z29" s="47">
        <f t="shared" si="11"/>
        <v>1518603.2353500794</v>
      </c>
      <c r="AA29" s="47">
        <f t="shared" si="12"/>
        <v>3951185.5502341939</v>
      </c>
      <c r="AB29" s="47">
        <f t="shared" si="29"/>
        <v>3.9997828848255117</v>
      </c>
      <c r="AC29" s="47">
        <f t="shared" ca="1" si="30"/>
        <v>36.023085857332013</v>
      </c>
      <c r="AD29" s="47">
        <f t="shared" si="31"/>
        <v>1.0436924644805003</v>
      </c>
      <c r="AE29" s="47">
        <f t="shared" ca="1" si="32"/>
        <v>36.020000000000003</v>
      </c>
      <c r="AF29" s="47">
        <f t="shared" si="26"/>
        <v>1.04</v>
      </c>
      <c r="AH29" s="44">
        <v>36.020000000000003</v>
      </c>
      <c r="AI29" s="44">
        <f t="shared" ca="1" si="27"/>
        <v>1.04</v>
      </c>
      <c r="AJ29" s="2" t="str">
        <f t="shared" ca="1" si="28"/>
        <v>36.02,1.04</v>
      </c>
    </row>
    <row r="30" spans="1:36" x14ac:dyDescent="0.25">
      <c r="A30" s="44">
        <v>10</v>
      </c>
      <c r="B30" s="48">
        <v>11.793541666666668</v>
      </c>
      <c r="C30" s="48">
        <v>4.0491898148148149</v>
      </c>
      <c r="D30" s="44">
        <v>75.352000000000004</v>
      </c>
      <c r="E30" s="44">
        <v>4.9062000000000001</v>
      </c>
      <c r="F30" s="49" t="s">
        <v>85</v>
      </c>
      <c r="G30" s="43">
        <f t="shared" si="15"/>
        <v>97.180555555555557</v>
      </c>
      <c r="H30" s="43">
        <f t="shared" si="16"/>
        <v>1.6961206633617116</v>
      </c>
      <c r="I30" s="43">
        <f t="shared" si="3"/>
        <v>283.04500000000002</v>
      </c>
      <c r="J30" s="39">
        <f t="shared" si="17"/>
        <v>4.9400671813073505</v>
      </c>
      <c r="K30" s="39">
        <f t="shared" si="18"/>
        <v>74.76102771194482</v>
      </c>
      <c r="L30" s="15">
        <f t="shared" si="19"/>
        <v>-9.4187387400765914</v>
      </c>
      <c r="M30" s="13"/>
      <c r="N30" s="16">
        <f t="shared" si="4"/>
        <v>283.04500000000002</v>
      </c>
      <c r="O30" s="16">
        <f t="shared" si="20"/>
        <v>0</v>
      </c>
      <c r="P30" s="16">
        <f t="shared" si="21"/>
        <v>283.04500000000002</v>
      </c>
      <c r="Q30" s="16">
        <f t="shared" si="22"/>
        <v>4.9400671813073505</v>
      </c>
      <c r="R30" s="16">
        <f t="shared" si="5"/>
        <v>-72.831676459089337</v>
      </c>
      <c r="S30" s="16">
        <f t="shared" si="6"/>
        <v>16.874779071286003</v>
      </c>
      <c r="T30" s="13">
        <f t="shared" si="7"/>
        <v>1518578.0933235409</v>
      </c>
      <c r="U30" s="13">
        <f t="shared" si="8"/>
        <v>3951188.3427790711</v>
      </c>
      <c r="V30" s="16">
        <f t="shared" si="9"/>
        <v>3321.9286612599235</v>
      </c>
      <c r="W30" s="16">
        <f t="shared" si="23"/>
        <v>3321.9286612599235</v>
      </c>
      <c r="X30" s="47">
        <f t="shared" si="10"/>
        <v>1518578.0933235409</v>
      </c>
      <c r="Y30" s="47">
        <f t="shared" si="24"/>
        <v>3951188.3427790711</v>
      </c>
      <c r="Z30" s="47">
        <f t="shared" si="11"/>
        <v>1518578.8241002769</v>
      </c>
      <c r="AA30" s="47">
        <f t="shared" si="12"/>
        <v>3951191.3949614405</v>
      </c>
      <c r="AB30" s="47">
        <f t="shared" si="29"/>
        <v>3.1384473635896386</v>
      </c>
      <c r="AC30" s="47">
        <f t="shared" ca="1" si="30"/>
        <v>61.124280121831653</v>
      </c>
      <c r="AD30" s="47">
        <f t="shared" si="31"/>
        <v>0.20902641524025967</v>
      </c>
      <c r="AE30" s="47">
        <f t="shared" ca="1" si="32"/>
        <v>61.12</v>
      </c>
      <c r="AF30" s="47">
        <f t="shared" si="26"/>
        <v>0.21</v>
      </c>
      <c r="AH30" s="44">
        <v>61.12</v>
      </c>
      <c r="AI30" s="44">
        <f t="shared" ca="1" si="27"/>
        <v>0.21</v>
      </c>
      <c r="AJ30" s="2" t="str">
        <f t="shared" ca="1" si="28"/>
        <v>61.12,0.21</v>
      </c>
    </row>
    <row r="31" spans="1:36" x14ac:dyDescent="0.25">
      <c r="A31" s="44">
        <v>11</v>
      </c>
      <c r="B31" s="48">
        <v>11.86048611111111</v>
      </c>
      <c r="C31" s="48">
        <v>3.9900694444444444</v>
      </c>
      <c r="D31" s="44">
        <v>95.903000000000006</v>
      </c>
      <c r="E31" s="44">
        <v>4.9062000000000001</v>
      </c>
      <c r="F31" s="44"/>
      <c r="G31" s="43">
        <f t="shared" si="15"/>
        <v>95.76166666666667</v>
      </c>
      <c r="H31" s="43">
        <f t="shared" si="16"/>
        <v>1.6713563805306366</v>
      </c>
      <c r="I31" s="43">
        <f t="shared" si="3"/>
        <v>284.65166666666664</v>
      </c>
      <c r="J31" s="39">
        <f t="shared" si="17"/>
        <v>4.9681088046227249</v>
      </c>
      <c r="K31" s="39">
        <f t="shared" si="18"/>
        <v>95.418507361591367</v>
      </c>
      <c r="L31" s="15">
        <f t="shared" si="19"/>
        <v>-9.6277651553169843</v>
      </c>
      <c r="M31" s="13"/>
      <c r="N31" s="16">
        <f t="shared" si="4"/>
        <v>284.65166666666664</v>
      </c>
      <c r="O31" s="16">
        <f t="shared" si="20"/>
        <v>0</v>
      </c>
      <c r="P31" s="16">
        <f t="shared" si="21"/>
        <v>284.65166666666664</v>
      </c>
      <c r="Q31" s="16">
        <f t="shared" si="22"/>
        <v>4.9681088046227249</v>
      </c>
      <c r="R31" s="16">
        <f t="shared" si="5"/>
        <v>-92.315638020191798</v>
      </c>
      <c r="S31" s="16">
        <f t="shared" si="6"/>
        <v>24.135337661590388</v>
      </c>
      <c r="T31" s="13">
        <f t="shared" si="7"/>
        <v>1518558.6093619799</v>
      </c>
      <c r="U31" s="13">
        <f t="shared" si="8"/>
        <v>3951195.6033376614</v>
      </c>
      <c r="V31" s="16">
        <f t="shared" si="9"/>
        <v>3321.7196348446832</v>
      </c>
      <c r="W31" s="16">
        <f t="shared" si="23"/>
        <v>3321.7196348446832</v>
      </c>
      <c r="X31" s="47">
        <f t="shared" si="10"/>
        <v>1518558.6093619799</v>
      </c>
      <c r="Y31" s="47">
        <f t="shared" si="24"/>
        <v>3951195.6033376614</v>
      </c>
      <c r="Z31" s="47">
        <f t="shared" si="11"/>
        <v>1518558.7523833532</v>
      </c>
      <c r="AA31" s="47">
        <f t="shared" si="12"/>
        <v>3951196.2006846927</v>
      </c>
      <c r="AB31" s="47">
        <f t="shared" si="29"/>
        <v>0.61423007829590748</v>
      </c>
      <c r="AC31" s="47">
        <f t="shared" ca="1" si="30"/>
        <v>81.763291635069578</v>
      </c>
      <c r="AD31" s="47">
        <f t="shared" si="31"/>
        <v>0</v>
      </c>
      <c r="AE31" s="47">
        <f t="shared" ca="1" si="32"/>
        <v>81.760000000000005</v>
      </c>
      <c r="AF31" s="47">
        <f t="shared" si="26"/>
        <v>0</v>
      </c>
      <c r="AH31" s="44">
        <v>81.760000000000005</v>
      </c>
      <c r="AI31" s="44">
        <f t="shared" ca="1" si="27"/>
        <v>0</v>
      </c>
      <c r="AJ31" s="2" t="str">
        <f t="shared" ca="1" si="28"/>
        <v>81.76,0</v>
      </c>
    </row>
    <row r="32" spans="1:36" x14ac:dyDescent="0.25">
      <c r="A32" s="44">
        <v>12</v>
      </c>
      <c r="B32" s="48">
        <v>11.882835648148147</v>
      </c>
      <c r="C32" s="48">
        <v>3.9643981481481485</v>
      </c>
      <c r="D32" s="44">
        <v>98.903000000000006</v>
      </c>
      <c r="E32" s="44">
        <v>4.9062000000000001</v>
      </c>
      <c r="F32" s="49" t="s">
        <v>83</v>
      </c>
      <c r="G32" s="43">
        <f t="shared" si="15"/>
        <v>95.145555555555561</v>
      </c>
      <c r="H32" s="43">
        <f t="shared" si="16"/>
        <v>1.660603213083627</v>
      </c>
      <c r="I32" s="43">
        <f t="shared" si="3"/>
        <v>285.18805555555554</v>
      </c>
      <c r="J32" s="39">
        <f t="shared" si="17"/>
        <v>4.97747055680495</v>
      </c>
      <c r="K32" s="39">
        <f t="shared" si="18"/>
        <v>98.504427953980468</v>
      </c>
      <c r="L32" s="15">
        <f t="shared" si="19"/>
        <v>-8.8702357611888711</v>
      </c>
      <c r="M32" s="13"/>
      <c r="N32" s="16">
        <f t="shared" si="4"/>
        <v>285.18805555555554</v>
      </c>
      <c r="O32" s="16">
        <f t="shared" si="20"/>
        <v>0</v>
      </c>
      <c r="P32" s="16">
        <f t="shared" si="21"/>
        <v>285.18805555555554</v>
      </c>
      <c r="Q32" s="16">
        <f t="shared" si="22"/>
        <v>4.97747055680495</v>
      </c>
      <c r="R32" s="16">
        <f t="shared" si="5"/>
        <v>-95.063779797448063</v>
      </c>
      <c r="S32" s="16">
        <f t="shared" si="6"/>
        <v>25.806977683627256</v>
      </c>
      <c r="T32" s="13">
        <f t="shared" si="7"/>
        <v>1518555.8612202026</v>
      </c>
      <c r="U32" s="13">
        <f t="shared" si="8"/>
        <v>3951197.2749776836</v>
      </c>
      <c r="V32" s="16">
        <f t="shared" si="9"/>
        <v>3322.4771642388114</v>
      </c>
      <c r="W32" s="16">
        <f t="shared" si="23"/>
        <v>3322.4771642388114</v>
      </c>
      <c r="X32" s="47">
        <f t="shared" si="10"/>
        <v>1518555.8612202026</v>
      </c>
      <c r="Y32" s="47">
        <f t="shared" si="24"/>
        <v>3951197.2749776836</v>
      </c>
      <c r="Z32" s="47">
        <f t="shared" si="11"/>
        <v>1518555.7747021061</v>
      </c>
      <c r="AA32" s="47">
        <f t="shared" si="12"/>
        <v>3951196.9136238028</v>
      </c>
      <c r="AB32" s="47">
        <f t="shared" si="29"/>
        <v>0.37156696319559773</v>
      </c>
      <c r="AC32" s="47">
        <f t="shared" ca="1" si="30"/>
        <v>84.82513222265429</v>
      </c>
      <c r="AD32" s="47">
        <f t="shared" si="31"/>
        <v>0.75752939412814158</v>
      </c>
      <c r="AE32" s="47">
        <f t="shared" ca="1" si="32"/>
        <v>84.83</v>
      </c>
      <c r="AF32" s="47">
        <f t="shared" si="26"/>
        <v>0.76</v>
      </c>
      <c r="AH32" s="44">
        <v>84.83</v>
      </c>
      <c r="AI32" s="44">
        <f t="shared" ca="1" si="27"/>
        <v>0.76</v>
      </c>
      <c r="AJ32" s="44" t="str">
        <f t="shared" ca="1" si="28"/>
        <v>84.83,0.76</v>
      </c>
    </row>
    <row r="33" spans="1:36" x14ac:dyDescent="0.25">
      <c r="A33" s="44">
        <v>13</v>
      </c>
      <c r="B33" s="48">
        <v>11.885289351851853</v>
      </c>
      <c r="C33" s="48">
        <v>3.9434490740740742</v>
      </c>
      <c r="D33" s="44">
        <v>101.268</v>
      </c>
      <c r="E33" s="44">
        <v>4.9062000000000001</v>
      </c>
      <c r="F33" s="44"/>
      <c r="G33" s="43">
        <f t="shared" si="15"/>
        <v>94.642777777777781</v>
      </c>
      <c r="H33" s="43">
        <f t="shared" si="16"/>
        <v>1.6518280854555445</v>
      </c>
      <c r="I33" s="43">
        <f t="shared" si="3"/>
        <v>285.24694444444447</v>
      </c>
      <c r="J33" s="39">
        <f t="shared" si="17"/>
        <v>4.9784983618089029</v>
      </c>
      <c r="K33" s="39">
        <f t="shared" si="18"/>
        <v>100.93571164876883</v>
      </c>
      <c r="L33" s="15">
        <f t="shared" si="19"/>
        <v>-8.1969468679864743</v>
      </c>
      <c r="M33" s="13"/>
      <c r="N33" s="16">
        <f t="shared" si="4"/>
        <v>285.24694444444447</v>
      </c>
      <c r="O33" s="16">
        <f t="shared" si="20"/>
        <v>0</v>
      </c>
      <c r="P33" s="16">
        <f t="shared" si="21"/>
        <v>285.24694444444447</v>
      </c>
      <c r="Q33" s="16">
        <f t="shared" si="22"/>
        <v>4.9784983618089029</v>
      </c>
      <c r="R33" s="16">
        <f t="shared" si="5"/>
        <v>-97.382910839869012</v>
      </c>
      <c r="S33" s="16">
        <f t="shared" si="6"/>
        <v>26.544049472481223</v>
      </c>
      <c r="T33" s="13">
        <f t="shared" si="7"/>
        <v>1518553.5420891601</v>
      </c>
      <c r="U33" s="13">
        <f t="shared" si="8"/>
        <v>3951198.0120494724</v>
      </c>
      <c r="V33" s="16">
        <f t="shared" si="9"/>
        <v>3323.1504531320138</v>
      </c>
      <c r="W33" s="16">
        <f t="shared" si="23"/>
        <v>3323.1504531320138</v>
      </c>
      <c r="X33" s="47">
        <f t="shared" si="10"/>
        <v>1518553.5420891601</v>
      </c>
      <c r="Y33" s="47">
        <f t="shared" si="24"/>
        <v>3951198.0120494724</v>
      </c>
      <c r="Z33" s="47">
        <f t="shared" si="11"/>
        <v>1518553.4144013389</v>
      </c>
      <c r="AA33" s="47">
        <f t="shared" si="12"/>
        <v>3951197.478744979</v>
      </c>
      <c r="AB33" s="47">
        <f t="shared" si="29"/>
        <v>0.54837748163436872</v>
      </c>
      <c r="AC33" s="47">
        <f t="shared" ca="1" si="30"/>
        <v>87.252143070505454</v>
      </c>
      <c r="AD33" s="47">
        <f t="shared" si="31"/>
        <v>1.4308182873305668</v>
      </c>
      <c r="AE33" s="47">
        <f t="shared" ca="1" si="32"/>
        <v>87.25</v>
      </c>
      <c r="AF33" s="47">
        <f t="shared" si="26"/>
        <v>1.43</v>
      </c>
      <c r="AH33" s="44">
        <v>87.25</v>
      </c>
      <c r="AI33" s="44">
        <f t="shared" ca="1" si="27"/>
        <v>1.43</v>
      </c>
      <c r="AJ33" s="44" t="str">
        <f t="shared" ca="1" si="28"/>
        <v>87.25,1.43</v>
      </c>
    </row>
    <row r="34" spans="1:36" x14ac:dyDescent="0.25">
      <c r="A34" s="44">
        <v>14</v>
      </c>
      <c r="B34" s="48">
        <v>11.913865740740741</v>
      </c>
      <c r="C34" s="48">
        <v>3.8787268518518516</v>
      </c>
      <c r="D34" s="44">
        <v>102.812</v>
      </c>
      <c r="E34" s="44">
        <v>4.9062000000000001</v>
      </c>
      <c r="F34" s="44"/>
      <c r="G34" s="43">
        <f t="shared" ref="G34:G35" si="33">C34*24</f>
        <v>93.089444444444439</v>
      </c>
      <c r="H34" s="43">
        <f t="shared" ref="H34:H35" si="34">RADIANS(G34)</f>
        <v>1.6247173044078991</v>
      </c>
      <c r="I34" s="43">
        <f t="shared" ref="I34:I35" si="35">B34*24</f>
        <v>285.9327777777778</v>
      </c>
      <c r="J34" s="49">
        <f t="shared" ref="J34:J35" si="36">RADIANS(I34)</f>
        <v>4.990468411595498</v>
      </c>
      <c r="K34" s="49">
        <f t="shared" ref="K34:K35" si="37">D34*SIN(H34)</f>
        <v>102.66257471268932</v>
      </c>
      <c r="L34" s="46">
        <f t="shared" ref="L34:L35" si="38">D34*COS(H34)</f>
        <v>-5.5410375708419171</v>
      </c>
      <c r="M34" s="45"/>
      <c r="N34" s="47">
        <f t="shared" ref="N34:N35" si="39">I34+M34</f>
        <v>285.9327777777778</v>
      </c>
      <c r="O34" s="47">
        <f t="shared" si="20"/>
        <v>0</v>
      </c>
      <c r="P34" s="47">
        <f t="shared" ref="P34:P35" si="40">SUM(N34,O34)</f>
        <v>285.9327777777778</v>
      </c>
      <c r="Q34" s="47">
        <f t="shared" ref="Q34:Q35" si="41">RADIANS(P34)</f>
        <v>4.990468411595498</v>
      </c>
      <c r="R34" s="47">
        <f t="shared" ref="R34:R35" si="42">K34*SIN(Q34)</f>
        <v>-98.718732930717607</v>
      </c>
      <c r="S34" s="47">
        <f t="shared" ref="S34:S35" si="43">K34*COS(Q34)</f>
        <v>28.181838392698399</v>
      </c>
      <c r="T34" s="45">
        <f t="shared" ref="T34:T35" si="44">Old_X0+R34</f>
        <v>1518552.2062670693</v>
      </c>
      <c r="U34" s="45">
        <f t="shared" ref="U34:U35" si="45">Old_Y0+S34</f>
        <v>3951199.6498383926</v>
      </c>
      <c r="V34" s="47">
        <f t="shared" ref="V34:V35" si="46">Old_Z0+HI+L34-E34</f>
        <v>3325.8063624291581</v>
      </c>
      <c r="W34" s="47">
        <f t="shared" ref="W34:W35" si="47">IF(ISNUMBER(T34),V34+dZ,"")</f>
        <v>3325.8063624291581</v>
      </c>
      <c r="X34" s="47">
        <f t="shared" si="10"/>
        <v>1518552.2062670693</v>
      </c>
      <c r="Y34" s="47">
        <f t="shared" si="24"/>
        <v>3951199.6498383926</v>
      </c>
      <c r="Z34" s="47">
        <f t="shared" si="11"/>
        <v>1518551.7801327545</v>
      </c>
      <c r="AA34" s="47">
        <f t="shared" si="12"/>
        <v>3951197.8700340036</v>
      </c>
      <c r="AB34" s="47">
        <f t="shared" ref="AB34:AB35" si="48">IF(ISNUMBER(X34),SQRT((X34-Z34)^2+(Y34-AA34)^2),"")</f>
        <v>1.8301076791743036</v>
      </c>
      <c r="AC34" s="47">
        <f t="shared" ref="AC34:AC35" ca="1" si="49">IF(ISNUMBER(Z34),SQRT(($Z34-OFFSET($Z$20,MATCH(CS_Start,$A$21:$A$51,0),0))^2+($AA34-OFFSET($AA$20,MATCH(CS_Start,$A$21:$A$51,0),0))^2),"")</f>
        <v>88.932601611152222</v>
      </c>
      <c r="AD34" s="47">
        <f t="shared" ref="AD34:AD35" si="50">IF(ISNUMBER(X34),W34-Min_Z,"")</f>
        <v>4.0867275844748292</v>
      </c>
      <c r="AE34" s="47">
        <f t="shared" ca="1" si="32"/>
        <v>88.93</v>
      </c>
      <c r="AF34" s="47">
        <f t="shared" si="26"/>
        <v>4.09</v>
      </c>
      <c r="AH34" s="44">
        <v>88.93</v>
      </c>
      <c r="AI34" s="44">
        <f t="shared" ca="1" si="27"/>
        <v>4.09</v>
      </c>
      <c r="AJ34" s="44" t="str">
        <f t="shared" ca="1" si="28"/>
        <v>88.93,4.09</v>
      </c>
    </row>
    <row r="35" spans="1:36" x14ac:dyDescent="0.25">
      <c r="A35" s="44">
        <v>15</v>
      </c>
      <c r="B35" s="48">
        <v>11.922719907407407</v>
      </c>
      <c r="C35" s="48">
        <v>3.8403356481481481</v>
      </c>
      <c r="D35" s="44">
        <v>104.80800000000001</v>
      </c>
      <c r="E35" s="44">
        <v>4.9062000000000001</v>
      </c>
      <c r="F35" s="44"/>
      <c r="G35" s="43">
        <f t="shared" si="33"/>
        <v>92.168055555555554</v>
      </c>
      <c r="H35" s="43">
        <f t="shared" si="34"/>
        <v>1.6086360346054958</v>
      </c>
      <c r="I35" s="43">
        <f t="shared" si="35"/>
        <v>286.14527777777778</v>
      </c>
      <c r="J35" s="49">
        <f t="shared" si="36"/>
        <v>4.9941772362559851</v>
      </c>
      <c r="K35" s="49">
        <f t="shared" si="37"/>
        <v>104.73297462658751</v>
      </c>
      <c r="L35" s="46">
        <f t="shared" si="38"/>
        <v>-3.964957738309137</v>
      </c>
      <c r="M35" s="45"/>
      <c r="N35" s="47">
        <f t="shared" si="39"/>
        <v>286.14527777777778</v>
      </c>
      <c r="O35" s="47">
        <f t="shared" si="20"/>
        <v>0</v>
      </c>
      <c r="P35" s="47">
        <f t="shared" si="40"/>
        <v>286.14527777777778</v>
      </c>
      <c r="Q35" s="47">
        <f t="shared" si="41"/>
        <v>4.9941772362559851</v>
      </c>
      <c r="R35" s="47">
        <f t="shared" si="42"/>
        <v>-100.60227545234432</v>
      </c>
      <c r="S35" s="47">
        <f t="shared" si="43"/>
        <v>29.123498209247838</v>
      </c>
      <c r="T35" s="45">
        <f t="shared" si="44"/>
        <v>1518550.3227245477</v>
      </c>
      <c r="U35" s="45">
        <f t="shared" si="45"/>
        <v>3951200.5914982092</v>
      </c>
      <c r="V35" s="47">
        <f t="shared" si="46"/>
        <v>3327.3824422616908</v>
      </c>
      <c r="W35" s="47">
        <f t="shared" si="47"/>
        <v>3327.3824422616908</v>
      </c>
      <c r="X35" s="47">
        <f t="shared" si="10"/>
        <v>1518550.3227245477</v>
      </c>
      <c r="Y35" s="47">
        <f t="shared" si="24"/>
        <v>3951200.5914982092</v>
      </c>
      <c r="Z35" s="47">
        <f t="shared" si="11"/>
        <v>1518549.7854757446</v>
      </c>
      <c r="AA35" s="47">
        <f t="shared" si="12"/>
        <v>3951198.3476099684</v>
      </c>
      <c r="AB35" s="47">
        <f t="shared" si="48"/>
        <v>2.3073081097851524</v>
      </c>
      <c r="AC35" s="47">
        <f t="shared" ca="1" si="49"/>
        <v>90.983634372719038</v>
      </c>
      <c r="AD35" s="47">
        <f t="shared" si="50"/>
        <v>5.6628074170075706</v>
      </c>
      <c r="AE35" s="47">
        <f t="shared" ca="1" si="32"/>
        <v>90.98</v>
      </c>
      <c r="AF35" s="47">
        <f t="shared" si="26"/>
        <v>5.66</v>
      </c>
      <c r="AH35" s="44">
        <v>90.98</v>
      </c>
      <c r="AI35" s="44">
        <f t="shared" ca="1" si="27"/>
        <v>5.66</v>
      </c>
      <c r="AJ35" s="44" t="str">
        <f t="shared" ca="1" si="28"/>
        <v>90.98,5.66</v>
      </c>
    </row>
    <row r="36" spans="1:36" x14ac:dyDescent="0.25">
      <c r="A36" s="44">
        <v>16</v>
      </c>
      <c r="B36" s="48">
        <v>14.999456018518517</v>
      </c>
      <c r="C36" s="48">
        <v>3.7258796296296297</v>
      </c>
      <c r="D36" s="44">
        <v>118.11199999999999</v>
      </c>
      <c r="E36" s="44">
        <v>4.9062000000000001</v>
      </c>
      <c r="F36" s="49" t="s">
        <v>69</v>
      </c>
      <c r="G36" s="43">
        <f t="shared" ref="G36:G37" si="51">C36*24</f>
        <v>89.421111111111117</v>
      </c>
      <c r="H36" s="43">
        <f t="shared" ref="H36:H37" si="52">RADIANS(G36)</f>
        <v>1.5606928096805739</v>
      </c>
      <c r="I36" s="43">
        <f t="shared" ref="I36:I37" si="53">B36*24</f>
        <v>359.98694444444442</v>
      </c>
      <c r="J36" s="49">
        <f t="shared" ref="J36:J37" si="54">RADIANS(I36)</f>
        <v>6.2829574447494645</v>
      </c>
      <c r="K36" s="49">
        <f t="shared" ref="K36:K37" si="55">D36*SIN(H36)</f>
        <v>118.10597155231684</v>
      </c>
      <c r="L36" s="46">
        <f t="shared" ref="L36:L37" si="56">D36*COS(H36)</f>
        <v>1.193326310496355</v>
      </c>
      <c r="M36" s="45"/>
      <c r="N36" s="47">
        <f t="shared" ref="N36:N37" si="57">I36+M36</f>
        <v>359.98694444444442</v>
      </c>
      <c r="O36" s="47">
        <f t="shared" si="20"/>
        <v>0</v>
      </c>
      <c r="P36" s="47">
        <f t="shared" ref="P36:P37" si="58">SUM(N36,O36)</f>
        <v>359.98694444444442</v>
      </c>
      <c r="Q36" s="47">
        <f t="shared" ref="Q36:Q37" si="59">RADIANS(P36)</f>
        <v>6.2829574447494645</v>
      </c>
      <c r="R36" s="47">
        <f t="shared" ref="R36:R37" si="60">K36*SIN(Q36)</f>
        <v>-2.6911913456945314E-2</v>
      </c>
      <c r="S36" s="47">
        <f t="shared" ref="S36:S37" si="61">K36*COS(Q36)</f>
        <v>118.10596848620983</v>
      </c>
      <c r="T36" s="45">
        <f t="shared" ref="T36:T37" si="62">Old_X0+R36</f>
        <v>1518650.8980880866</v>
      </c>
      <c r="U36" s="45">
        <f t="shared" ref="U36:U37" si="63">Old_Y0+S36</f>
        <v>3951289.5739684859</v>
      </c>
      <c r="V36" s="47">
        <f t="shared" ref="V36:V37" si="64">Old_Z0+HI+L36-E36</f>
        <v>3332.5407263104967</v>
      </c>
      <c r="W36" s="47">
        <f t="shared" ref="W36:W37" si="65">IF(ISNUMBER(T36),V36+dZ,"")</f>
        <v>3332.5407263104967</v>
      </c>
      <c r="X36" s="47" t="str">
        <f t="shared" si="10"/>
        <v/>
      </c>
      <c r="Y36" s="47" t="str">
        <f t="shared" ref="Y36:Y37" si="66">IF(ISNUMBER(X36),U36,"")</f>
        <v/>
      </c>
      <c r="Z36" s="47" t="e">
        <f t="shared" si="11"/>
        <v>#N/A</v>
      </c>
      <c r="AA36" s="47" t="e">
        <f t="shared" si="12"/>
        <v>#N/A</v>
      </c>
      <c r="AB36" s="47" t="str">
        <f t="shared" ref="AB36:AB37" si="67">IF(ISNUMBER(X36),SQRT((X36-Z36)^2+(Y36-AA36)^2),"")</f>
        <v/>
      </c>
      <c r="AC36" s="47" t="str">
        <f t="shared" ref="AC36:AC37" ca="1" si="68">IF(ISNUMBER(Z36),SQRT(($Z36-OFFSET($Z$20,MATCH(CS_Start,$A$21:$A$51,0),0))^2+($AA36-OFFSET($AA$20,MATCH(CS_Start,$A$21:$A$51,0),0))^2),"")</f>
        <v/>
      </c>
      <c r="AD36" s="47" t="str">
        <f t="shared" ref="AD36:AD37" si="69">IF(ISNUMBER(X36),W36-Min_Z,"")</f>
        <v/>
      </c>
      <c r="AE36" s="47" t="e">
        <f t="shared" ca="1" si="32"/>
        <v>#VALUE!</v>
      </c>
      <c r="AF36" s="47" t="e">
        <f t="shared" si="26"/>
        <v>#VALUE!</v>
      </c>
      <c r="AH36" s="44"/>
      <c r="AI36" s="44">
        <f t="shared" ca="1" si="27"/>
        <v>9.25</v>
      </c>
      <c r="AJ36" s="44" t="str">
        <f t="shared" ca="1" si="28"/>
        <v>,9.25</v>
      </c>
    </row>
    <row r="37" spans="1:36" x14ac:dyDescent="0.25">
      <c r="A37" s="44">
        <v>17</v>
      </c>
      <c r="B37" s="48">
        <v>3.915752314814815</v>
      </c>
      <c r="C37" s="48">
        <v>3.7747222222222221</v>
      </c>
      <c r="D37" s="44">
        <v>52.820999999999998</v>
      </c>
      <c r="E37" s="44">
        <v>4.9062000000000001</v>
      </c>
      <c r="F37" s="49" t="s">
        <v>70</v>
      </c>
      <c r="G37" s="43">
        <f t="shared" si="51"/>
        <v>90.593333333333334</v>
      </c>
      <c r="H37" s="43">
        <f t="shared" si="52"/>
        <v>1.5811519470233963</v>
      </c>
      <c r="I37" s="43">
        <f t="shared" si="53"/>
        <v>93.978055555555557</v>
      </c>
      <c r="J37" s="49">
        <f t="shared" si="54"/>
        <v>1.6402264940665932</v>
      </c>
      <c r="K37" s="49">
        <f t="shared" si="55"/>
        <v>52.818167793125852</v>
      </c>
      <c r="L37" s="46">
        <f t="shared" si="56"/>
        <v>-0.54698443963503762</v>
      </c>
      <c r="M37" s="45"/>
      <c r="N37" s="47">
        <f t="shared" si="57"/>
        <v>93.978055555555557</v>
      </c>
      <c r="O37" s="47">
        <f t="shared" si="20"/>
        <v>0</v>
      </c>
      <c r="P37" s="47">
        <f t="shared" si="58"/>
        <v>93.978055555555557</v>
      </c>
      <c r="Q37" s="47">
        <f t="shared" si="59"/>
        <v>1.6402264940665932</v>
      </c>
      <c r="R37" s="47">
        <f t="shared" si="60"/>
        <v>52.690912665481839</v>
      </c>
      <c r="S37" s="47">
        <f t="shared" si="61"/>
        <v>-3.6642286366113317</v>
      </c>
      <c r="T37" s="45">
        <f t="shared" si="62"/>
        <v>1518703.6159126656</v>
      </c>
      <c r="U37" s="45">
        <f t="shared" si="63"/>
        <v>3951167.8037713631</v>
      </c>
      <c r="V37" s="47">
        <f t="shared" si="64"/>
        <v>3330.8004155603649</v>
      </c>
      <c r="W37" s="47">
        <f t="shared" si="65"/>
        <v>3330.8004155603649</v>
      </c>
      <c r="X37" s="47" t="str">
        <f t="shared" si="10"/>
        <v/>
      </c>
      <c r="Y37" s="47" t="str">
        <f t="shared" si="66"/>
        <v/>
      </c>
      <c r="Z37" s="47" t="e">
        <f t="shared" si="11"/>
        <v>#N/A</v>
      </c>
      <c r="AA37" s="47" t="e">
        <f t="shared" si="12"/>
        <v>#N/A</v>
      </c>
      <c r="AB37" s="47" t="str">
        <f t="shared" si="67"/>
        <v/>
      </c>
      <c r="AC37" s="47" t="str">
        <f t="shared" ca="1" si="68"/>
        <v/>
      </c>
      <c r="AD37" s="47" t="str">
        <f t="shared" si="69"/>
        <v/>
      </c>
      <c r="AE37" s="47" t="e">
        <f t="shared" ca="1" si="32"/>
        <v>#VALUE!</v>
      </c>
      <c r="AF37" s="47" t="e">
        <f t="shared" si="26"/>
        <v>#VALUE!</v>
      </c>
      <c r="AH37" s="44"/>
      <c r="AI37" s="44">
        <f t="shared" ca="1" si="27"/>
        <v>9.25</v>
      </c>
      <c r="AJ37" s="44" t="str">
        <f t="shared" ca="1" si="28"/>
        <v>,9.25</v>
      </c>
    </row>
    <row r="38" spans="1:36" x14ac:dyDescent="0.25">
      <c r="A38" s="44"/>
      <c r="B38" s="48"/>
      <c r="C38" s="48"/>
      <c r="D38" s="44"/>
      <c r="E38" s="44"/>
      <c r="F38" s="49"/>
      <c r="G38" s="43"/>
      <c r="H38" s="43"/>
      <c r="I38" s="43"/>
      <c r="J38" s="49"/>
      <c r="K38" s="49"/>
      <c r="L38" s="46"/>
      <c r="M38" s="45"/>
      <c r="N38" s="47"/>
      <c r="O38" s="47"/>
      <c r="P38" s="47"/>
      <c r="Q38" s="47"/>
      <c r="R38" s="47"/>
      <c r="S38" s="47"/>
      <c r="T38" s="45"/>
      <c r="U38" s="45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H38" s="44"/>
      <c r="AI38" s="44"/>
      <c r="AJ38" s="44"/>
    </row>
    <row r="39" spans="1:36" x14ac:dyDescent="0.25">
      <c r="A39" s="44"/>
      <c r="B39" s="48"/>
      <c r="C39" s="48"/>
      <c r="D39" s="44"/>
      <c r="E39" s="44"/>
      <c r="F39" s="44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H39" s="44"/>
      <c r="AI39" s="44"/>
      <c r="AJ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H40" s="44"/>
      <c r="AI40" s="44"/>
      <c r="AJ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I41" s="44"/>
      <c r="AJ41" s="44"/>
    </row>
    <row r="42" spans="1:36" x14ac:dyDescent="0.25">
      <c r="A42" s="44"/>
      <c r="B42" s="48"/>
      <c r="C42" s="48"/>
      <c r="D42" s="44"/>
      <c r="E42" s="44"/>
      <c r="F42" s="49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I42" s="44"/>
      <c r="AJ42" s="44"/>
    </row>
    <row r="43" spans="1:36" x14ac:dyDescent="0.25">
      <c r="A43" s="44"/>
      <c r="B43" s="48"/>
      <c r="C43" s="48"/>
      <c r="D43" s="44"/>
      <c r="E43" s="44"/>
      <c r="F43" s="49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I43" s="44"/>
      <c r="AJ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I44" s="44"/>
      <c r="AJ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5">
    <sortCondition ref="AH23"/>
  </sortState>
  <mergeCells count="20"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  <mergeCell ref="A1:B1"/>
    <mergeCell ref="A6:B6"/>
    <mergeCell ref="A7:B7"/>
    <mergeCell ref="A4:B4"/>
    <mergeCell ref="A3:B3"/>
    <mergeCell ref="A2:B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1518650.925</v>
      </c>
      <c r="C2" s="33">
        <f>IF(ISNUMBER(Calculations!O4),CONVERT(Calculations!O4,Units_In,Units_Out),"")</f>
        <v>3951171.4679999999</v>
      </c>
      <c r="D2" s="33" t="s">
        <v>60</v>
      </c>
      <c r="E2" s="10" t="str">
        <f>CONCATENATE("0503 ",B2,"EUSft ",C2,"NUSft")</f>
        <v>0503 1518650.925EUSft 3951171.468NUSft</v>
      </c>
      <c r="F2" s="34">
        <v>98</v>
      </c>
      <c r="G2" s="10" t="str">
        <f>IF(F2=98,"Lime",IF(F2=94,"Yellow",""))</f>
        <v>Lime</v>
      </c>
      <c r="H2" s="10" t="str">
        <f>Calculations!$A$1</f>
        <v>CSS15</v>
      </c>
    </row>
    <row r="3" spans="1:8" s="10" customFormat="1" x14ac:dyDescent="0.25">
      <c r="A3" s="10" t="str">
        <f>IF(ISNUMBER(Calculations!M5),CONCATENATE("GPS",Calculations!M5),"")</f>
        <v>GPS1</v>
      </c>
      <c r="B3" s="33" t="str">
        <f>IF(ISNUMBER(Calculations!N5),CONVERT(Calculations!N5,Units_In,Units_Out),"")</f>
        <v/>
      </c>
      <c r="C3" s="33" t="str">
        <f>IF(ISNUMBER(Calculations!O5),CONVERT(Calculations!O5,Units_In,Units_Out),"")</f>
        <v/>
      </c>
      <c r="D3" s="33" t="s">
        <v>60</v>
      </c>
      <c r="E3" s="10" t="str">
        <f t="shared" ref="E3:E4" si="0">CONCATENATE("0503 ",B3,"EUSft ",C3,"NUSft")</f>
        <v>0503 EUSft 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CSS15</v>
      </c>
    </row>
    <row r="4" spans="1:8" s="10" customFormat="1" x14ac:dyDescent="0.25">
      <c r="A4" s="10" t="str">
        <f>IF(ISNUMBER(Calculations!M6),CONCATENATE("GPS",Calculations!M6),"")</f>
        <v>GPS2</v>
      </c>
      <c r="B4" s="33" t="str">
        <f>IF(ISNUMBER(Calculations!N6),CONVERT(Calculations!N6,Units_In,Units_Out),"")</f>
        <v/>
      </c>
      <c r="C4" s="33" t="str">
        <f>IF(ISNUMBER(Calculations!O6),CONVERT(Calculations!O6,Units_In,Units_Out),"")</f>
        <v/>
      </c>
      <c r="D4" s="33" t="s">
        <v>60</v>
      </c>
      <c r="E4" s="10" t="str">
        <f t="shared" si="0"/>
        <v>0503 EUSft NUSft</v>
      </c>
      <c r="F4" s="34">
        <v>98</v>
      </c>
      <c r="G4" s="10" t="str">
        <f t="shared" si="1"/>
        <v>Lime</v>
      </c>
      <c r="H4" s="10" t="str">
        <f>Calculations!$A$1</f>
        <v>CSS15</v>
      </c>
    </row>
    <row r="5" spans="1:8" x14ac:dyDescent="0.25">
      <c r="A5">
        <f>IF(ISNUMBER(Calculations!A21),Calculations!A21,"")</f>
        <v>1</v>
      </c>
      <c r="B5" s="33">
        <f>IF(ISNUMBER(A5),CONVERT(Calculations!T21,Units_In,Units_Out),"")</f>
        <v>1518650.9244271538</v>
      </c>
      <c r="C5" s="33">
        <f>IF(ISNUMBER(A5),CONVERT(Calculations!U21,Units_In,Units_Out),"")</f>
        <v>3951289.6260093446</v>
      </c>
      <c r="D5" s="33" t="str">
        <f>IF(ISTEXT(Calculations!F21),Calculations!F21,"")</f>
        <v/>
      </c>
      <c r="E5" t="str">
        <f>IF(ISNUMBER(A5),CONCATENATE("0503 ",B5,"EUSft ",C5,"NUSft"),"")</f>
        <v>0503 1518650.92442715EUSft 3951289.62600934NUSft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CSS15</v>
      </c>
    </row>
    <row r="6" spans="1:8" x14ac:dyDescent="0.25">
      <c r="A6" s="10">
        <f>IF(ISNUMBER(Calculations!A22),Calculations!A22,"")</f>
        <v>2</v>
      </c>
      <c r="B6" s="33">
        <f>IF(ISNUMBER(A6),CONVERT(Calculations!T22,Units_In,Units_Out),"")</f>
        <v>1518703.6538481216</v>
      </c>
      <c r="C6" s="33">
        <f>IF(ISNUMBER(A6),CONVERT(Calculations!U22,Units_In,Units_Out),"")</f>
        <v>3951167.8450560099</v>
      </c>
      <c r="D6" s="33" t="str">
        <f>IF(ISTEXT(Calculations!F22),Calculations!F22,"")</f>
        <v/>
      </c>
      <c r="E6" s="10" t="str">
        <f t="shared" ref="E6:E65" si="2">IF(ISNUMBER(A6),CONCATENATE("0503 ",B6,"EUSft ",C6,"NUSft"),"")</f>
        <v>0503 1518703.65384812EUSft 3951167.84505601NUSft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CSS15</v>
      </c>
    </row>
    <row r="7" spans="1:8" x14ac:dyDescent="0.25">
      <c r="A7" s="10">
        <f>IF(ISNUMBER(Calculations!A23),Calculations!A23,"")</f>
        <v>3</v>
      </c>
      <c r="B7" s="33">
        <f>IF(ISNUMBER(A7),CONVERT(Calculations!T23,Units_In,Units_Out),"")</f>
        <v>1518639.3733935375</v>
      </c>
      <c r="C7" s="33">
        <f>IF(ISNUMBER(A7),CONVERT(Calculations!U23,Units_In,Units_Out),"")</f>
        <v>3951181.7780017266</v>
      </c>
      <c r="D7" s="33" t="str">
        <f>IF(ISTEXT(Calculations!F23),Calculations!F23,"")</f>
        <v/>
      </c>
      <c r="E7" s="10" t="str">
        <f t="shared" si="2"/>
        <v>0503 1518639.37339354EUSft 3951181.77800173NUSft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CSS15</v>
      </c>
    </row>
    <row r="8" spans="1:8" x14ac:dyDescent="0.25">
      <c r="A8" s="10">
        <f>IF(ISNUMBER(Calculations!A24),Calculations!A24,"")</f>
        <v>4</v>
      </c>
      <c r="B8" s="33">
        <f>IF(ISNUMBER(A8),CONVERT(Calculations!T24,Units_In,Units_Out),"")</f>
        <v>1518632.6959023674</v>
      </c>
      <c r="C8" s="33">
        <f>IF(ISNUMBER(A8),CONVERT(Calculations!U24,Units_In,Units_Out),"")</f>
        <v>3951180.3565182872</v>
      </c>
      <c r="D8" s="33" t="str">
        <f>IF(ISTEXT(Calculations!F24),Calculations!F24,"")</f>
        <v/>
      </c>
      <c r="E8" s="10" t="str">
        <f t="shared" si="2"/>
        <v>0503 1518632.69590237EUSft 3951180.35651829NUSft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CSS15</v>
      </c>
    </row>
    <row r="9" spans="1:8" x14ac:dyDescent="0.25">
      <c r="A9" s="10">
        <f>IF(ISNUMBER(Calculations!A25),Calculations!A25,"")</f>
        <v>5</v>
      </c>
      <c r="B9" s="33">
        <f>IF(ISNUMBER(A9),CONVERT(Calculations!T25,Units_In,Units_Out),"")</f>
        <v>1518629.3873627884</v>
      </c>
      <c r="C9" s="33">
        <f>IF(ISNUMBER(A9),CONVERT(Calculations!U25,Units_In,Units_Out),"")</f>
        <v>3951178.7867291691</v>
      </c>
      <c r="D9" s="33" t="str">
        <f>IF(ISTEXT(Calculations!F25),Calculations!F25,"")</f>
        <v/>
      </c>
      <c r="E9" s="10" t="str">
        <f t="shared" si="2"/>
        <v>0503 1518629.38736279EUSft 3951178.78672917NUSft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CSS15</v>
      </c>
    </row>
    <row r="10" spans="1:8" x14ac:dyDescent="0.25">
      <c r="A10" s="10">
        <f>IF(ISNUMBER(Calculations!A26),Calculations!A26,"")</f>
        <v>6</v>
      </c>
      <c r="B10" s="33">
        <f>IF(ISNUMBER(A10),CONVERT(Calculations!T26,Units_In,Units_Out),"")</f>
        <v>1518623.4146156174</v>
      </c>
      <c r="C10" s="33">
        <f>IF(ISNUMBER(A10),CONVERT(Calculations!U26,Units_In,Units_Out),"")</f>
        <v>3951179.2163650901</v>
      </c>
      <c r="D10" s="33" t="str">
        <f>IF(ISTEXT(Calculations!F26),Calculations!F26,"")</f>
        <v/>
      </c>
      <c r="E10" s="10" t="str">
        <f t="shared" si="2"/>
        <v>0503 1518623.41461562EUSft 3951179.21636509NUSft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CSS15</v>
      </c>
    </row>
    <row r="11" spans="1:8" x14ac:dyDescent="0.25">
      <c r="A11" s="10">
        <f>IF(ISNUMBER(Calculations!A27),Calculations!A27,"")</f>
        <v>7</v>
      </c>
      <c r="B11" s="33">
        <f>IF(ISNUMBER(A11),CONVERT(Calculations!T27,Units_In,Units_Out),"")</f>
        <v>1518621.5500343377</v>
      </c>
      <c r="C11" s="33">
        <f>IF(ISNUMBER(A11),CONVERT(Calculations!U27,Units_In,Units_Out),"")</f>
        <v>3951180.2453756654</v>
      </c>
      <c r="D11" s="33" t="str">
        <f>IF(ISTEXT(Calculations!F27),Calculations!F27,"")</f>
        <v>WS</v>
      </c>
      <c r="E11" s="10" t="str">
        <f t="shared" si="2"/>
        <v>0503 1518621.55003434EUSft 3951180.24537567NUSft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CSS15</v>
      </c>
    </row>
    <row r="12" spans="1:8" x14ac:dyDescent="0.25">
      <c r="A12" s="10">
        <f>IF(ISNUMBER(Calculations!A28),Calculations!A28,"")</f>
        <v>8</v>
      </c>
      <c r="B12" s="33">
        <f>IF(ISNUMBER(A12),CONVERT(Calculations!T28,Units_In,Units_Out),"")</f>
        <v>1518618.8691610813</v>
      </c>
      <c r="C12" s="33">
        <f>IF(ISNUMBER(A12),CONVERT(Calculations!U28,Units_In,Units_Out),"")</f>
        <v>3951180.7623783578</v>
      </c>
      <c r="D12" s="33" t="str">
        <f>IF(ISTEXT(Calculations!F28),Calculations!F28,"")</f>
        <v/>
      </c>
      <c r="E12" s="10" t="str">
        <f t="shared" si="2"/>
        <v>0503 1518618.86916108EUSft 3951180.76237836NUSft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CSS15</v>
      </c>
    </row>
    <row r="13" spans="1:8" x14ac:dyDescent="0.25">
      <c r="A13" s="10">
        <f>IF(ISNUMBER(Calculations!A29),Calculations!A29,"")</f>
        <v>9</v>
      </c>
      <c r="B13" s="33">
        <f>IF(ISNUMBER(A13),CONVERT(Calculations!T29,Units_In,Units_Out),"")</f>
        <v>1518602.3040143126</v>
      </c>
      <c r="C13" s="33">
        <f>IF(ISNUMBER(A13),CONVERT(Calculations!U29,Units_In,Units_Out),"")</f>
        <v>3951181.6603914187</v>
      </c>
      <c r="D13" s="33" t="str">
        <f>IF(ISTEXT(Calculations!F29),Calculations!F29,"")</f>
        <v>ISLAND</v>
      </c>
      <c r="E13" s="10" t="str">
        <f t="shared" si="2"/>
        <v>0503 1518602.30401431EUSft 3951181.66039142NUSft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CSS15</v>
      </c>
    </row>
    <row r="14" spans="1:8" x14ac:dyDescent="0.25">
      <c r="A14" s="10">
        <f>IF(ISNUMBER(Calculations!A30),Calculations!A30,"")</f>
        <v>10</v>
      </c>
      <c r="B14" s="33">
        <f>IF(ISNUMBER(A14),CONVERT(Calculations!T30,Units_In,Units_Out),"")</f>
        <v>1518578.0933235411</v>
      </c>
      <c r="C14" s="33">
        <f>IF(ISNUMBER(A14),CONVERT(Calculations!U30,Units_In,Units_Out),"")</f>
        <v>3951188.3427790711</v>
      </c>
      <c r="D14" s="33" t="str">
        <f>IF(ISTEXT(Calculations!F30),Calculations!F30,"")</f>
        <v>MID CHAN</v>
      </c>
      <c r="E14" s="10" t="str">
        <f t="shared" si="2"/>
        <v>0503 1518578.09332354EUSft 3951188.34277907NUSft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CSS15</v>
      </c>
    </row>
    <row r="15" spans="1:8" x14ac:dyDescent="0.25">
      <c r="A15" s="10">
        <f>IF(ISNUMBER(Calculations!A31),Calculations!A31,"")</f>
        <v>11</v>
      </c>
      <c r="B15" s="33">
        <f>IF(ISNUMBER(A15),CONVERT(Calculations!T31,Units_In,Units_Out),"")</f>
        <v>1518558.6093619799</v>
      </c>
      <c r="C15" s="33">
        <f>IF(ISNUMBER(A15),CONVERT(Calculations!U31,Units_In,Units_Out),"")</f>
        <v>3951195.6033376614</v>
      </c>
      <c r="D15" s="33" t="str">
        <f>IF(ISTEXT(Calculations!F31),Calculations!F31,"")</f>
        <v/>
      </c>
      <c r="E15" s="10" t="str">
        <f t="shared" si="2"/>
        <v>0503 1518558.60936198EUSft 3951195.60333766NUSft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CSS15</v>
      </c>
    </row>
    <row r="16" spans="1:8" x14ac:dyDescent="0.25">
      <c r="A16" s="10">
        <f>IF(ISNUMBER(Calculations!A32),Calculations!A32,"")</f>
        <v>12</v>
      </c>
      <c r="B16" s="33">
        <f>IF(ISNUMBER(A16),CONVERT(Calculations!T32,Units_In,Units_Out),"")</f>
        <v>1518555.8612202026</v>
      </c>
      <c r="C16" s="33">
        <f>IF(ISNUMBER(A16),CONVERT(Calculations!U32,Units_In,Units_Out),"")</f>
        <v>3951197.2749776836</v>
      </c>
      <c r="D16" s="33" t="str">
        <f>IF(ISTEXT(Calculations!F32),Calculations!F32,"")</f>
        <v>WS</v>
      </c>
      <c r="E16" s="10" t="str">
        <f t="shared" si="2"/>
        <v>0503 1518555.8612202EUSft 3951197.27497768NUSft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CSS15</v>
      </c>
    </row>
    <row r="17" spans="1:8" x14ac:dyDescent="0.25">
      <c r="A17" s="10">
        <f>IF(ISNUMBER(Calculations!A33),Calculations!A33,"")</f>
        <v>13</v>
      </c>
      <c r="B17" s="33">
        <f>IF(ISNUMBER(A17),CONVERT(Calculations!T33,Units_In,Units_Out),"")</f>
        <v>1518553.5420891601</v>
      </c>
      <c r="C17" s="33">
        <f>IF(ISNUMBER(A17),CONVERT(Calculations!U33,Units_In,Units_Out),"")</f>
        <v>3951198.0120494724</v>
      </c>
      <c r="D17" s="33" t="str">
        <f>IF(ISTEXT(Calculations!F33),Calculations!F33,"")</f>
        <v/>
      </c>
      <c r="E17" s="10" t="str">
        <f t="shared" si="2"/>
        <v>0503 1518553.54208916EUSft 3951198.01204947NUSft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CSS15</v>
      </c>
    </row>
    <row r="18" spans="1:8" x14ac:dyDescent="0.25">
      <c r="A18" s="10">
        <f>IF(ISNUMBER(Calculations!A34),Calculations!A34,"")</f>
        <v>14</v>
      </c>
      <c r="B18" s="33">
        <f>IF(ISNUMBER(A18),CONVERT(Calculations!T34,Units_In,Units_Out),"")</f>
        <v>1518552.2062670693</v>
      </c>
      <c r="C18" s="33">
        <f>IF(ISNUMBER(A18),CONVERT(Calculations!U34,Units_In,Units_Out),"")</f>
        <v>3951199.6498383922</v>
      </c>
      <c r="D18" s="33" t="str">
        <f>IF(ISTEXT(Calculations!F34),Calculations!F34,"")</f>
        <v/>
      </c>
      <c r="E18" s="10" t="str">
        <f t="shared" si="2"/>
        <v>0503 1518552.20626707EUSft 3951199.64983839NUSft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CSS15</v>
      </c>
    </row>
    <row r="19" spans="1:8" x14ac:dyDescent="0.25">
      <c r="A19" s="10">
        <f>IF(ISNUMBER(Calculations!A35),Calculations!A35,"")</f>
        <v>15</v>
      </c>
      <c r="B19" s="33">
        <f>IF(ISNUMBER(A19),CONVERT(Calculations!T35,Units_In,Units_Out),"")</f>
        <v>1518550.3227245475</v>
      </c>
      <c r="C19" s="33">
        <f>IF(ISNUMBER(A19),CONVERT(Calculations!U35,Units_In,Units_Out),"")</f>
        <v>3951200.5914982092</v>
      </c>
      <c r="D19" s="33" t="str">
        <f>IF(ISTEXT(Calculations!F35),Calculations!F35,"")</f>
        <v/>
      </c>
      <c r="E19" s="10" t="str">
        <f t="shared" si="2"/>
        <v>0503 1518550.32272455EUSft 3951200.59149821NUSft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CSS15</v>
      </c>
    </row>
    <row r="20" spans="1:8" x14ac:dyDescent="0.25">
      <c r="A20" s="10">
        <f>IF(ISNUMBER(Calculations!A36),Calculations!A36,"")</f>
        <v>16</v>
      </c>
      <c r="B20" s="33">
        <f>IF(ISNUMBER(A20),CONVERT(Calculations!T36,Units_In,Units_Out),"")</f>
        <v>1518650.8980880866</v>
      </c>
      <c r="C20" s="33">
        <f>IF(ISNUMBER(A20),CONVERT(Calculations!U36,Units_In,Units_Out),"")</f>
        <v>3951289.5739684864</v>
      </c>
      <c r="D20" s="33" t="str">
        <f>IF(ISTEXT(Calculations!F36),Calculations!F36,"")</f>
        <v>PT1</v>
      </c>
      <c r="E20" s="10" t="str">
        <f t="shared" si="2"/>
        <v>0503 1518650.89808809EUSft 3951289.57396849NUSft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CSS15</v>
      </c>
    </row>
    <row r="21" spans="1:8" x14ac:dyDescent="0.25">
      <c r="A21" s="10">
        <f>IF(ISNUMBER(Calculations!A37),Calculations!A37,"")</f>
        <v>17</v>
      </c>
      <c r="B21" s="33">
        <f>IF(ISNUMBER(A21),CONVERT(Calculations!T37,Units_In,Units_Out),"")</f>
        <v>1518703.6159126656</v>
      </c>
      <c r="C21" s="33">
        <f>IF(ISNUMBER(A21),CONVERT(Calculations!U37,Units_In,Units_Out),"")</f>
        <v>3951167.8037713626</v>
      </c>
      <c r="D21" s="33" t="str">
        <f>IF(ISTEXT(Calculations!F37),Calculations!F37,"")</f>
        <v>PT2</v>
      </c>
      <c r="E21" s="10" t="str">
        <f t="shared" si="2"/>
        <v>0503 1518703.61591267EUSft 3951167.80377136NUSft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CSS15</v>
      </c>
    </row>
    <row r="22" spans="1:8" x14ac:dyDescent="0.25">
      <c r="A22" s="10" t="str">
        <f>IF(ISNUMBER(Calculations!A38),Calculations!A38,"")</f>
        <v/>
      </c>
      <c r="B22" s="33" t="str">
        <f>IF(ISNUMBER(A22),CONVERT(Calculations!T38,Units_In,Units_Out),"")</f>
        <v/>
      </c>
      <c r="C22" s="33" t="str">
        <f>IF(ISNUMBER(A22),CONVERT(Calculations!U38,Units_In,Units_Out),"")</f>
        <v/>
      </c>
      <c r="D22" s="33" t="str">
        <f>IF(ISTEXT(Calculations!F38),Calculations!F38,"")</f>
        <v/>
      </c>
      <c r="E22" s="10" t="str">
        <f t="shared" si="2"/>
        <v/>
      </c>
      <c r="F22" s="34" t="str">
        <f t="shared" si="3"/>
        <v/>
      </c>
      <c r="G22" s="10" t="str">
        <f t="shared" si="1"/>
        <v/>
      </c>
      <c r="H22" s="10" t="str">
        <f>IF(ISNUMBER(A22),Calculations!$A$1,"")</f>
        <v/>
      </c>
    </row>
    <row r="23" spans="1:8" x14ac:dyDescent="0.25">
      <c r="A23" s="10" t="str">
        <f>IF(ISNUMBER(Calculations!A39),Calculations!A39,"")</f>
        <v/>
      </c>
      <c r="B23" s="33" t="str">
        <f>IF(ISNUMBER(A23),CONVERT(Calculations!T39,Units_In,Units_Out),"")</f>
        <v/>
      </c>
      <c r="C23" s="33" t="str">
        <f>IF(ISNUMBER(A23),CONVERT(Calculations!U39,Units_In,Units_Out),"")</f>
        <v/>
      </c>
      <c r="D23" s="33" t="str">
        <f>IF(ISTEXT(Calculations!F39),Calculations!F39,"")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IF(ISNUMBER(Calculations!A40),Calculations!A40,"")</f>
        <v/>
      </c>
      <c r="B24" s="33" t="str">
        <f>IF(ISNUMBER(A24),CONVERT(Calculations!T40,Units_In,Units_Out),"")</f>
        <v/>
      </c>
      <c r="C24" s="33" t="str">
        <f>IF(ISNUMBER(A24),CONVERT(Calculations!U40,Units_In,Units_Out),"")</f>
        <v/>
      </c>
      <c r="D24" s="33" t="str">
        <f>IF(ISTEXT(Calculations!F40),Calculations!F40,"")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3" t="str">
        <f>IF(ISNUMBER(A25),CONVERT(Calculations!T41,Units_In,Units_Out),"")</f>
        <v/>
      </c>
      <c r="C25" s="33" t="str">
        <f>IF(ISNUMBER(A25),CONVERT(Calculations!U41,Units_In,Units_Out),"")</f>
        <v/>
      </c>
      <c r="D25" s="33" t="str">
        <f>IF(ISTEXT(Calculations!F41),Calculations!F41,"")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kmorse</cp:lastModifiedBy>
  <dcterms:created xsi:type="dcterms:W3CDTF">2011-11-09T05:33:48Z</dcterms:created>
  <dcterms:modified xsi:type="dcterms:W3CDTF">2013-09-16T18:26:35Z</dcterms:modified>
</cp:coreProperties>
</file>