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45621"/>
</workbook>
</file>

<file path=xl/calcChain.xml><?xml version="1.0" encoding="utf-8"?>
<calcChain xmlns="http://schemas.openxmlformats.org/spreadsheetml/2006/main">
  <c r="I43" i="1" l="1"/>
  <c r="J43" i="1" s="1"/>
  <c r="G43" i="1"/>
  <c r="H43" i="1" s="1"/>
  <c r="L43" i="1" s="1"/>
  <c r="I42" i="1"/>
  <c r="N42" i="1" s="1"/>
  <c r="G42" i="1"/>
  <c r="H42" i="1" s="1"/>
  <c r="K42" i="1" l="1"/>
  <c r="L42" i="1"/>
  <c r="J42" i="1"/>
  <c r="N43" i="1"/>
  <c r="K43" i="1"/>
  <c r="I41" i="1"/>
  <c r="J41" i="1" s="1"/>
  <c r="G41" i="1"/>
  <c r="H41" i="1" s="1"/>
  <c r="I40" i="1"/>
  <c r="J40" i="1" s="1"/>
  <c r="G40" i="1"/>
  <c r="H40" i="1" s="1"/>
  <c r="I39" i="1"/>
  <c r="J39" i="1" s="1"/>
  <c r="G39" i="1"/>
  <c r="H39" i="1" s="1"/>
  <c r="I38" i="1"/>
  <c r="J38" i="1" s="1"/>
  <c r="G38" i="1"/>
  <c r="H38" i="1" s="1"/>
  <c r="L41" i="1" l="1"/>
  <c r="K41" i="1"/>
  <c r="N41" i="1"/>
  <c r="L40" i="1"/>
  <c r="K40" i="1"/>
  <c r="N40" i="1"/>
  <c r="L39" i="1"/>
  <c r="K39" i="1"/>
  <c r="N39" i="1"/>
  <c r="L38" i="1"/>
  <c r="K38" i="1"/>
  <c r="N38" i="1"/>
  <c r="G36" i="1"/>
  <c r="H36" i="1" s="1"/>
  <c r="I36" i="1"/>
  <c r="J36" i="1" s="1"/>
  <c r="N36" i="1"/>
  <c r="G37" i="1"/>
  <c r="H37" i="1" s="1"/>
  <c r="I37" i="1"/>
  <c r="J37" i="1" s="1"/>
  <c r="K37" i="1" l="1"/>
  <c r="L37" i="1"/>
  <c r="N37" i="1"/>
  <c r="K36" i="1"/>
  <c r="L36" i="1"/>
  <c r="X22" i="1"/>
  <c r="Z22" i="1" s="1"/>
  <c r="X21" i="1"/>
  <c r="Z21" i="1" s="1"/>
  <c r="G34" i="1"/>
  <c r="H34" i="1" s="1"/>
  <c r="I34" i="1"/>
  <c r="J34" i="1" s="1"/>
  <c r="G35" i="1"/>
  <c r="H35" i="1" s="1"/>
  <c r="K35" i="1" s="1"/>
  <c r="I35" i="1"/>
  <c r="J35" i="1" s="1"/>
  <c r="N35" i="1" l="1"/>
  <c r="Y22" i="1"/>
  <c r="Y21" i="1"/>
  <c r="K34" i="1"/>
  <c r="L34" i="1"/>
  <c r="L35" i="1"/>
  <c r="N34" i="1"/>
  <c r="P5" i="1" l="1"/>
  <c r="P6" i="1"/>
  <c r="P4" i="1"/>
  <c r="O5" i="1"/>
  <c r="O6" i="1"/>
  <c r="O4" i="1"/>
  <c r="N5" i="1"/>
  <c r="N6" i="1"/>
  <c r="N4" i="1"/>
  <c r="V43" i="1" l="1"/>
  <c r="V42" i="1"/>
  <c r="V39" i="1"/>
  <c r="V38" i="1"/>
  <c r="V40" i="1"/>
  <c r="V41" i="1"/>
  <c r="V36" i="1"/>
  <c r="V37" i="1"/>
  <c r="V34" i="1"/>
  <c r="V35" i="1"/>
  <c r="Q5" i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0" i="1"/>
  <c r="V30" i="1" s="1"/>
  <c r="K26" i="1"/>
  <c r="J33" i="1"/>
  <c r="N33" i="1"/>
  <c r="N25" i="1"/>
  <c r="N21" i="1"/>
  <c r="N28" i="1"/>
  <c r="N27" i="1"/>
  <c r="N26" i="1"/>
  <c r="J24" i="1"/>
  <c r="N29" i="1"/>
  <c r="J32" i="1"/>
  <c r="J28" i="1"/>
  <c r="N32" i="1"/>
  <c r="R12" i="1" s="1"/>
  <c r="N24" i="1"/>
  <c r="J27" i="1"/>
  <c r="N31" i="1"/>
  <c r="N23" i="1"/>
  <c r="J25" i="1"/>
  <c r="N30" i="1"/>
  <c r="N22" i="1"/>
  <c r="R11" i="1" s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H3" i="2"/>
  <c r="H4" i="2"/>
  <c r="H2" i="2"/>
  <c r="G3" i="2" l="1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O43" i="1" l="1"/>
  <c r="P43" i="1" s="1"/>
  <c r="Q43" i="1" s="1"/>
  <c r="O42" i="1"/>
  <c r="P42" i="1" s="1"/>
  <c r="Q42" i="1" s="1"/>
  <c r="O40" i="1"/>
  <c r="P40" i="1" s="1"/>
  <c r="Q40" i="1" s="1"/>
  <c r="S40" i="1" s="1"/>
  <c r="U40" i="1" s="1"/>
  <c r="O41" i="1"/>
  <c r="P41" i="1" s="1"/>
  <c r="Q41" i="1" s="1"/>
  <c r="O38" i="1"/>
  <c r="P38" i="1" s="1"/>
  <c r="Q38" i="1" s="1"/>
  <c r="R38" i="1" s="1"/>
  <c r="T38" i="1" s="1"/>
  <c r="O39" i="1"/>
  <c r="P39" i="1" s="1"/>
  <c r="Q39" i="1" s="1"/>
  <c r="O37" i="1"/>
  <c r="P37" i="1" s="1"/>
  <c r="Q37" i="1" s="1"/>
  <c r="O36" i="1"/>
  <c r="P36" i="1" s="1"/>
  <c r="Q36" i="1" s="1"/>
  <c r="O35" i="1"/>
  <c r="P35" i="1" s="1"/>
  <c r="Q35" i="1" s="1"/>
  <c r="O34" i="1"/>
  <c r="P34" i="1" s="1"/>
  <c r="Q34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S43" i="1" l="1"/>
  <c r="U43" i="1" s="1"/>
  <c r="R43" i="1"/>
  <c r="T43" i="1" s="1"/>
  <c r="R42" i="1"/>
  <c r="T42" i="1" s="1"/>
  <c r="S42" i="1"/>
  <c r="U42" i="1" s="1"/>
  <c r="R40" i="1"/>
  <c r="T40" i="1" s="1"/>
  <c r="X40" i="1" s="1"/>
  <c r="R41" i="1"/>
  <c r="T41" i="1" s="1"/>
  <c r="X41" i="1" s="1"/>
  <c r="S41" i="1"/>
  <c r="U41" i="1" s="1"/>
  <c r="S38" i="1"/>
  <c r="U38" i="1" s="1"/>
  <c r="S39" i="1"/>
  <c r="U39" i="1" s="1"/>
  <c r="R39" i="1"/>
  <c r="T39" i="1" s="1"/>
  <c r="X38" i="1"/>
  <c r="R36" i="1"/>
  <c r="T36" i="1" s="1"/>
  <c r="X36" i="1" s="1"/>
  <c r="S36" i="1"/>
  <c r="U36" i="1" s="1"/>
  <c r="S37" i="1"/>
  <c r="U37" i="1" s="1"/>
  <c r="R37" i="1"/>
  <c r="T37" i="1" s="1"/>
  <c r="S34" i="1"/>
  <c r="U34" i="1" s="1"/>
  <c r="R34" i="1"/>
  <c r="T34" i="1" s="1"/>
  <c r="X34" i="1" s="1"/>
  <c r="R35" i="1"/>
  <c r="T35" i="1" s="1"/>
  <c r="X35" i="1" s="1"/>
  <c r="S35" i="1"/>
  <c r="U35" i="1" s="1"/>
  <c r="E36" i="2"/>
  <c r="E37" i="2"/>
  <c r="X4" i="1"/>
  <c r="Y4" i="1"/>
  <c r="X43" i="1" l="1"/>
  <c r="X42" i="1"/>
  <c r="Y41" i="1"/>
  <c r="Y40" i="1"/>
  <c r="X39" i="1"/>
  <c r="Y38" i="1"/>
  <c r="Y36" i="1"/>
  <c r="X37" i="1"/>
  <c r="Y35" i="1"/>
  <c r="Y34" i="1"/>
  <c r="Y5" i="1"/>
  <c r="Y8" i="1" s="1"/>
  <c r="X9" i="1"/>
  <c r="Y9" i="1"/>
  <c r="Y43" i="1" l="1"/>
  <c r="Y42" i="1"/>
  <c r="Y39" i="1"/>
  <c r="Y37" i="1"/>
  <c r="O21" i="1"/>
  <c r="P21" i="1" l="1"/>
  <c r="Q21" i="1" s="1"/>
  <c r="O22" i="1"/>
  <c r="O24" i="1"/>
  <c r="O26" i="1"/>
  <c r="O28" i="1"/>
  <c r="O30" i="1"/>
  <c r="O32" i="1"/>
  <c r="O23" i="1"/>
  <c r="O25" i="1"/>
  <c r="O27" i="1"/>
  <c r="O29" i="1"/>
  <c r="O31" i="1"/>
  <c r="O33" i="1"/>
  <c r="P23" i="1" l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W21" i="1" s="1"/>
  <c r="W43" i="1" l="1"/>
  <c r="W42" i="1"/>
  <c r="W40" i="1"/>
  <c r="W41" i="1"/>
  <c r="W38" i="1"/>
  <c r="W39" i="1"/>
  <c r="W37" i="1"/>
  <c r="W36" i="1"/>
  <c r="W35" i="1"/>
  <c r="W34" i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X24" i="1" s="1"/>
  <c r="Q28" i="1"/>
  <c r="R28" i="1" s="1"/>
  <c r="T28" i="1" s="1"/>
  <c r="X28" i="1" s="1"/>
  <c r="Q32" i="1"/>
  <c r="R32" i="1" s="1"/>
  <c r="T32" i="1" s="1"/>
  <c r="X32" i="1" s="1"/>
  <c r="Q23" i="1"/>
  <c r="R23" i="1" s="1"/>
  <c r="T23" i="1" s="1"/>
  <c r="X23" i="1" s="1"/>
  <c r="B24" i="2"/>
  <c r="B28" i="2"/>
  <c r="B32" i="2"/>
  <c r="C5" i="2"/>
  <c r="B5" i="2"/>
  <c r="B7" i="2" l="1"/>
  <c r="B16" i="2"/>
  <c r="B8" i="2"/>
  <c r="B12" i="2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E7" i="2" s="1"/>
  <c r="S32" i="1"/>
  <c r="U32" i="1" s="1"/>
  <c r="C16" i="2" s="1"/>
  <c r="C29" i="2"/>
  <c r="E29" i="2" s="1"/>
  <c r="R33" i="1"/>
  <c r="T33" i="1" s="1"/>
  <c r="X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C23" i="2"/>
  <c r="C24" i="2"/>
  <c r="E24" i="2" s="1"/>
  <c r="C18" i="2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AB21" i="1"/>
  <c r="AD22" i="1"/>
  <c r="E19" i="2" l="1"/>
  <c r="Y28" i="1"/>
  <c r="Y31" i="1"/>
  <c r="Y29" i="1"/>
  <c r="Y33" i="1"/>
  <c r="Y27" i="1"/>
  <c r="Y26" i="1"/>
  <c r="Y30" i="1"/>
  <c r="Y25" i="1"/>
  <c r="Y24" i="1"/>
  <c r="Y23" i="1"/>
  <c r="Y32" i="1"/>
  <c r="E20" i="2"/>
  <c r="E12" i="2"/>
  <c r="E16" i="2"/>
  <c r="B17" i="2"/>
  <c r="E17" i="2" s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B22" i="1"/>
  <c r="X13" i="1" l="1"/>
  <c r="AD35" i="1" s="1"/>
  <c r="AF35" i="1" s="1"/>
  <c r="AD42" i="1"/>
  <c r="AF42" i="1" s="1"/>
  <c r="AD43" i="1"/>
  <c r="AF43" i="1" s="1"/>
  <c r="AD41" i="1"/>
  <c r="AF41" i="1" s="1"/>
  <c r="AD38" i="1"/>
  <c r="AF38" i="1" s="1"/>
  <c r="AD36" i="1"/>
  <c r="AF36" i="1" s="1"/>
  <c r="AD34" i="1"/>
  <c r="AF34" i="1" s="1"/>
  <c r="AD27" i="1"/>
  <c r="AF27" i="1" s="1"/>
  <c r="AD24" i="1"/>
  <c r="AF24" i="1" s="1"/>
  <c r="AD25" i="1"/>
  <c r="AF25" i="1" s="1"/>
  <c r="AD29" i="1"/>
  <c r="AF29" i="1" s="1"/>
  <c r="AD23" i="1"/>
  <c r="AF23" i="1" s="1"/>
  <c r="AD33" i="1" l="1"/>
  <c r="AF33" i="1" s="1"/>
  <c r="AD37" i="1"/>
  <c r="AF37" i="1" s="1"/>
  <c r="AD39" i="1"/>
  <c r="AF39" i="1" s="1"/>
  <c r="AD40" i="1"/>
  <c r="AF40" i="1" s="1"/>
  <c r="AD31" i="1"/>
  <c r="AF31" i="1" s="1"/>
  <c r="AD30" i="1"/>
  <c r="AF30" i="1" s="1"/>
  <c r="AD32" i="1"/>
  <c r="AF32" i="1" s="1"/>
  <c r="AD28" i="1"/>
  <c r="AF28" i="1" s="1"/>
  <c r="AD26" i="1"/>
  <c r="AF26" i="1" s="1"/>
  <c r="AC4" i="1"/>
  <c r="AC3" i="1"/>
  <c r="AC6" i="1" s="1"/>
  <c r="Z43" i="1" l="1"/>
  <c r="Z42" i="1"/>
  <c r="Z41" i="1"/>
  <c r="Z40" i="1"/>
  <c r="Z39" i="1"/>
  <c r="Z38" i="1"/>
  <c r="Z36" i="1"/>
  <c r="Z37" i="1"/>
  <c r="Z28" i="1"/>
  <c r="AA28" i="1" s="1"/>
  <c r="Z34" i="1"/>
  <c r="AA34" i="1" s="1"/>
  <c r="Z35" i="1"/>
  <c r="AA35" i="1" s="1"/>
  <c r="Z32" i="1"/>
  <c r="AA32" i="1" s="1"/>
  <c r="Z23" i="1"/>
  <c r="Z24" i="1"/>
  <c r="AA24" i="1" s="1"/>
  <c r="Z25" i="1"/>
  <c r="AA25" i="1" s="1"/>
  <c r="Z31" i="1"/>
  <c r="AA31" i="1" s="1"/>
  <c r="Z29" i="1"/>
  <c r="AA29" i="1" s="1"/>
  <c r="Z33" i="1"/>
  <c r="AA33" i="1" s="1"/>
  <c r="Z27" i="1"/>
  <c r="AA27" i="1" s="1"/>
  <c r="Z26" i="1"/>
  <c r="Z30" i="1"/>
  <c r="AA30" i="1" s="1"/>
  <c r="AA26" i="1" l="1"/>
  <c r="AA42" i="1"/>
  <c r="AB42" i="1" s="1"/>
  <c r="AA43" i="1"/>
  <c r="AB43" i="1" s="1"/>
  <c r="AA40" i="1"/>
  <c r="AB40" i="1" s="1"/>
  <c r="AA41" i="1"/>
  <c r="AA39" i="1"/>
  <c r="AB39" i="1" s="1"/>
  <c r="AA38" i="1"/>
  <c r="AA36" i="1"/>
  <c r="AB36" i="1" s="1"/>
  <c r="AA37" i="1"/>
  <c r="AB37" i="1" s="1"/>
  <c r="AA23" i="1"/>
  <c r="AC23" i="1" s="1"/>
  <c r="AE23" i="1" s="1"/>
  <c r="AA22" i="1"/>
  <c r="AC22" i="1"/>
  <c r="AA21" i="1"/>
  <c r="AC21" i="1"/>
  <c r="AB35" i="1"/>
  <c r="AB34" i="1"/>
  <c r="AB32" i="1"/>
  <c r="AB33" i="1"/>
  <c r="AB28" i="1"/>
  <c r="AB27" i="1"/>
  <c r="AB29" i="1"/>
  <c r="AB24" i="1"/>
  <c r="AB31" i="1"/>
  <c r="AB25" i="1"/>
  <c r="AB30" i="1"/>
  <c r="AC26" i="1" l="1"/>
  <c r="AE26" i="1" s="1"/>
  <c r="AB26" i="1"/>
  <c r="AC43" i="1"/>
  <c r="AE43" i="1" s="1"/>
  <c r="AC42" i="1"/>
  <c r="AE42" i="1" s="1"/>
  <c r="AC41" i="1"/>
  <c r="AE41" i="1" s="1"/>
  <c r="AB41" i="1"/>
  <c r="AC40" i="1"/>
  <c r="AE40" i="1" s="1"/>
  <c r="AC38" i="1"/>
  <c r="AE38" i="1" s="1"/>
  <c r="AB38" i="1"/>
  <c r="AC39" i="1"/>
  <c r="AE39" i="1" s="1"/>
  <c r="AC36" i="1"/>
  <c r="AE36" i="1" s="1"/>
  <c r="AC37" i="1"/>
  <c r="AE37" i="1" s="1"/>
  <c r="AC33" i="1"/>
  <c r="AE33" i="1" s="1"/>
  <c r="AC24" i="1"/>
  <c r="AE24" i="1" s="1"/>
  <c r="AC35" i="1"/>
  <c r="AE35" i="1" s="1"/>
  <c r="AC34" i="1"/>
  <c r="AE34" i="1" s="1"/>
  <c r="AC27" i="1"/>
  <c r="AE27" i="1" s="1"/>
  <c r="AC25" i="1"/>
  <c r="AE25" i="1" s="1"/>
  <c r="AC31" i="1"/>
  <c r="AE31" i="1" s="1"/>
  <c r="AC32" i="1"/>
  <c r="AE32" i="1" s="1"/>
  <c r="AC29" i="1"/>
  <c r="AE29" i="1" s="1"/>
  <c r="AC30" i="1"/>
  <c r="AE30" i="1" s="1"/>
  <c r="AC28" i="1"/>
  <c r="AE28" i="1" s="1"/>
  <c r="AB23" i="1"/>
  <c r="AC9" i="1" s="1"/>
  <c r="AI39" i="1" l="1"/>
  <c r="AJ39" i="1" s="1"/>
  <c r="AI38" i="1"/>
  <c r="AJ38" i="1" s="1"/>
  <c r="AI41" i="1"/>
  <c r="AJ41" i="1" s="1"/>
  <c r="AI40" i="1"/>
  <c r="AJ40" i="1" s="1"/>
  <c r="AI36" i="1"/>
  <c r="AJ36" i="1" s="1"/>
  <c r="AI37" i="1"/>
  <c r="AJ37" i="1" s="1"/>
  <c r="AI34" i="1"/>
  <c r="AJ34" i="1" s="1"/>
  <c r="AI35" i="1"/>
  <c r="AJ35" i="1" s="1"/>
  <c r="AC10" i="1"/>
  <c r="AI23" i="1"/>
  <c r="AJ23" i="1" s="1"/>
  <c r="AI31" i="1"/>
  <c r="AJ31" i="1" s="1"/>
  <c r="AI29" i="1"/>
  <c r="AJ29" i="1" s="1"/>
  <c r="AI24" i="1"/>
  <c r="AJ24" i="1" s="1"/>
  <c r="AI33" i="1"/>
  <c r="AJ33" i="1" s="1"/>
  <c r="AI27" i="1"/>
  <c r="AJ27" i="1" s="1"/>
  <c r="AI30" i="1"/>
  <c r="AJ30" i="1" s="1"/>
  <c r="AI28" i="1"/>
  <c r="AJ28" i="1" s="1"/>
  <c r="AI26" i="1"/>
  <c r="AJ26" i="1" s="1"/>
  <c r="AI32" i="1"/>
  <c r="AJ32" i="1" s="1"/>
  <c r="AI25" i="1"/>
  <c r="AJ25" i="1" s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<sst xmlns="http://schemas.openxmlformats.org/spreadsheetml/2006/main" count="105" uniqueCount="90">
  <si>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</si>
  <si>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</si>
  <si>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</si>
  <si>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</si>
  <si>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</si>
  <si>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</si>
  <si>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</si>
  <si>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</si>
  <si>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</si>
  <si>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</si>
  <si>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</si>
  <si>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</si>
  <si>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</si>
  <si>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</si>
  <si>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</si>
  <si>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</si>
  <si>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</si>
  <si>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</si>
  <si>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</si>
  <si>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</si>
  <si>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</si>
  <si>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</si>
  <si>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</si>
  <si>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</si>
  <si>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</si>
  <si>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</si>
  <si>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</si>
  <si>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</si>
  <si>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</si>
  <si>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</si>
  <si>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</si>
  <si>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</si>
  <si>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</si>
  <si>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</si>
  <si>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</si>
  <si>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</si>
  <si>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</si>
  <si>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</si>
  <si>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</si>
  <si>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</si>
  <si>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</si>
  <si>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</si>
  <si>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</si>
  <si>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</si>
  <si>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</si>
  <si>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</si>
  <si>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</si>
  <si>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</si>
  <si>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</si>
  <si>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</si>
  <si>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</si>
  <si>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</si>
  <si>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</si>
  <si>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</si>
  <si>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</si>
  <si>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</si>
  <si>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</si>
  <si>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</si>
  <si>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</si>
  <si>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</si>
  <si>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</si>
  <si>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</si>
  <si>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</si>
  <si>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</si>
  <si>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</si>
  <si>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</si>
  <si>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</si>
  <si>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</si>
  <si>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</si>
  <si>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PT1</t>
  </si>
  <si>
    <t>PT2</t>
  </si>
  <si>
    <t>ft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</si>
  <si>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</si>
  <si>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</si>
  <si>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</si>
  <si>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</si>
  <si>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</si>
  <si>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</si>
  <si>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</si>
  <si>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</si>
  <si>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</si>
  <si>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</si>
  <si>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</si>
  <si>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WS</t>
  </si>
  <si>
    <t>BS/ZERO</t>
  </si>
  <si>
    <t>CSS16</t>
  </si>
  <si>
    <t xml:space="preserve">BS </t>
  </si>
  <si>
    <t>RIVER</t>
  </si>
  <si>
    <t>1,3964011.972,1517435.875,3318.229,</t>
  </si>
  <si>
    <t>NR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</si>
</sst>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Calculations!$AH$23:$AH$66</c:f>
              <c:numCache>
                <c:formatCode>General</c:formatCode>
                <c:ptCount val="44"/>
                <c:pt idx="0">
                  <c:v>0</c:v>
                </c:pt>
                <c:pt idx="1">
                  <c:v>8.61</c:v>
                </c:pt>
                <c:pt idx="2">
                  <c:v>15.29</c:v>
                </c:pt>
                <c:pt idx="3">
                  <c:v>17.91</c:v>
                </c:pt>
                <c:pt idx="4">
                  <c:v>18.73</c:v>
                </c:pt>
                <c:pt idx="5">
                  <c:v>21.29</c:v>
                </c:pt>
                <c:pt idx="6">
                  <c:v>43.44</c:v>
                </c:pt>
                <c:pt idx="7">
                  <c:v>57.36</c:v>
                </c:pt>
                <c:pt idx="8">
                  <c:v>61.41</c:v>
                </c:pt>
                <c:pt idx="9">
                  <c:v>63.42</c:v>
                </c:pt>
                <c:pt idx="10">
                  <c:v>71.84</c:v>
                </c:pt>
                <c:pt idx="11">
                  <c:v>104.9</c:v>
                </c:pt>
                <c:pt idx="12">
                  <c:v>108.3</c:v>
                </c:pt>
                <c:pt idx="13">
                  <c:v>117.92</c:v>
                </c:pt>
                <c:pt idx="14">
                  <c:v>125.46</c:v>
                </c:pt>
                <c:pt idx="15">
                  <c:v>270.52999999999997</c:v>
                </c:pt>
                <c:pt idx="16">
                  <c:v>411.91</c:v>
                </c:pt>
                <c:pt idx="17">
                  <c:v>561.69000000000005</c:v>
                </c:pt>
                <c:pt idx="18">
                  <c:v>711.45</c:v>
                </c:pt>
              </c:numCache>
            </c:numRef>
          </c:xVal>
          <c:yVal>
            <c:numRef>
              <c:f>Calculations!$AI$23:$AI$66</c:f>
              <c:numCache>
                <c:formatCode>General</c:formatCode>
                <c:ptCount val="44"/>
                <c:pt idx="0">
                  <c:v>7.71</c:v>
                </c:pt>
                <c:pt idx="1">
                  <c:v>4.2699999999999996</c:v>
                </c:pt>
                <c:pt idx="2">
                  <c:v>4.38</c:v>
                </c:pt>
                <c:pt idx="3">
                  <c:v>2.27</c:v>
                </c:pt>
                <c:pt idx="4">
                  <c:v>1.93</c:v>
                </c:pt>
                <c:pt idx="5">
                  <c:v>0.67</c:v>
                </c:pt>
                <c:pt idx="6">
                  <c:v>0</c:v>
                </c:pt>
                <c:pt idx="7">
                  <c:v>1.3</c:v>
                </c:pt>
                <c:pt idx="8">
                  <c:v>1.89</c:v>
                </c:pt>
                <c:pt idx="9">
                  <c:v>2.38</c:v>
                </c:pt>
                <c:pt idx="10">
                  <c:v>2.96</c:v>
                </c:pt>
                <c:pt idx="11">
                  <c:v>2.71</c:v>
                </c:pt>
                <c:pt idx="12">
                  <c:v>3.69</c:v>
                </c:pt>
                <c:pt idx="13">
                  <c:v>4.4400000000000004</c:v>
                </c:pt>
                <c:pt idx="14">
                  <c:v>9.51</c:v>
                </c:pt>
                <c:pt idx="15">
                  <c:v>9.4700000000000006</c:v>
                </c:pt>
                <c:pt idx="16">
                  <c:v>9.74</c:v>
                </c:pt>
                <c:pt idx="17">
                  <c:v>9.77</c:v>
                </c:pt>
                <c:pt idx="18">
                  <c:v>9.82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83904"/>
        <c:axId val="156193920"/>
      </c:scatterChart>
      <c:valAx>
        <c:axId val="1498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193920"/>
        <c:crosses val="autoZero"/>
        <c:crossBetween val="midCat"/>
      </c:valAx>
      <c:valAx>
        <c:axId val="1561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883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Calculations!$R$25:$R$33</c:f>
              <c:numCache>
                <c:formatCode>0.00</c:formatCode>
                <c:ptCount val="9"/>
                <c:pt idx="0">
                  <c:v>-8.790150883192684</c:v>
                </c:pt>
                <c:pt idx="1">
                  <c:v>-9.9605764318369836</c:v>
                </c:pt>
                <c:pt idx="2">
                  <c:v>-10.29634087183652</c:v>
                </c:pt>
                <c:pt idx="3">
                  <c:v>-11.791069218030488</c:v>
                </c:pt>
                <c:pt idx="4">
                  <c:v>-19.977033376550793</c:v>
                </c:pt>
                <c:pt idx="5">
                  <c:v>-27.233774502243151</c:v>
                </c:pt>
                <c:pt idx="6">
                  <c:v>-29.660643458652476</c:v>
                </c:pt>
                <c:pt idx="7">
                  <c:v>-30.728603262876995</c:v>
                </c:pt>
                <c:pt idx="8">
                  <c:v>-33.96368475868222</c:v>
                </c:pt>
              </c:numCache>
            </c:numRef>
          </c:xVal>
          <c:yVal>
            <c:numRef>
              <c:f>Calculations!$S$25:$S$33</c:f>
              <c:numCache>
                <c:formatCode>0.00</c:formatCode>
                <c:ptCount val="9"/>
                <c:pt idx="0">
                  <c:v>-14.857414546882902</c:v>
                </c:pt>
                <c:pt idx="1">
                  <c:v>-17.203073631776562</c:v>
                </c:pt>
                <c:pt idx="2">
                  <c:v>-17.961055712116362</c:v>
                </c:pt>
                <c:pt idx="3">
                  <c:v>-20.055932270433281</c:v>
                </c:pt>
                <c:pt idx="4">
                  <c:v>-40.954956675713944</c:v>
                </c:pt>
                <c:pt idx="5">
                  <c:v>-52.832327016286548</c:v>
                </c:pt>
                <c:pt idx="6">
                  <c:v>-56.109293786800627</c:v>
                </c:pt>
                <c:pt idx="7">
                  <c:v>-57.812380725880367</c:v>
                </c:pt>
                <c:pt idx="8">
                  <c:v>-65.677599898996036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69440"/>
        <c:axId val="158716288"/>
      </c:scatterChart>
      <c:valAx>
        <c:axId val="1586694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8716288"/>
        <c:crosses val="autoZero"/>
        <c:crossBetween val="midCat"/>
      </c:valAx>
      <c:valAx>
        <c:axId val="158716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8669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Calculations!$Z$21:$Z$46</c:f>
              <c:numCache>
                <c:formatCode>0.00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1517436.9919587651</c:v>
                </c:pt>
                <c:pt idx="3">
                  <c:v>1517432.5863416248</c:v>
                </c:pt>
                <c:pt idx="4">
                  <c:v>1517429.1695092197</c:v>
                </c:pt>
                <c:pt idx="5">
                  <c:v>1517427.8321236772</c:v>
                </c:pt>
                <c:pt idx="6">
                  <c:v>1517427.4110671768</c:v>
                </c:pt>
                <c:pt idx="7">
                  <c:v>1517426.0990435139</c:v>
                </c:pt>
                <c:pt idx="8">
                  <c:v>1517414.7701833199</c:v>
                </c:pt>
                <c:pt idx="9">
                  <c:v>1517407.6501244982</c:v>
                </c:pt>
                <c:pt idx="10">
                  <c:v>1517405.5745425427</c:v>
                </c:pt>
                <c:pt idx="11">
                  <c:v>1517404.5464263596</c:v>
                </c:pt>
                <c:pt idx="12">
                  <c:v>1517400.2424859684</c:v>
                </c:pt>
                <c:pt idx="13">
                  <c:v>1517383.327439338</c:v>
                </c:pt>
                <c:pt idx="14">
                  <c:v>1517381.5901785144</c:v>
                </c:pt>
                <c:pt idx="15">
                  <c:v>1517376.6653699644</c:v>
                </c:pt>
                <c:pt idx="16">
                  <c:v>1517372.8115921787</c:v>
                </c:pt>
                <c:pt idx="17">
                  <c:v>1517298.5955158814</c:v>
                </c:pt>
                <c:pt idx="18">
                  <c:v>1517226.2693063631</c:v>
                </c:pt>
                <c:pt idx="19">
                  <c:v>1517149.6467099211</c:v>
                </c:pt>
                <c:pt idx="20">
                  <c:v>1517073.0295325958</c:v>
                </c:pt>
                <c:pt idx="21">
                  <c:v>#N/A</c:v>
                </c:pt>
                <c:pt idx="22">
                  <c:v>#N/A</c:v>
                </c:pt>
              </c:numCache>
            </c:numRef>
          </c:xVal>
          <c:yVal>
            <c:numRef>
              <c:f>Calculations!$AA$21:$AA$46</c:f>
              <c:numCache>
                <c:formatCode>0.00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3964009.0118845883</c:v>
                </c:pt>
                <c:pt idx="3">
                  <c:v>3964001.6122730752</c:v>
                </c:pt>
                <c:pt idx="4">
                  <c:v>3963995.8734102556</c:v>
                </c:pt>
                <c:pt idx="5">
                  <c:v>3963993.6271566339</c:v>
                </c:pt>
                <c:pt idx="6">
                  <c:v>3963992.9199561602</c:v>
                </c:pt>
                <c:pt idx="7">
                  <c:v>3963990.7162999888</c:v>
                </c:pt>
                <c:pt idx="8">
                  <c:v>3963971.6885085003</c:v>
                </c:pt>
                <c:pt idx="9">
                  <c:v>3963959.7297595777</c:v>
                </c:pt>
                <c:pt idx="10">
                  <c:v>3963956.2436418226</c:v>
                </c:pt>
                <c:pt idx="11">
                  <c:v>3963954.516832592</c:v>
                </c:pt>
                <c:pt idx="12">
                  <c:v>3963947.2879958916</c:v>
                </c:pt>
                <c:pt idx="13">
                  <c:v>3963918.8777255923</c:v>
                </c:pt>
                <c:pt idx="14">
                  <c:v>3963915.9598471699</c:v>
                </c:pt>
                <c:pt idx="15">
                  <c:v>3963907.6882091938</c:v>
                </c:pt>
                <c:pt idx="16">
                  <c:v>3963901.2154591647</c:v>
                </c:pt>
                <c:pt idx="17">
                  <c:v>3963776.5631993022</c:v>
                </c:pt>
                <c:pt idx="18">
                  <c:v>3963655.0851326408</c:v>
                </c:pt>
                <c:pt idx="19">
                  <c:v>3963526.3909159754</c:v>
                </c:pt>
                <c:pt idx="20">
                  <c:v>3963397.705801181</c:v>
                </c:pt>
                <c:pt idx="21">
                  <c:v>#N/A</c:v>
                </c:pt>
                <c:pt idx="22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24960"/>
        <c:axId val="159227264"/>
      </c:scatterChart>
      <c:valAx>
        <c:axId val="1592249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9227264"/>
        <c:crosses val="autoZero"/>
        <c:crossBetween val="midCat"/>
      </c:valAx>
      <c:valAx>
        <c:axId val="159227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922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</c:numCache>
            </c:numRef>
          </c:xVal>
          <c:yVal>
            <c:numRef>
              <c:f>Calculations!$M$57:$M$83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</c:numCache>
            </c:numRef>
          </c:xVal>
          <c:yVal>
            <c:numRef>
              <c:f>(Calculations!$M$55:$M$56,Calculations!$M$84:$M$85)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46912"/>
        <c:axId val="106248448"/>
      </c:scatterChart>
      <c:valAx>
        <c:axId val="10624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48448"/>
        <c:crosses val="autoZero"/>
        <c:crossBetween val="midCat"/>
      </c:valAx>
      <c:valAx>
        <c:axId val="1062484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246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599262</xdr:colOff>
      <xdr:row>47</xdr:row>
      <xdr:rowOff>123749</xdr:rowOff>
    </xdr:from>
    <xdr:to>
      <xdr:col>34</xdr:col>
      <xdr:colOff>167833</xdr:colOff>
      <xdr:row>62</xdr:row>
      <xdr:rowOff>9449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705971</xdr:colOff>
      <xdr:row>48</xdr:row>
      <xdr:rowOff>8988</xdr:rowOff>
    </xdr:from>
    <xdr:to>
      <xdr:col>20</xdr:col>
      <xdr:colOff>654100</xdr:colOff>
      <xdr:row>62</xdr:row>
      <xdr:rowOff>85188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179294</xdr:colOff>
      <xdr:row>47</xdr:row>
      <xdr:rowOff>129988</xdr:rowOff>
    </xdr:from>
    <xdr:to>
      <xdr:col>27</xdr:col>
      <xdr:colOff>392206</xdr:colOff>
      <xdr:row>62</xdr:row>
      <xdr:rowOff>15688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5"/>
  <sheetViews>
    <sheetView tabSelected="1" topLeftCell="W1" zoomScale="85" zoomScaleNormal="85" workbookViewId="0">
      <selection activeCell="AJ23" sqref="AJ23:AJ41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56" t="s">
        <v>85</v>
      </c>
      <c r="B1" s="57"/>
      <c r="C1" s="51">
        <v>40838</v>
      </c>
      <c r="D1" s="44"/>
      <c r="E1" s="44"/>
      <c r="F1" s="44"/>
      <c r="M1" s="62" t="s">
        <v>21</v>
      </c>
      <c r="N1" s="62"/>
      <c r="O1" s="62"/>
      <c r="P1" s="62"/>
      <c r="Q1" s="62"/>
      <c r="R1" s="22"/>
      <c r="W1" s="59" t="s">
        <v>34</v>
      </c>
      <c r="X1" s="59"/>
      <c r="Y1" s="59"/>
      <c r="Z1" s="2"/>
      <c r="AA1" s="59" t="s">
        <v>56</v>
      </c>
      <c r="AB1" s="59"/>
      <c r="AC1" s="59"/>
    </row>
    <row r="2" spans="1:29" x14ac:dyDescent="0.25">
      <c r="A2" s="56" t="s">
        <v>16</v>
      </c>
      <c r="B2" s="57"/>
      <c r="C2" s="38">
        <v>5.1104000000000003</v>
      </c>
      <c r="D2" s="44"/>
      <c r="E2" s="44"/>
      <c r="F2" s="44"/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56" t="s">
        <v>66</v>
      </c>
      <c r="B3" s="57"/>
      <c r="C3" s="38" t="s">
        <v>71</v>
      </c>
      <c r="D3" s="44"/>
      <c r="E3" s="44"/>
      <c r="F3" s="44"/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>SLOPE(yB,xB)</f>
        <v>1.6795856919656649</v>
      </c>
    </row>
    <row r="4" spans="1:29" ht="18" x14ac:dyDescent="0.35">
      <c r="A4" s="56" t="s">
        <v>67</v>
      </c>
      <c r="B4" s="57"/>
      <c r="C4" s="38" t="s">
        <v>71</v>
      </c>
      <c r="D4" s="44"/>
      <c r="E4" s="44"/>
      <c r="F4" s="44"/>
      <c r="M4" s="22">
        <v>0</v>
      </c>
      <c r="N4" s="20">
        <f>VALUE(MID(C10,FIND(",",C10,3)+1,FIND(",",C10,15)-FIND(",",C10,3)-1))</f>
        <v>1517435.875</v>
      </c>
      <c r="O4" s="20">
        <f>VALUE(MID(C10,FIND(",",C10,1)+1,FIND(",",C10,5)-FIND(",",C10,1)-1))</f>
        <v>3964011.9720000001</v>
      </c>
      <c r="P4" s="20">
        <f>VALUE(MID(C10,FIND(",",C10,17)+1,FIND(",",C10,27)-FIND(",",C10,17)-1))</f>
        <v>3318.2289999999998</v>
      </c>
      <c r="Q4" s="23"/>
      <c r="R4" s="22"/>
      <c r="W4" s="27"/>
      <c r="X4" s="20" t="e">
        <f ca="1">VALUE(OFFSET($P$3,MATCH($O$10,$M$4:$M$6,0),0))</f>
        <v>#VALUE!</v>
      </c>
      <c r="Y4" s="20" t="e">
        <f ca="1">OFFSET($P$3,MATCH($Q$10,$M$4:$M$6,0),0)</f>
        <v>#VALUE!</v>
      </c>
      <c r="Z4" s="2"/>
      <c r="AA4" s="26" t="s">
        <v>41</v>
      </c>
      <c r="AB4" s="26" t="s">
        <v>54</v>
      </c>
      <c r="AC4" s="28">
        <f>INTERCEPT(yB,xB)</f>
        <v>1415343.5517312288</v>
      </c>
    </row>
    <row r="5" spans="1:29" x14ac:dyDescent="0.25">
      <c r="A5" s="52"/>
      <c r="B5" s="46"/>
      <c r="C5" s="46"/>
      <c r="D5" s="4"/>
      <c r="E5" s="44"/>
      <c r="F5" s="44"/>
      <c r="M5" s="22">
        <v>1</v>
      </c>
      <c r="N5" s="20" t="e">
        <f t="shared" ref="N5:N6" si="0">VALUE(MID(C11,FIND(",",C11,3)+1,FIND(",",C11,15)-FIND(",",C11,3)-1))</f>
        <v>#VALUE!</v>
      </c>
      <c r="O5" s="20" t="e">
        <f t="shared" ref="O5:O6" si="1">VALUE(MID(C11,FIND(",",C11,1)+1,FIND(",",C11,5)-FIND(",",C11,1)-1))</f>
        <v>#VALUE!</v>
      </c>
      <c r="P5" s="20" t="e">
        <f t="shared" ref="P5:P6" si="2">VALUE(MID(C11,FIND(",",C11,17)+1,FIND(",",C11,27)-FIND(",",C11,17)-1))</f>
        <v>#VALUE!</v>
      </c>
      <c r="Q5" s="24" t="e">
        <f>DEGREES(ATAN2(Old_Y1-Old_Y0,Old_X1-Old_X0))+IF(Old_X1-Old_X0&lt;0,360)</f>
        <v>#VALUE!</v>
      </c>
      <c r="R5" s="22"/>
      <c r="W5" s="21"/>
      <c r="X5" s="20">
        <f ca="1">VALUE(OFFSET($V$20,MATCH($O11,$A$21:$A$51,0),0))</f>
        <v>3316.7259827024891</v>
      </c>
      <c r="Y5" s="20">
        <f ca="1">OFFSET($V$20,MATCH($Q11,$A$21:$A$51,0),0)</f>
        <v>3317.9200989460624</v>
      </c>
      <c r="Z5" s="2"/>
      <c r="AA5" s="26"/>
      <c r="AB5" s="26"/>
      <c r="AC5" s="20"/>
    </row>
    <row r="6" spans="1:29" ht="18" x14ac:dyDescent="0.35">
      <c r="A6" s="58" t="s">
        <v>17</v>
      </c>
      <c r="B6" s="58"/>
      <c r="C6" s="55">
        <v>3</v>
      </c>
      <c r="D6" s="4"/>
      <c r="E6" s="44"/>
      <c r="F6" s="44"/>
      <c r="M6" s="22">
        <v>2</v>
      </c>
      <c r="N6" s="20" t="e">
        <f t="shared" si="0"/>
        <v>#VALUE!</v>
      </c>
      <c r="O6" s="20" t="e">
        <f t="shared" si="1"/>
        <v>#VALUE!</v>
      </c>
      <c r="P6" s="20" t="e">
        <f t="shared" si="2"/>
        <v>#VALUE!</v>
      </c>
      <c r="Q6" s="24" t="e">
        <f>DEGREES(ATAN2(Old_Y2-Old_Y0,Old_X2-Old_X0))+IF(Old_X2-Old_X0&lt;0,360)</f>
        <v>#VALUE!</v>
      </c>
      <c r="R6" s="22"/>
      <c r="W6" s="21"/>
      <c r="X6" s="20">
        <f ca="1">VALUE(OFFSET($V$20,MATCH($O12,$A$21:$A$61,0),0))</f>
        <v>3316.719046165148</v>
      </c>
      <c r="Y6" s="20">
        <f ca="1">VALUE(OFFSET($V$20,MATCH($O12,$A$21:$A$61,0),0))</f>
        <v>3316.719046165148</v>
      </c>
      <c r="Z6" s="5"/>
      <c r="AA6" s="26" t="s">
        <v>42</v>
      </c>
      <c r="AB6" s="21" t="s">
        <v>55</v>
      </c>
      <c r="AC6" s="20">
        <f>-1/mA</f>
        <v>-0.59538492426050182</v>
      </c>
    </row>
    <row r="7" spans="1:29" x14ac:dyDescent="0.25">
      <c r="A7" s="58" t="s">
        <v>18</v>
      </c>
      <c r="B7" s="58"/>
      <c r="C7" s="55">
        <v>21</v>
      </c>
      <c r="D7" s="4"/>
      <c r="E7" s="44"/>
      <c r="F7" s="4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4"/>
      <c r="B8" s="48"/>
      <c r="C8" s="48"/>
      <c r="D8" s="4"/>
      <c r="E8" s="44"/>
      <c r="F8" s="44"/>
      <c r="M8" s="22"/>
      <c r="N8" s="20"/>
      <c r="O8" s="59" t="s">
        <v>24</v>
      </c>
      <c r="P8" s="59"/>
      <c r="Q8" s="59" t="s">
        <v>25</v>
      </c>
      <c r="R8" s="59"/>
      <c r="W8" s="21" t="s">
        <v>35</v>
      </c>
      <c r="X8" s="20" t="e">
        <f ca="1">X5-X4</f>
        <v>#VALUE!</v>
      </c>
      <c r="Y8" s="20" t="e">
        <f ca="1">Y5-Y4</f>
        <v>#VALUE!</v>
      </c>
      <c r="AA8" s="20"/>
      <c r="AB8" s="22"/>
      <c r="AC8" s="22"/>
    </row>
    <row r="9" spans="1:29" x14ac:dyDescent="0.25">
      <c r="A9" s="6"/>
      <c r="B9" s="48"/>
      <c r="C9" s="9" t="s">
        <v>11</v>
      </c>
      <c r="D9" s="44"/>
      <c r="E9" s="44"/>
      <c r="F9" s="44"/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 t="e">
        <f ca="1">X6-X4</f>
        <v>#VALUE!</v>
      </c>
      <c r="Y9" s="20" t="e">
        <f ca="1">Y6-Y4</f>
        <v>#VALUE!</v>
      </c>
      <c r="AA9" s="31" t="s">
        <v>49</v>
      </c>
      <c r="AB9" s="31"/>
      <c r="AC9" s="20">
        <f>AVERAGE(DfromL)</f>
        <v>2.9563160837194906</v>
      </c>
    </row>
    <row r="10" spans="1:29" s="16" customFormat="1" x14ac:dyDescent="0.25">
      <c r="A10" s="53"/>
      <c r="B10" s="48"/>
      <c r="C10" s="35" t="s">
        <v>88</v>
      </c>
      <c r="D10" s="36"/>
      <c r="E10" s="37"/>
      <c r="F10" s="47"/>
      <c r="M10" s="63" t="s">
        <v>22</v>
      </c>
      <c r="N10" s="63"/>
      <c r="O10" s="32">
        <v>1</v>
      </c>
      <c r="P10" s="20" t="e">
        <f ca="1">OFFSET($Q$3,MATCH($O$10,$M$4:$M$6,0),0)</f>
        <v>#VALUE!</v>
      </c>
      <c r="Q10" s="32">
        <v>2</v>
      </c>
      <c r="R10" s="20" t="e">
        <f ca="1">OFFSET($Q$3,MATCH($O$10,$M$4:$M$6,0),0)</f>
        <v>#VALUE!</v>
      </c>
      <c r="W10" s="22"/>
      <c r="X10" s="22"/>
      <c r="Y10" s="22"/>
      <c r="AA10" s="31" t="s">
        <v>50</v>
      </c>
      <c r="AB10" s="31"/>
      <c r="AC10" s="20">
        <f>_xlfn.STDEV.P(DfromL)</f>
        <v>1.9110039444968965</v>
      </c>
    </row>
    <row r="11" spans="1:29" s="16" customFormat="1" x14ac:dyDescent="0.25">
      <c r="A11" s="14"/>
      <c r="B11" s="48"/>
      <c r="C11" s="35"/>
      <c r="D11" s="36"/>
      <c r="E11" s="37"/>
      <c r="F11" s="47"/>
      <c r="M11" s="59" t="s">
        <v>31</v>
      </c>
      <c r="N11" s="59"/>
      <c r="O11" s="32">
        <v>1</v>
      </c>
      <c r="P11" s="20">
        <f ca="1">OFFSET($N$20,MATCH($O11,$A$21:$A$51,0),0)</f>
        <v>0</v>
      </c>
      <c r="Q11" s="32">
        <v>2</v>
      </c>
      <c r="R11" s="20">
        <f ca="1">OFFSET($N$20,MATCH($Q11,$A$21:$A$51,0),0)</f>
        <v>53.007499999999993</v>
      </c>
      <c r="W11" s="21" t="s">
        <v>37</v>
      </c>
      <c r="X11" s="20">
        <v>0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/>
      <c r="D12" s="36"/>
      <c r="E12" s="37"/>
      <c r="F12" s="47"/>
      <c r="M12" s="59" t="s">
        <v>30</v>
      </c>
      <c r="N12" s="59"/>
      <c r="O12" s="32">
        <v>22</v>
      </c>
      <c r="P12" s="20">
        <f ca="1">OFFSET($N$20,MATCH($O12,$A$21:$A$61,0),0)</f>
        <v>359.97277777777776</v>
      </c>
      <c r="Q12" s="32">
        <v>23</v>
      </c>
      <c r="R12" s="20">
        <f ca="1">OFFSET($N$20,MATCH($Q12,$A$21:$A$51,0),0)</f>
        <v>52.932777777777787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48"/>
      <c r="C13" s="48"/>
      <c r="D13" s="18"/>
      <c r="E13" s="47"/>
      <c r="F13" s="47"/>
      <c r="M13" s="20"/>
      <c r="N13" s="20"/>
      <c r="O13" s="20"/>
      <c r="P13" s="20"/>
      <c r="Q13" s="20"/>
      <c r="R13" s="20"/>
      <c r="W13" s="20" t="s">
        <v>64</v>
      </c>
      <c r="X13" s="20">
        <f>MIN(Zs)</f>
        <v>3310.3890937623519</v>
      </c>
      <c r="Y13" s="20"/>
      <c r="AA13" s="20"/>
      <c r="AB13" s="20"/>
      <c r="AC13" s="20"/>
    </row>
    <row r="14" spans="1:29" s="16" customFormat="1" x14ac:dyDescent="0.25">
      <c r="A14" s="53"/>
      <c r="B14" s="48"/>
      <c r="C14" s="48"/>
      <c r="D14" s="18"/>
      <c r="E14" s="47"/>
      <c r="F14" s="47"/>
      <c r="M14" s="59" t="s">
        <v>32</v>
      </c>
      <c r="N14" s="59"/>
      <c r="O14" s="22"/>
      <c r="P14" s="20" t="e">
        <f ca="1">P10-P11+IF(P11&gt;P10,360)</f>
        <v>#VALUE!</v>
      </c>
      <c r="Q14" s="20"/>
      <c r="R14" s="20" t="e">
        <f ca="1">R10-R11+IF(R11&gt;R10,360)</f>
        <v>#VALUE!</v>
      </c>
      <c r="W14" s="20"/>
      <c r="X14" s="20"/>
      <c r="Y14" s="20"/>
      <c r="AA14" s="20"/>
      <c r="AB14" s="20"/>
      <c r="AC14" s="20"/>
    </row>
    <row r="15" spans="1:29" x14ac:dyDescent="0.25">
      <c r="A15" s="54"/>
      <c r="B15" s="48"/>
      <c r="C15" s="48"/>
      <c r="D15" s="4"/>
      <c r="E15" s="44"/>
      <c r="F15" s="44"/>
      <c r="M15" s="59" t="s">
        <v>33</v>
      </c>
      <c r="N15" s="59"/>
      <c r="O15" s="22"/>
      <c r="P15" s="20" t="e">
        <f ca="1">P10-P12+IF(P12&gt;P10,360)</f>
        <v>#VALUE!</v>
      </c>
      <c r="Q15" s="20"/>
      <c r="R15" s="20" t="e">
        <f ca="1">R10-R12+IF(R12&gt;R10,360)</f>
        <v>#VALUE!</v>
      </c>
      <c r="W15" s="20"/>
      <c r="X15" s="20"/>
      <c r="Y15" s="20"/>
      <c r="AA15" s="22"/>
      <c r="AB15" s="22"/>
      <c r="AC15" s="22"/>
    </row>
    <row r="16" spans="1:29" x14ac:dyDescent="0.25">
      <c r="A16" s="54"/>
      <c r="B16" s="48" t="s">
        <v>68</v>
      </c>
      <c r="C16" s="48"/>
      <c r="D16" s="4"/>
      <c r="E16" s="44"/>
      <c r="F16" s="4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54"/>
      <c r="B17" s="48"/>
      <c r="C17" s="48"/>
      <c r="D17" s="4"/>
      <c r="E17" s="44"/>
      <c r="F17" s="44"/>
      <c r="M17" s="59" t="s">
        <v>39</v>
      </c>
      <c r="N17" s="59"/>
      <c r="O17" s="20">
        <v>0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54"/>
      <c r="B18" s="48"/>
      <c r="C18" s="48"/>
      <c r="D18" s="4"/>
      <c r="E18" s="44"/>
      <c r="F18" s="4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A19" s="54"/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60" t="s">
        <v>20</v>
      </c>
      <c r="U19" s="60"/>
      <c r="X19" s="61" t="s">
        <v>45</v>
      </c>
      <c r="Y19" s="61"/>
      <c r="Z19" s="61" t="s">
        <v>46</v>
      </c>
      <c r="AA19" s="61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82</v>
      </c>
      <c r="H20" s="12" t="s">
        <v>76</v>
      </c>
      <c r="I20" s="12" t="s">
        <v>81</v>
      </c>
      <c r="J20" s="12" t="s">
        <v>80</v>
      </c>
      <c r="K20" s="3" t="s">
        <v>74</v>
      </c>
      <c r="L20" s="3" t="s">
        <v>75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79</v>
      </c>
      <c r="R20" s="19" t="s">
        <v>77</v>
      </c>
      <c r="S20" s="19" t="s">
        <v>78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72</v>
      </c>
      <c r="AF20" s="19" t="s">
        <v>73</v>
      </c>
      <c r="AG20" s="19"/>
      <c r="AH20" s="19"/>
      <c r="AI20" s="19"/>
    </row>
    <row r="21" spans="1:36" x14ac:dyDescent="0.25">
      <c r="A21" s="44">
        <v>1</v>
      </c>
      <c r="B21" s="48">
        <v>0</v>
      </c>
      <c r="C21" s="48">
        <v>3.816956018518519</v>
      </c>
      <c r="D21" s="44">
        <v>60.878999999999998</v>
      </c>
      <c r="E21" s="44">
        <v>4.9062000000000001</v>
      </c>
      <c r="F21" s="49" t="s">
        <v>84</v>
      </c>
      <c r="G21" s="43">
        <f>C21*24</f>
        <v>91.606944444444451</v>
      </c>
      <c r="H21" s="43">
        <f>RADIANS(G21)</f>
        <v>1.5988427982470834</v>
      </c>
      <c r="I21" s="43">
        <f t="shared" ref="I21:I33" si="3">B21*24</f>
        <v>0</v>
      </c>
      <c r="J21" s="39">
        <f>RADIANS(I21)</f>
        <v>0</v>
      </c>
      <c r="K21" s="39">
        <f>D21*SIN(H21)</f>
        <v>60.855057719955205</v>
      </c>
      <c r="L21" s="15">
        <f>D21*COS(H21)</f>
        <v>-1.7072172975106765</v>
      </c>
      <c r="M21" s="13"/>
      <c r="N21" s="16">
        <f t="shared" ref="N21:N33" si="4">I21+M21</f>
        <v>0</v>
      </c>
      <c r="O21" s="16">
        <f>$O$17</f>
        <v>0</v>
      </c>
      <c r="P21" s="16">
        <f>SUM(N21,O21)</f>
        <v>0</v>
      </c>
      <c r="Q21" s="16">
        <f>RADIANS(P21)</f>
        <v>0</v>
      </c>
      <c r="R21" s="16">
        <f t="shared" ref="R21:R33" si="5">K21*SIN(Q21)</f>
        <v>0</v>
      </c>
      <c r="S21" s="16">
        <f t="shared" ref="S21:S33" si="6">K21*COS(Q21)</f>
        <v>60.855057719955205</v>
      </c>
      <c r="T21" s="13">
        <f t="shared" ref="T21:T33" si="7">Old_X0+R21</f>
        <v>1517435.875</v>
      </c>
      <c r="U21" s="13">
        <f t="shared" ref="U21:U33" si="8">Old_Y0+S21</f>
        <v>3964072.8270577202</v>
      </c>
      <c r="V21" s="16">
        <f t="shared" ref="V21:V33" si="9">Old_Z0+HI+L21-E21</f>
        <v>3316.7259827024891</v>
      </c>
      <c r="W21" s="16">
        <f>IF(ISNUMBER(T21),V21+dZ,"")</f>
        <v>3316.7259827024891</v>
      </c>
      <c r="X21" s="16" t="str">
        <f t="shared" ref="X21:X46" si="10">IF(AND(A21&gt;=CS_Start,A21&lt;=CS_End),IF(OR(LEFT(UPPER(F21))="D"),"",T21),"")</f>
        <v/>
      </c>
      <c r="Y21" s="16" t="str">
        <f>IF(ISNUMBER(X21),U21,"")</f>
        <v/>
      </c>
      <c r="Z21" s="16" t="e">
        <f t="shared" ref="Z21:Z46" si="11">IF(X21="",NA(),VALUE((-mB*X21+Y21-bA)/(mA-mB)))</f>
        <v>#N/A</v>
      </c>
      <c r="AA21" s="16" t="e">
        <f t="shared" ref="AA21:AA46" si="12">IF(ISNA(Z21),NA(),VALUE(mA*Z21+bA))</f>
        <v>#N/A</v>
      </c>
      <c r="AB21" s="16" t="str">
        <f>IF(ISNUMBER(X21),SQRT((X21-Z21)^2+(Y21-AA21)^2),"")</f>
        <v/>
      </c>
      <c r="AC21" s="16" t="str">
        <f t="shared" ref="AC21:AC23" ca="1" si="13">IF(ISNUMBER(Z21),SQRT(($Z21-OFFSET($Z$20,MATCH(CS_Start,$A$21:$A$51,0),0))^2+($AA21-OFFSET($AA$20,MATCH(CS_Start,$A$21:$A$51,0),0))^2),"")</f>
        <v/>
      </c>
      <c r="AD21" s="16" t="str">
        <f t="shared" ref="AD21:AD23" si="14">IF(ISNUMBER(X21),W21-Min_Z,"")</f>
        <v/>
      </c>
    </row>
    <row r="22" spans="1:36" x14ac:dyDescent="0.25">
      <c r="A22" s="44">
        <v>2</v>
      </c>
      <c r="B22" s="48">
        <v>2.2086458333333332</v>
      </c>
      <c r="C22" s="48">
        <v>3.7788078703703705</v>
      </c>
      <c r="D22" s="44">
        <v>42.521999999999998</v>
      </c>
      <c r="E22" s="44">
        <v>4.9062000000000001</v>
      </c>
      <c r="F22" s="49" t="s">
        <v>86</v>
      </c>
      <c r="G22" s="43">
        <f t="shared" ref="G22:G33" si="15">C22*24</f>
        <v>90.691388888888895</v>
      </c>
      <c r="H22" s="43">
        <f t="shared" ref="H22:H33" si="16">RADIANS(G22)</f>
        <v>1.5828633393177129</v>
      </c>
      <c r="I22" s="43">
        <f t="shared" si="3"/>
        <v>53.007499999999993</v>
      </c>
      <c r="J22" s="39">
        <f t="shared" ref="J22:J33" si="17">RADIANS(I22)</f>
        <v>0.92515540325089407</v>
      </c>
      <c r="K22" s="39">
        <f t="shared" ref="K22:K33" si="18">D22*SIN(H22)</f>
        <v>42.518904164012135</v>
      </c>
      <c r="L22" s="15">
        <f t="shared" ref="L22:L33" si="19">D22*COS(H22)</f>
        <v>-0.51310105393754279</v>
      </c>
      <c r="M22" s="13"/>
      <c r="N22" s="16">
        <f t="shared" si="4"/>
        <v>53.007499999999993</v>
      </c>
      <c r="O22" s="16">
        <f t="shared" ref="O22:O46" si="20">$O$17</f>
        <v>0</v>
      </c>
      <c r="P22" s="16">
        <f t="shared" ref="P22:P33" si="21">SUM(N22,O22)</f>
        <v>53.007499999999993</v>
      </c>
      <c r="Q22" s="16">
        <f t="shared" ref="Q22:Q33" si="22">RADIANS(P22)</f>
        <v>0.92515540325089407</v>
      </c>
      <c r="R22" s="16">
        <f t="shared" si="5"/>
        <v>33.960455951564612</v>
      </c>
      <c r="S22" s="16">
        <f t="shared" si="6"/>
        <v>25.584070099776699</v>
      </c>
      <c r="T22" s="13">
        <f t="shared" si="7"/>
        <v>1517469.8354559515</v>
      </c>
      <c r="U22" s="13">
        <f t="shared" si="8"/>
        <v>3964037.5560701001</v>
      </c>
      <c r="V22" s="16">
        <f t="shared" si="9"/>
        <v>3317.9200989460624</v>
      </c>
      <c r="W22" s="16">
        <f t="shared" ref="W22:W33" si="23">IF(ISNUMBER(T22),V22+dZ,"")</f>
        <v>3317.9200989460624</v>
      </c>
      <c r="X22" s="47" t="str">
        <f t="shared" si="10"/>
        <v/>
      </c>
      <c r="Y22" s="47" t="str">
        <f t="shared" ref="Y22:Y35" si="24">IF(ISNUMBER(X22),U22,"")</f>
        <v/>
      </c>
      <c r="Z22" s="47" t="e">
        <f t="shared" si="11"/>
        <v>#N/A</v>
      </c>
      <c r="AA22" s="47" t="e">
        <f t="shared" si="12"/>
        <v>#N/A</v>
      </c>
      <c r="AB22" s="16" t="str">
        <f t="shared" ref="AB22:AB23" si="25">IF(ISNUMBER(X22),SQRT((X22-Z22)^2+(Y22-AA22)^2),"")</f>
        <v/>
      </c>
      <c r="AC22" s="16" t="str">
        <f t="shared" ca="1" si="13"/>
        <v/>
      </c>
      <c r="AD22" s="16" t="str">
        <f t="shared" si="14"/>
        <v/>
      </c>
    </row>
    <row r="23" spans="1:36" x14ac:dyDescent="0.25">
      <c r="A23" s="44">
        <v>3</v>
      </c>
      <c r="B23" s="48">
        <v>11.598518518518517</v>
      </c>
      <c r="C23" s="48">
        <v>3.9055555555555554</v>
      </c>
      <c r="D23" s="44">
        <v>5.1849999999999996</v>
      </c>
      <c r="E23" s="44">
        <v>4.9062000000000001</v>
      </c>
      <c r="F23" s="44"/>
      <c r="G23" s="43">
        <f t="shared" si="15"/>
        <v>93.733333333333334</v>
      </c>
      <c r="H23" s="43">
        <f t="shared" si="16"/>
        <v>1.6359552855360182</v>
      </c>
      <c r="I23" s="43">
        <f t="shared" si="3"/>
        <v>278.36444444444442</v>
      </c>
      <c r="J23" s="39">
        <f t="shared" si="17"/>
        <v>4.8583760760403925</v>
      </c>
      <c r="K23" s="39">
        <f t="shared" si="18"/>
        <v>5.1739969427139485</v>
      </c>
      <c r="L23" s="15">
        <f t="shared" si="19"/>
        <v>-0.33761018466081194</v>
      </c>
      <c r="M23" s="13"/>
      <c r="N23" s="16">
        <f t="shared" si="4"/>
        <v>278.36444444444442</v>
      </c>
      <c r="O23" s="16">
        <f t="shared" si="20"/>
        <v>0</v>
      </c>
      <c r="P23" s="16">
        <f t="shared" si="21"/>
        <v>278.36444444444442</v>
      </c>
      <c r="Q23" s="16">
        <f t="shared" si="22"/>
        <v>4.8583760760403925</v>
      </c>
      <c r="R23" s="16">
        <f t="shared" si="5"/>
        <v>-5.1189600816330181</v>
      </c>
      <c r="S23" s="16">
        <f t="shared" si="6"/>
        <v>0.75265665868373866</v>
      </c>
      <c r="T23" s="13">
        <f t="shared" si="7"/>
        <v>1517430.7560399184</v>
      </c>
      <c r="U23" s="13">
        <f t="shared" si="8"/>
        <v>3964012.7246566587</v>
      </c>
      <c r="V23" s="16">
        <f t="shared" si="9"/>
        <v>3318.0955898153393</v>
      </c>
      <c r="W23" s="16">
        <f t="shared" si="23"/>
        <v>3318.0955898153393</v>
      </c>
      <c r="X23" s="47">
        <f t="shared" si="10"/>
        <v>1517430.7560399184</v>
      </c>
      <c r="Y23" s="47">
        <f t="shared" si="24"/>
        <v>3964012.7246566587</v>
      </c>
      <c r="Z23" s="47">
        <f t="shared" si="11"/>
        <v>1517436.9919587651</v>
      </c>
      <c r="AA23" s="47">
        <f t="shared" si="12"/>
        <v>3964009.0118845883</v>
      </c>
      <c r="AB23" s="16">
        <f t="shared" si="25"/>
        <v>7.2575037243768374</v>
      </c>
      <c r="AC23" s="16">
        <f t="shared" ca="1" si="13"/>
        <v>0</v>
      </c>
      <c r="AD23" s="16">
        <f t="shared" si="14"/>
        <v>7.7064960529874043</v>
      </c>
      <c r="AE23" s="47">
        <f ca="1">ROUND(AC23,2)</f>
        <v>0</v>
      </c>
      <c r="AF23" s="47">
        <f t="shared" ref="AF23:AF46" si="26">ROUND(AD23,2)</f>
        <v>7.71</v>
      </c>
      <c r="AH23" s="44">
        <v>0</v>
      </c>
      <c r="AI23" s="2">
        <f t="shared" ref="AI23:AI43" ca="1" si="27">OFFSET($AF$22,MATCH(AH23,$AE$23:$AE$59,0),0)</f>
        <v>7.71</v>
      </c>
      <c r="AJ23" s="2" t="str">
        <f t="shared" ref="AJ23:AJ43" ca="1" si="28">CONCATENATE(AH23,",",AI23)</f>
        <v>0,7.71</v>
      </c>
    </row>
    <row r="24" spans="1:36" x14ac:dyDescent="0.25">
      <c r="A24" s="44">
        <v>4</v>
      </c>
      <c r="B24" s="48">
        <v>9.2625810185185191</v>
      </c>
      <c r="C24" s="48">
        <v>4.551678240740741</v>
      </c>
      <c r="D24" s="44">
        <v>11.441000000000001</v>
      </c>
      <c r="E24" s="44">
        <v>4.9062000000000001</v>
      </c>
      <c r="F24" s="44"/>
      <c r="G24" s="43">
        <f t="shared" si="15"/>
        <v>109.24027777777778</v>
      </c>
      <c r="H24" s="43">
        <f t="shared" si="16"/>
        <v>1.9066025230154167</v>
      </c>
      <c r="I24" s="43">
        <f t="shared" si="3"/>
        <v>222.30194444444447</v>
      </c>
      <c r="J24" s="39">
        <f t="shared" si="17"/>
        <v>3.8799008641410726</v>
      </c>
      <c r="K24" s="39">
        <f t="shared" si="18"/>
        <v>10.801962376248985</v>
      </c>
      <c r="L24" s="15">
        <f t="shared" si="19"/>
        <v>-3.770157798037292</v>
      </c>
      <c r="M24" s="13"/>
      <c r="N24" s="16">
        <f t="shared" si="4"/>
        <v>222.30194444444447</v>
      </c>
      <c r="O24" s="16">
        <f t="shared" si="20"/>
        <v>0</v>
      </c>
      <c r="P24" s="16">
        <f t="shared" si="21"/>
        <v>222.30194444444447</v>
      </c>
      <c r="Q24" s="16">
        <f t="shared" si="22"/>
        <v>3.8799008641410726</v>
      </c>
      <c r="R24" s="16">
        <f t="shared" si="5"/>
        <v>-7.2701269837031539</v>
      </c>
      <c r="S24" s="16">
        <f t="shared" si="6"/>
        <v>-7.9892205388717308</v>
      </c>
      <c r="T24" s="13">
        <f t="shared" si="7"/>
        <v>1517428.6048730162</v>
      </c>
      <c r="U24" s="13">
        <f t="shared" si="8"/>
        <v>3964003.9827794614</v>
      </c>
      <c r="V24" s="16">
        <f t="shared" si="9"/>
        <v>3314.6630422019625</v>
      </c>
      <c r="W24" s="16">
        <f t="shared" si="23"/>
        <v>3314.6630422019625</v>
      </c>
      <c r="X24" s="47">
        <f t="shared" si="10"/>
        <v>1517428.6048730162</v>
      </c>
      <c r="Y24" s="47">
        <f t="shared" si="24"/>
        <v>3964003.9827794614</v>
      </c>
      <c r="Z24" s="47">
        <f t="shared" si="11"/>
        <v>1517432.5863416248</v>
      </c>
      <c r="AA24" s="47">
        <f t="shared" si="12"/>
        <v>3964001.6122730752</v>
      </c>
      <c r="AB24" s="47">
        <f t="shared" ref="AB24:AB33" si="29">IF(ISNUMBER(X24),SQRT((X24-Z24)^2+(Y24-AA24)^2),"")</f>
        <v>4.63372342815682</v>
      </c>
      <c r="AC24" s="47">
        <f t="shared" ref="AC24:AC33" ca="1" si="30">IF(ISNUMBER(Z24),SQRT(($Z24-OFFSET($Z$20,MATCH(CS_Start,$A$21:$A$51,0),0))^2+($AA24-OFFSET($AA$20,MATCH(CS_Start,$A$21:$A$51,0),0))^2),"")</f>
        <v>8.6118356307799342</v>
      </c>
      <c r="AD24" s="47">
        <f t="shared" ref="AD24:AD33" si="31">IF(ISNUMBER(X24),W24-Min_Z,"")</f>
        <v>4.2739484396106491</v>
      </c>
      <c r="AE24" s="47">
        <f t="shared" ref="AE24:AE46" ca="1" si="32">ROUND(AC24,2)</f>
        <v>8.61</v>
      </c>
      <c r="AF24" s="47">
        <f t="shared" si="26"/>
        <v>4.2699999999999996</v>
      </c>
      <c r="AH24" s="44">
        <v>8.61</v>
      </c>
      <c r="AI24" s="44">
        <f t="shared" ca="1" si="27"/>
        <v>4.2699999999999996</v>
      </c>
      <c r="AJ24" s="2" t="str">
        <f t="shared" ca="1" si="28"/>
        <v>8.61,4.27</v>
      </c>
    </row>
    <row r="25" spans="1:36" x14ac:dyDescent="0.25">
      <c r="A25" s="44">
        <v>5</v>
      </c>
      <c r="B25" s="48">
        <v>8.7754166666666666</v>
      </c>
      <c r="C25" s="48">
        <v>4.2489699074074077</v>
      </c>
      <c r="D25" s="44">
        <v>17.646999999999998</v>
      </c>
      <c r="E25" s="44">
        <v>4.9062000000000001</v>
      </c>
      <c r="F25" s="44"/>
      <c r="G25" s="43">
        <f t="shared" si="15"/>
        <v>101.97527777777779</v>
      </c>
      <c r="H25" s="43">
        <f t="shared" si="16"/>
        <v>1.779804352858029</v>
      </c>
      <c r="I25" s="43">
        <f t="shared" si="3"/>
        <v>210.61</v>
      </c>
      <c r="J25" s="39">
        <f t="shared" si="17"/>
        <v>3.6758379376252579</v>
      </c>
      <c r="K25" s="39">
        <f t="shared" si="18"/>
        <v>17.262952226291446</v>
      </c>
      <c r="L25" s="15">
        <f t="shared" si="19"/>
        <v>-3.6615692582251129</v>
      </c>
      <c r="M25" s="13"/>
      <c r="N25" s="16">
        <f t="shared" si="4"/>
        <v>210.61</v>
      </c>
      <c r="O25" s="16">
        <f t="shared" si="20"/>
        <v>0</v>
      </c>
      <c r="P25" s="16">
        <f t="shared" si="21"/>
        <v>210.61</v>
      </c>
      <c r="Q25" s="16">
        <f t="shared" si="22"/>
        <v>3.6758379376252579</v>
      </c>
      <c r="R25" s="16">
        <f t="shared" si="5"/>
        <v>-8.790150883192684</v>
      </c>
      <c r="S25" s="16">
        <f t="shared" si="6"/>
        <v>-14.857414546882902</v>
      </c>
      <c r="T25" s="13">
        <f t="shared" si="7"/>
        <v>1517427.0848491169</v>
      </c>
      <c r="U25" s="13">
        <f t="shared" si="8"/>
        <v>3963997.1145854532</v>
      </c>
      <c r="V25" s="16">
        <f t="shared" si="9"/>
        <v>3314.771630741775</v>
      </c>
      <c r="W25" s="16">
        <f t="shared" si="23"/>
        <v>3314.771630741775</v>
      </c>
      <c r="X25" s="47">
        <f t="shared" si="10"/>
        <v>1517427.0848491169</v>
      </c>
      <c r="Y25" s="47">
        <f t="shared" si="24"/>
        <v>3963997.1145854532</v>
      </c>
      <c r="Z25" s="47">
        <f t="shared" si="11"/>
        <v>1517429.1695092197</v>
      </c>
      <c r="AA25" s="47">
        <f t="shared" si="12"/>
        <v>3963995.8734102556</v>
      </c>
      <c r="AB25" s="47">
        <f t="shared" si="29"/>
        <v>2.426174687726192</v>
      </c>
      <c r="AC25" s="47">
        <f t="shared" ca="1" si="30"/>
        <v>15.290854282192512</v>
      </c>
      <c r="AD25" s="47">
        <f t="shared" si="31"/>
        <v>4.3825369794230937</v>
      </c>
      <c r="AE25" s="47">
        <f t="shared" ca="1" si="32"/>
        <v>15.29</v>
      </c>
      <c r="AF25" s="47">
        <f t="shared" si="26"/>
        <v>4.38</v>
      </c>
      <c r="AH25" s="44">
        <v>15.29</v>
      </c>
      <c r="AI25" s="44">
        <f t="shared" ca="1" si="27"/>
        <v>4.38</v>
      </c>
      <c r="AJ25" s="2" t="str">
        <f t="shared" ca="1" si="28"/>
        <v>15.29,4.38</v>
      </c>
    </row>
    <row r="26" spans="1:36" x14ac:dyDescent="0.25">
      <c r="A26" s="44">
        <v>6</v>
      </c>
      <c r="B26" s="48">
        <v>8.7529513888888886</v>
      </c>
      <c r="C26" s="48">
        <v>4.4243865740740747</v>
      </c>
      <c r="D26" s="44">
        <v>20.699000000000002</v>
      </c>
      <c r="E26" s="44">
        <v>4.9062000000000001</v>
      </c>
      <c r="F26" s="44"/>
      <c r="G26" s="43">
        <f t="shared" si="15"/>
        <v>106.1852777777778</v>
      </c>
      <c r="H26" s="43">
        <f t="shared" si="16"/>
        <v>1.8532827143669903</v>
      </c>
      <c r="I26" s="43">
        <f t="shared" si="3"/>
        <v>210.07083333333333</v>
      </c>
      <c r="J26" s="39">
        <f t="shared" si="17"/>
        <v>3.6664277040749211</v>
      </c>
      <c r="K26" s="39">
        <f t="shared" si="18"/>
        <v>19.878602195194521</v>
      </c>
      <c r="L26" s="15">
        <f t="shared" si="19"/>
        <v>-5.769729262730416</v>
      </c>
      <c r="M26" s="13"/>
      <c r="N26" s="16">
        <f t="shared" si="4"/>
        <v>210.07083333333333</v>
      </c>
      <c r="O26" s="16">
        <f t="shared" si="20"/>
        <v>0</v>
      </c>
      <c r="P26" s="16">
        <f t="shared" si="21"/>
        <v>210.07083333333333</v>
      </c>
      <c r="Q26" s="16">
        <f t="shared" si="22"/>
        <v>3.6664277040749211</v>
      </c>
      <c r="R26" s="16">
        <f t="shared" si="5"/>
        <v>-9.9605764318369836</v>
      </c>
      <c r="S26" s="16">
        <f t="shared" si="6"/>
        <v>-17.203073631776562</v>
      </c>
      <c r="T26" s="13">
        <f t="shared" si="7"/>
        <v>1517425.9144235682</v>
      </c>
      <c r="U26" s="13">
        <f t="shared" si="8"/>
        <v>3963994.7689263681</v>
      </c>
      <c r="V26" s="16">
        <f t="shared" si="9"/>
        <v>3312.6634707372696</v>
      </c>
      <c r="W26" s="16">
        <f t="shared" si="23"/>
        <v>3312.6634707372696</v>
      </c>
      <c r="X26" s="47">
        <f t="shared" si="10"/>
        <v>1517425.9144235682</v>
      </c>
      <c r="Y26" s="47">
        <f t="shared" si="24"/>
        <v>3963994.7689263681</v>
      </c>
      <c r="Z26" s="47">
        <f t="shared" si="11"/>
        <v>1517427.8321236772</v>
      </c>
      <c r="AA26" s="47">
        <f t="shared" si="12"/>
        <v>3963993.6271566339</v>
      </c>
      <c r="AB26" s="47">
        <f t="shared" si="29"/>
        <v>2.2318628618926701</v>
      </c>
      <c r="AC26" s="47">
        <f ca="1">IF(ISNUMBER(Z26),SQRT(($Z26-OFFSET($Z$20,MATCH(CS_Start,$A$21:$A$51,0),0))^2+($AA26-OFFSET($AA$20,MATCH(CS_Start,$A$21:$A$51,0),0))^2),"")</f>
        <v>17.905095170570156</v>
      </c>
      <c r="AD26" s="47">
        <f t="shared" si="31"/>
        <v>2.2743769749176863</v>
      </c>
      <c r="AE26" s="47">
        <f t="shared" ca="1" si="32"/>
        <v>17.91</v>
      </c>
      <c r="AF26" s="47">
        <f t="shared" si="26"/>
        <v>2.27</v>
      </c>
      <c r="AH26" s="44">
        <v>17.91</v>
      </c>
      <c r="AI26" s="44">
        <f t="shared" ca="1" si="27"/>
        <v>2.27</v>
      </c>
      <c r="AJ26" s="2" t="str">
        <f t="shared" ca="1" si="28"/>
        <v>17.91,2.27</v>
      </c>
    </row>
    <row r="27" spans="1:36" x14ac:dyDescent="0.25">
      <c r="A27" s="44">
        <v>7</v>
      </c>
      <c r="B27" s="48">
        <v>8.7426620370370376</v>
      </c>
      <c r="C27" s="48">
        <v>4.4355671296296295</v>
      </c>
      <c r="D27" s="44">
        <v>21.587</v>
      </c>
      <c r="E27" s="44">
        <v>4.9062000000000001</v>
      </c>
      <c r="F27" s="49" t="s">
        <v>83</v>
      </c>
      <c r="G27" s="43">
        <f t="shared" si="15"/>
        <v>106.45361111111112</v>
      </c>
      <c r="H27" s="43">
        <f t="shared" si="16"/>
        <v>1.8579660145265082</v>
      </c>
      <c r="I27" s="43">
        <f t="shared" si="3"/>
        <v>209.82388888888892</v>
      </c>
      <c r="J27" s="39">
        <f t="shared" si="17"/>
        <v>3.6621177104498579</v>
      </c>
      <c r="K27" s="39">
        <f t="shared" si="18"/>
        <v>20.702998759667622</v>
      </c>
      <c r="L27" s="15">
        <f t="shared" si="19"/>
        <v>-6.1142792999012512</v>
      </c>
      <c r="M27" s="13"/>
      <c r="N27" s="16">
        <f t="shared" si="4"/>
        <v>209.82388888888892</v>
      </c>
      <c r="O27" s="16">
        <f t="shared" si="20"/>
        <v>0</v>
      </c>
      <c r="P27" s="16">
        <f t="shared" si="21"/>
        <v>209.82388888888892</v>
      </c>
      <c r="Q27" s="16">
        <f t="shared" si="22"/>
        <v>3.6621177104498579</v>
      </c>
      <c r="R27" s="16">
        <f t="shared" si="5"/>
        <v>-10.29634087183652</v>
      </c>
      <c r="S27" s="16">
        <f t="shared" si="6"/>
        <v>-17.961055712116362</v>
      </c>
      <c r="T27" s="13">
        <f t="shared" si="7"/>
        <v>1517425.5786591282</v>
      </c>
      <c r="U27" s="13">
        <f t="shared" si="8"/>
        <v>3963994.0109442878</v>
      </c>
      <c r="V27" s="16">
        <f t="shared" si="9"/>
        <v>3312.3189207000987</v>
      </c>
      <c r="W27" s="16">
        <f t="shared" si="23"/>
        <v>3312.3189207000987</v>
      </c>
      <c r="X27" s="47">
        <f t="shared" si="10"/>
        <v>1517425.5786591282</v>
      </c>
      <c r="Y27" s="47">
        <f t="shared" si="24"/>
        <v>3963994.0109442878</v>
      </c>
      <c r="Z27" s="47">
        <f t="shared" si="11"/>
        <v>1517427.4110671768</v>
      </c>
      <c r="AA27" s="47">
        <f t="shared" si="12"/>
        <v>3963992.9199561602</v>
      </c>
      <c r="AB27" s="47">
        <f t="shared" si="29"/>
        <v>2.1325980285179589</v>
      </c>
      <c r="AC27" s="47">
        <f t="shared" ca="1" si="30"/>
        <v>18.728151114263291</v>
      </c>
      <c r="AD27" s="47">
        <f t="shared" si="31"/>
        <v>1.9298269377468387</v>
      </c>
      <c r="AE27" s="47">
        <f t="shared" ca="1" si="32"/>
        <v>18.73</v>
      </c>
      <c r="AF27" s="47">
        <f t="shared" si="26"/>
        <v>1.93</v>
      </c>
      <c r="AH27" s="44">
        <v>18.73</v>
      </c>
      <c r="AI27" s="44">
        <f t="shared" ca="1" si="27"/>
        <v>1.93</v>
      </c>
      <c r="AJ27" s="2" t="str">
        <f t="shared" ca="1" si="28"/>
        <v>18.73,1.93</v>
      </c>
    </row>
    <row r="28" spans="1:36" x14ac:dyDescent="0.25">
      <c r="A28" s="44">
        <v>8</v>
      </c>
      <c r="B28" s="48">
        <v>8.7688194444444445</v>
      </c>
      <c r="C28" s="48">
        <v>4.483113425925926</v>
      </c>
      <c r="D28" s="44">
        <v>24.407</v>
      </c>
      <c r="E28" s="44">
        <v>4.9062000000000001</v>
      </c>
      <c r="F28" s="49" t="s">
        <v>87</v>
      </c>
      <c r="G28" s="43">
        <f t="shared" si="15"/>
        <v>107.59472222222223</v>
      </c>
      <c r="H28" s="43">
        <f t="shared" si="16"/>
        <v>1.8778821605464879</v>
      </c>
      <c r="I28" s="43">
        <f t="shared" si="3"/>
        <v>210.45166666666665</v>
      </c>
      <c r="J28" s="39">
        <f t="shared" si="17"/>
        <v>3.673074499642933</v>
      </c>
      <c r="K28" s="39">
        <f t="shared" si="18"/>
        <v>23.265204330514557</v>
      </c>
      <c r="L28" s="15">
        <f t="shared" si="19"/>
        <v>-7.3777988898726949</v>
      </c>
      <c r="M28" s="13"/>
      <c r="N28" s="16">
        <f t="shared" si="4"/>
        <v>210.45166666666665</v>
      </c>
      <c r="O28" s="16">
        <f t="shared" si="20"/>
        <v>0</v>
      </c>
      <c r="P28" s="16">
        <f t="shared" si="21"/>
        <v>210.45166666666665</v>
      </c>
      <c r="Q28" s="16">
        <f t="shared" si="22"/>
        <v>3.673074499642933</v>
      </c>
      <c r="R28" s="16">
        <f t="shared" si="5"/>
        <v>-11.791069218030488</v>
      </c>
      <c r="S28" s="16">
        <f t="shared" si="6"/>
        <v>-20.055932270433281</v>
      </c>
      <c r="T28" s="13">
        <f t="shared" si="7"/>
        <v>1517424.083930782</v>
      </c>
      <c r="U28" s="13">
        <f t="shared" si="8"/>
        <v>3963991.9160677297</v>
      </c>
      <c r="V28" s="16">
        <f t="shared" si="9"/>
        <v>3311.0554011101271</v>
      </c>
      <c r="W28" s="16">
        <f t="shared" si="23"/>
        <v>3311.0554011101271</v>
      </c>
      <c r="X28" s="47">
        <f t="shared" si="10"/>
        <v>1517424.083930782</v>
      </c>
      <c r="Y28" s="47">
        <f t="shared" si="24"/>
        <v>3963991.9160677297</v>
      </c>
      <c r="Z28" s="47">
        <f t="shared" si="11"/>
        <v>1517426.0990435139</v>
      </c>
      <c r="AA28" s="47">
        <f t="shared" si="12"/>
        <v>3963990.7162999888</v>
      </c>
      <c r="AB28" s="47">
        <f t="shared" si="29"/>
        <v>2.3452338804784332</v>
      </c>
      <c r="AC28" s="47">
        <f t="shared" ca="1" si="30"/>
        <v>21.292816124383613</v>
      </c>
      <c r="AD28" s="47">
        <f t="shared" si="31"/>
        <v>0.66630734777527323</v>
      </c>
      <c r="AE28" s="47">
        <f t="shared" ca="1" si="32"/>
        <v>21.29</v>
      </c>
      <c r="AF28" s="47">
        <f t="shared" si="26"/>
        <v>0.67</v>
      </c>
      <c r="AH28" s="44">
        <v>21.29</v>
      </c>
      <c r="AI28" s="44">
        <f t="shared" ca="1" si="27"/>
        <v>0.67</v>
      </c>
      <c r="AJ28" s="2" t="str">
        <f t="shared" ca="1" si="28"/>
        <v>21.29,0.67</v>
      </c>
    </row>
    <row r="29" spans="1:36" x14ac:dyDescent="0.25">
      <c r="A29" s="44">
        <v>9</v>
      </c>
      <c r="B29" s="48">
        <v>8.5834259259259262</v>
      </c>
      <c r="C29" s="48">
        <v>4.1671412037037037</v>
      </c>
      <c r="D29" s="44">
        <v>46.271999999999998</v>
      </c>
      <c r="E29" s="44">
        <v>4.9062000000000001</v>
      </c>
      <c r="F29" s="49" t="s">
        <v>87</v>
      </c>
      <c r="G29" s="43">
        <f t="shared" si="15"/>
        <v>100.01138888888889</v>
      </c>
      <c r="H29" s="43">
        <f t="shared" si="16"/>
        <v>1.7455280256035843</v>
      </c>
      <c r="I29" s="43">
        <f t="shared" si="3"/>
        <v>206.00222222222223</v>
      </c>
      <c r="J29" s="39">
        <f t="shared" si="17"/>
        <v>3.5954170442028079</v>
      </c>
      <c r="K29" s="39">
        <f t="shared" si="18"/>
        <v>45.567426291567429</v>
      </c>
      <c r="L29" s="15">
        <f t="shared" si="19"/>
        <v>-8.0441062376481103</v>
      </c>
      <c r="M29" s="13"/>
      <c r="N29" s="16">
        <f t="shared" si="4"/>
        <v>206.00222222222223</v>
      </c>
      <c r="O29" s="16">
        <f t="shared" si="20"/>
        <v>0</v>
      </c>
      <c r="P29" s="16">
        <f t="shared" si="21"/>
        <v>206.00222222222223</v>
      </c>
      <c r="Q29" s="16">
        <f t="shared" si="22"/>
        <v>3.5954170442028079</v>
      </c>
      <c r="R29" s="16">
        <f t="shared" si="5"/>
        <v>-19.977033376550793</v>
      </c>
      <c r="S29" s="16">
        <f t="shared" si="6"/>
        <v>-40.954956675713944</v>
      </c>
      <c r="T29" s="13">
        <f t="shared" si="7"/>
        <v>1517415.8979666235</v>
      </c>
      <c r="U29" s="13">
        <f t="shared" si="8"/>
        <v>3963971.0170433242</v>
      </c>
      <c r="V29" s="16">
        <f t="shared" si="9"/>
        <v>3310.3890937623519</v>
      </c>
      <c r="W29" s="16">
        <f t="shared" si="23"/>
        <v>3310.3890937623519</v>
      </c>
      <c r="X29" s="47">
        <f t="shared" si="10"/>
        <v>1517415.8979666235</v>
      </c>
      <c r="Y29" s="47">
        <f t="shared" si="24"/>
        <v>3963971.0170433242</v>
      </c>
      <c r="Z29" s="47">
        <f t="shared" si="11"/>
        <v>1517414.7701833199</v>
      </c>
      <c r="AA29" s="47">
        <f t="shared" si="12"/>
        <v>3963971.6885085003</v>
      </c>
      <c r="AB29" s="47">
        <f t="shared" si="29"/>
        <v>1.3125397756656856</v>
      </c>
      <c r="AC29" s="47">
        <f t="shared" ca="1" si="30"/>
        <v>43.437791225343794</v>
      </c>
      <c r="AD29" s="47">
        <f t="shared" si="31"/>
        <v>0</v>
      </c>
      <c r="AE29" s="47">
        <f t="shared" ca="1" si="32"/>
        <v>43.44</v>
      </c>
      <c r="AF29" s="47">
        <f t="shared" si="26"/>
        <v>0</v>
      </c>
      <c r="AH29" s="44">
        <v>43.44</v>
      </c>
      <c r="AI29" s="44">
        <f t="shared" ca="1" si="27"/>
        <v>0</v>
      </c>
      <c r="AJ29" s="2" t="str">
        <f t="shared" ca="1" si="28"/>
        <v>43.44,0</v>
      </c>
    </row>
    <row r="30" spans="1:36" x14ac:dyDescent="0.25">
      <c r="A30" s="44">
        <v>10</v>
      </c>
      <c r="B30" s="48">
        <v>8.6362500000000004</v>
      </c>
      <c r="C30" s="48">
        <v>4.0197685185185188</v>
      </c>
      <c r="D30" s="44">
        <v>59.82</v>
      </c>
      <c r="E30" s="44">
        <v>4.9062000000000001</v>
      </c>
      <c r="F30" s="49" t="s">
        <v>87</v>
      </c>
      <c r="G30" s="43">
        <f t="shared" si="15"/>
        <v>96.474444444444458</v>
      </c>
      <c r="H30" s="43">
        <f t="shared" si="16"/>
        <v>1.6837966995879075</v>
      </c>
      <c r="I30" s="43">
        <f t="shared" si="3"/>
        <v>207.27</v>
      </c>
      <c r="J30" s="39">
        <f t="shared" si="17"/>
        <v>3.6175439406086469</v>
      </c>
      <c r="K30" s="39">
        <f t="shared" si="18"/>
        <v>59.438482918012561</v>
      </c>
      <c r="L30" s="15">
        <f t="shared" si="19"/>
        <v>-6.7453056569090197</v>
      </c>
      <c r="M30" s="13"/>
      <c r="N30" s="16">
        <f t="shared" si="4"/>
        <v>207.27</v>
      </c>
      <c r="O30" s="16">
        <f t="shared" si="20"/>
        <v>0</v>
      </c>
      <c r="P30" s="16">
        <f t="shared" si="21"/>
        <v>207.27</v>
      </c>
      <c r="Q30" s="16">
        <f t="shared" si="22"/>
        <v>3.6175439406086469</v>
      </c>
      <c r="R30" s="16">
        <f t="shared" si="5"/>
        <v>-27.233774502243151</v>
      </c>
      <c r="S30" s="16">
        <f t="shared" si="6"/>
        <v>-52.832327016286548</v>
      </c>
      <c r="T30" s="13">
        <f t="shared" si="7"/>
        <v>1517408.6412254977</v>
      </c>
      <c r="U30" s="13">
        <f t="shared" si="8"/>
        <v>3963959.1396729839</v>
      </c>
      <c r="V30" s="16">
        <f t="shared" si="9"/>
        <v>3311.6878943430911</v>
      </c>
      <c r="W30" s="16">
        <f t="shared" si="23"/>
        <v>3311.6878943430911</v>
      </c>
      <c r="X30" s="47">
        <f t="shared" si="10"/>
        <v>1517408.6412254977</v>
      </c>
      <c r="Y30" s="47">
        <f t="shared" si="24"/>
        <v>3963959.1396729839</v>
      </c>
      <c r="Z30" s="47">
        <f t="shared" si="11"/>
        <v>1517407.6501244982</v>
      </c>
      <c r="AA30" s="47">
        <f t="shared" si="12"/>
        <v>3963959.7297595777</v>
      </c>
      <c r="AB30" s="47">
        <f t="shared" si="29"/>
        <v>1.1534658119754022</v>
      </c>
      <c r="AC30" s="47">
        <f t="shared" ca="1" si="30"/>
        <v>57.355654330753232</v>
      </c>
      <c r="AD30" s="47">
        <f t="shared" si="31"/>
        <v>1.2988005807392256</v>
      </c>
      <c r="AE30" s="47">
        <f t="shared" ca="1" si="32"/>
        <v>57.36</v>
      </c>
      <c r="AF30" s="47">
        <f t="shared" si="26"/>
        <v>1.3</v>
      </c>
      <c r="AH30" s="44">
        <v>57.36</v>
      </c>
      <c r="AI30" s="44">
        <f t="shared" ca="1" si="27"/>
        <v>1.3</v>
      </c>
      <c r="AJ30" s="2" t="str">
        <f t="shared" ca="1" si="28"/>
        <v>57.36,1.3</v>
      </c>
    </row>
    <row r="31" spans="1:36" x14ac:dyDescent="0.25">
      <c r="A31" s="44">
        <v>11</v>
      </c>
      <c r="B31" s="48">
        <v>8.6609143518518525</v>
      </c>
      <c r="C31" s="48">
        <v>3.9806712962962965</v>
      </c>
      <c r="D31" s="44">
        <v>63.764000000000003</v>
      </c>
      <c r="E31" s="44">
        <v>4.9062000000000001</v>
      </c>
      <c r="F31" s="49" t="s">
        <v>83</v>
      </c>
      <c r="G31" s="43">
        <f t="shared" si="15"/>
        <v>95.536111111111111</v>
      </c>
      <c r="H31" s="43">
        <f t="shared" si="16"/>
        <v>1.6674196934400272</v>
      </c>
      <c r="I31" s="43">
        <f t="shared" si="3"/>
        <v>207.86194444444448</v>
      </c>
      <c r="J31" s="39">
        <f t="shared" si="17"/>
        <v>3.6278753201530916</v>
      </c>
      <c r="K31" s="39">
        <f t="shared" si="18"/>
        <v>63.46657876106768</v>
      </c>
      <c r="L31" s="15">
        <f t="shared" si="19"/>
        <v>-6.1515100881973099</v>
      </c>
      <c r="M31" s="13"/>
      <c r="N31" s="16">
        <f t="shared" si="4"/>
        <v>207.86194444444448</v>
      </c>
      <c r="O31" s="16">
        <f t="shared" si="20"/>
        <v>0</v>
      </c>
      <c r="P31" s="16">
        <f t="shared" si="21"/>
        <v>207.86194444444448</v>
      </c>
      <c r="Q31" s="16">
        <f t="shared" si="22"/>
        <v>3.6278753201530916</v>
      </c>
      <c r="R31" s="16">
        <f t="shared" si="5"/>
        <v>-29.660643458652476</v>
      </c>
      <c r="S31" s="16">
        <f t="shared" si="6"/>
        <v>-56.109293786800627</v>
      </c>
      <c r="T31" s="13">
        <f t="shared" si="7"/>
        <v>1517406.2143565414</v>
      </c>
      <c r="U31" s="13">
        <f t="shared" si="8"/>
        <v>3963955.8627062133</v>
      </c>
      <c r="V31" s="16">
        <f t="shared" si="9"/>
        <v>3312.2816899118025</v>
      </c>
      <c r="W31" s="16">
        <f t="shared" si="23"/>
        <v>3312.2816899118025</v>
      </c>
      <c r="X31" s="47">
        <f t="shared" si="10"/>
        <v>1517406.2143565414</v>
      </c>
      <c r="Y31" s="47">
        <f t="shared" si="24"/>
        <v>3963955.8627062133</v>
      </c>
      <c r="Z31" s="47">
        <f t="shared" si="11"/>
        <v>1517405.5745425427</v>
      </c>
      <c r="AA31" s="47">
        <f t="shared" si="12"/>
        <v>3963956.2436418226</v>
      </c>
      <c r="AB31" s="47">
        <f t="shared" si="29"/>
        <v>0.74463003660492944</v>
      </c>
      <c r="AC31" s="47">
        <f t="shared" ca="1" si="30"/>
        <v>61.412877205592991</v>
      </c>
      <c r="AD31" s="47">
        <f t="shared" si="31"/>
        <v>1.8925961494505827</v>
      </c>
      <c r="AE31" s="47">
        <f t="shared" ca="1" si="32"/>
        <v>61.41</v>
      </c>
      <c r="AF31" s="47">
        <f t="shared" si="26"/>
        <v>1.89</v>
      </c>
      <c r="AH31" s="44">
        <v>61.41</v>
      </c>
      <c r="AI31" s="44">
        <f t="shared" ca="1" si="27"/>
        <v>1.89</v>
      </c>
      <c r="AJ31" s="2" t="str">
        <f t="shared" ca="1" si="28"/>
        <v>61.41,1.89</v>
      </c>
    </row>
    <row r="32" spans="1:36" x14ac:dyDescent="0.25">
      <c r="A32" s="44">
        <v>12</v>
      </c>
      <c r="B32" s="48">
        <v>8.6663194444444454</v>
      </c>
      <c r="C32" s="48">
        <v>3.9559953703703705</v>
      </c>
      <c r="D32" s="44">
        <v>65.715999999999994</v>
      </c>
      <c r="E32" s="44">
        <v>4.9062000000000001</v>
      </c>
      <c r="F32" s="44"/>
      <c r="G32" s="43">
        <f t="shared" si="15"/>
        <v>94.943888888888893</v>
      </c>
      <c r="H32" s="43">
        <f t="shared" si="16"/>
        <v>1.6570834657587719</v>
      </c>
      <c r="I32" s="43">
        <f t="shared" si="3"/>
        <v>207.99166666666667</v>
      </c>
      <c r="J32" s="39">
        <f t="shared" si="17"/>
        <v>3.6301394000438729</v>
      </c>
      <c r="K32" s="39">
        <f t="shared" si="18"/>
        <v>65.471508487902113</v>
      </c>
      <c r="L32" s="15">
        <f t="shared" si="19"/>
        <v>-5.6634117207351489</v>
      </c>
      <c r="M32" s="13"/>
      <c r="N32" s="16">
        <f t="shared" si="4"/>
        <v>207.99166666666667</v>
      </c>
      <c r="O32" s="16">
        <f t="shared" si="20"/>
        <v>0</v>
      </c>
      <c r="P32" s="16">
        <f t="shared" si="21"/>
        <v>207.99166666666667</v>
      </c>
      <c r="Q32" s="16">
        <f t="shared" si="22"/>
        <v>3.6301394000438729</v>
      </c>
      <c r="R32" s="16">
        <f t="shared" si="5"/>
        <v>-30.728603262876995</v>
      </c>
      <c r="S32" s="16">
        <f t="shared" si="6"/>
        <v>-57.812380725880367</v>
      </c>
      <c r="T32" s="13">
        <f t="shared" si="7"/>
        <v>1517405.1463967371</v>
      </c>
      <c r="U32" s="13">
        <f t="shared" si="8"/>
        <v>3963954.1596192741</v>
      </c>
      <c r="V32" s="16">
        <f t="shared" si="9"/>
        <v>3312.769788279265</v>
      </c>
      <c r="W32" s="16">
        <f t="shared" si="23"/>
        <v>3312.769788279265</v>
      </c>
      <c r="X32" s="47">
        <f t="shared" si="10"/>
        <v>1517405.1463967371</v>
      </c>
      <c r="Y32" s="47">
        <f t="shared" si="24"/>
        <v>3963954.1596192741</v>
      </c>
      <c r="Z32" s="47">
        <f t="shared" si="11"/>
        <v>1517404.5464263596</v>
      </c>
      <c r="AA32" s="47">
        <f t="shared" si="12"/>
        <v>3963954.516832592</v>
      </c>
      <c r="AB32" s="47">
        <f t="shared" si="29"/>
        <v>0.69825912695012637</v>
      </c>
      <c r="AC32" s="47">
        <f t="shared" ca="1" si="30"/>
        <v>63.422576935651747</v>
      </c>
      <c r="AD32" s="47">
        <f t="shared" si="31"/>
        <v>2.3806945169130813</v>
      </c>
      <c r="AE32" s="47">
        <f t="shared" ca="1" si="32"/>
        <v>63.42</v>
      </c>
      <c r="AF32" s="47">
        <f t="shared" si="26"/>
        <v>2.38</v>
      </c>
      <c r="AH32" s="44">
        <v>63.42</v>
      </c>
      <c r="AI32" s="44">
        <f t="shared" ca="1" si="27"/>
        <v>2.38</v>
      </c>
      <c r="AJ32" s="44" t="str">
        <f t="shared" ca="1" si="28"/>
        <v>63.42,2.38</v>
      </c>
    </row>
    <row r="33" spans="1:36" x14ac:dyDescent="0.25">
      <c r="A33" s="44">
        <v>13</v>
      </c>
      <c r="B33" s="48">
        <v>8.6393634259259269</v>
      </c>
      <c r="C33" s="48">
        <v>3.9137615740740741</v>
      </c>
      <c r="D33" s="44">
        <v>74.114000000000004</v>
      </c>
      <c r="E33" s="44">
        <v>4.9062000000000001</v>
      </c>
      <c r="F33" s="44"/>
      <c r="G33" s="43">
        <f t="shared" si="15"/>
        <v>93.930277777777775</v>
      </c>
      <c r="H33" s="43">
        <f t="shared" si="16"/>
        <v>1.6393926145350848</v>
      </c>
      <c r="I33" s="43">
        <f t="shared" si="3"/>
        <v>207.34472222222223</v>
      </c>
      <c r="J33" s="39">
        <f t="shared" si="17"/>
        <v>3.6188480894108315</v>
      </c>
      <c r="K33" s="39">
        <f t="shared" si="18"/>
        <v>73.939698477068106</v>
      </c>
      <c r="L33" s="15">
        <f t="shared" si="19"/>
        <v>-5.0799591652151888</v>
      </c>
      <c r="M33" s="13"/>
      <c r="N33" s="16">
        <f t="shared" si="4"/>
        <v>207.34472222222223</v>
      </c>
      <c r="O33" s="16">
        <f t="shared" si="20"/>
        <v>0</v>
      </c>
      <c r="P33" s="16">
        <f t="shared" si="21"/>
        <v>207.34472222222223</v>
      </c>
      <c r="Q33" s="16">
        <f t="shared" si="22"/>
        <v>3.6188480894108315</v>
      </c>
      <c r="R33" s="16">
        <f t="shared" si="5"/>
        <v>-33.96368475868222</v>
      </c>
      <c r="S33" s="16">
        <f t="shared" si="6"/>
        <v>-65.677599898996036</v>
      </c>
      <c r="T33" s="13">
        <f t="shared" si="7"/>
        <v>1517401.9113152414</v>
      </c>
      <c r="U33" s="13">
        <f t="shared" si="8"/>
        <v>3963946.2944001011</v>
      </c>
      <c r="V33" s="16">
        <f t="shared" si="9"/>
        <v>3313.3532408347846</v>
      </c>
      <c r="W33" s="16">
        <f t="shared" si="23"/>
        <v>3313.3532408347846</v>
      </c>
      <c r="X33" s="47">
        <f t="shared" si="10"/>
        <v>1517401.9113152414</v>
      </c>
      <c r="Y33" s="47">
        <f t="shared" si="24"/>
        <v>3963946.2944001011</v>
      </c>
      <c r="Z33" s="47">
        <f t="shared" si="11"/>
        <v>1517400.2424859684</v>
      </c>
      <c r="AA33" s="47">
        <f t="shared" si="12"/>
        <v>3963947.2879958916</v>
      </c>
      <c r="AB33" s="47">
        <f t="shared" si="29"/>
        <v>1.9422213409847329</v>
      </c>
      <c r="AC33" s="47">
        <f t="shared" ca="1" si="30"/>
        <v>71.835660967718951</v>
      </c>
      <c r="AD33" s="47">
        <f t="shared" si="31"/>
        <v>2.9641470724327519</v>
      </c>
      <c r="AE33" s="47">
        <f t="shared" ca="1" si="32"/>
        <v>71.84</v>
      </c>
      <c r="AF33" s="47">
        <f t="shared" si="26"/>
        <v>2.96</v>
      </c>
      <c r="AH33" s="44">
        <v>71.84</v>
      </c>
      <c r="AI33" s="44">
        <f t="shared" ca="1" si="27"/>
        <v>2.96</v>
      </c>
      <c r="AJ33" s="44" t="str">
        <f t="shared" ca="1" si="28"/>
        <v>71.84,2.96</v>
      </c>
    </row>
    <row r="34" spans="1:36" x14ac:dyDescent="0.25">
      <c r="A34" s="44">
        <v>14</v>
      </c>
      <c r="B34" s="48">
        <v>8.604456018518519</v>
      </c>
      <c r="C34" s="48">
        <v>3.8686226851851853</v>
      </c>
      <c r="D34" s="44">
        <v>107.301</v>
      </c>
      <c r="E34" s="44">
        <v>4.9062000000000001</v>
      </c>
      <c r="F34" s="44"/>
      <c r="G34" s="43">
        <f t="shared" ref="G34:G35" si="33">C34*24</f>
        <v>92.846944444444446</v>
      </c>
      <c r="H34" s="43">
        <f t="shared" ref="H34:H35" si="34">RADIANS(G34)</f>
        <v>1.6204848809718129</v>
      </c>
      <c r="I34" s="43">
        <f t="shared" ref="I34:I35" si="35">B34*24</f>
        <v>206.50694444444446</v>
      </c>
      <c r="J34" s="49">
        <f t="shared" ref="J34:J35" si="36">RADIANS(I34)</f>
        <v>3.6042261087885681</v>
      </c>
      <c r="K34" s="49">
        <f t="shared" ref="K34:K35" si="37">D34*SIN(H34)</f>
        <v>107.1685667193814</v>
      </c>
      <c r="L34" s="46">
        <f t="shared" ref="L34:L35" si="38">D34*COS(H34)</f>
        <v>-5.3294378984557627</v>
      </c>
      <c r="M34" s="45"/>
      <c r="N34" s="47">
        <f t="shared" ref="N34:N35" si="39">I34+M34</f>
        <v>206.50694444444446</v>
      </c>
      <c r="O34" s="47">
        <f t="shared" si="20"/>
        <v>0</v>
      </c>
      <c r="P34" s="47">
        <f t="shared" ref="P34:P35" si="40">SUM(N34,O34)</f>
        <v>206.50694444444446</v>
      </c>
      <c r="Q34" s="47">
        <f t="shared" ref="Q34:Q35" si="41">RADIANS(P34)</f>
        <v>3.6042261087885681</v>
      </c>
      <c r="R34" s="47">
        <f t="shared" ref="R34:R35" si="42">K34*SIN(Q34)</f>
        <v>-47.830004231614851</v>
      </c>
      <c r="S34" s="47">
        <f t="shared" ref="S34:S35" si="43">K34*COS(Q34)</f>
        <v>-95.903036385143764</v>
      </c>
      <c r="T34" s="45">
        <f t="shared" ref="T34:T35" si="44">Old_X0+R34</f>
        <v>1517388.0449957685</v>
      </c>
      <c r="U34" s="45">
        <f t="shared" ref="U34:U35" si="45">Old_Y0+S34</f>
        <v>3963916.0689636148</v>
      </c>
      <c r="V34" s="47">
        <f t="shared" ref="V34:V35" si="46">Old_Z0+HI+L34-E34</f>
        <v>3313.1037621015444</v>
      </c>
      <c r="W34" s="47">
        <f t="shared" ref="W34:W35" si="47">IF(ISNUMBER(T34),V34+dZ,"")</f>
        <v>3313.1037621015444</v>
      </c>
      <c r="X34" s="47">
        <f t="shared" si="10"/>
        <v>1517388.0449957685</v>
      </c>
      <c r="Y34" s="47">
        <f t="shared" si="24"/>
        <v>3963916.0689636148</v>
      </c>
      <c r="Z34" s="47">
        <f t="shared" si="11"/>
        <v>1517383.327439338</v>
      </c>
      <c r="AA34" s="47">
        <f t="shared" si="12"/>
        <v>3963918.8777255923</v>
      </c>
      <c r="AB34" s="47">
        <f t="shared" ref="AB34:AB35" si="48">IF(ISNUMBER(X34),SQRT((X34-Z34)^2+(Y34-AA34)^2),"")</f>
        <v>5.4903991222533524</v>
      </c>
      <c r="AC34" s="47">
        <f t="shared" ref="AC34:AC35" ca="1" si="49">IF(ISNUMBER(Z34),SQRT(($Z34-OFFSET($Z$20,MATCH(CS_Start,$A$21:$A$51,0),0))^2+($AA34-OFFSET($AA$20,MATCH(CS_Start,$A$21:$A$51,0),0))^2),"")</f>
        <v>104.90017761303884</v>
      </c>
      <c r="AD34" s="47">
        <f t="shared" ref="AD34:AD35" si="50">IF(ISNUMBER(X34),W34-Min_Z,"")</f>
        <v>2.7146683391924853</v>
      </c>
      <c r="AE34" s="47">
        <f t="shared" ca="1" si="32"/>
        <v>104.9</v>
      </c>
      <c r="AF34" s="47">
        <f t="shared" si="26"/>
        <v>2.71</v>
      </c>
      <c r="AH34" s="44">
        <v>104.9</v>
      </c>
      <c r="AI34" s="44">
        <f t="shared" ca="1" si="27"/>
        <v>2.71</v>
      </c>
      <c r="AJ34" s="44" t="str">
        <f t="shared" ca="1" si="28"/>
        <v>104.9,2.71</v>
      </c>
    </row>
    <row r="35" spans="1:36" x14ac:dyDescent="0.25">
      <c r="A35" s="44">
        <v>15</v>
      </c>
      <c r="B35" s="48">
        <v>8.6217013888888889</v>
      </c>
      <c r="C35" s="48">
        <v>3.8440046296296297</v>
      </c>
      <c r="D35" s="44">
        <v>110.60299999999999</v>
      </c>
      <c r="E35" s="44">
        <v>4.9062000000000001</v>
      </c>
      <c r="F35" s="44"/>
      <c r="G35" s="43">
        <f t="shared" si="33"/>
        <v>92.25611111111111</v>
      </c>
      <c r="H35" s="43">
        <f t="shared" si="34"/>
        <v>1.6101728939746132</v>
      </c>
      <c r="I35" s="43">
        <f t="shared" si="35"/>
        <v>206.92083333333335</v>
      </c>
      <c r="J35" s="49">
        <f t="shared" si="36"/>
        <v>3.6114498326371001</v>
      </c>
      <c r="K35" s="49">
        <f t="shared" si="37"/>
        <v>110.51726532625233</v>
      </c>
      <c r="L35" s="46">
        <f t="shared" si="38"/>
        <v>-4.3540410892343946</v>
      </c>
      <c r="M35" s="45"/>
      <c r="N35" s="47">
        <f t="shared" si="39"/>
        <v>206.92083333333335</v>
      </c>
      <c r="O35" s="47">
        <f t="shared" si="20"/>
        <v>0</v>
      </c>
      <c r="P35" s="47">
        <f t="shared" si="40"/>
        <v>206.92083333333335</v>
      </c>
      <c r="Q35" s="47">
        <f t="shared" si="41"/>
        <v>3.6114498326371001</v>
      </c>
      <c r="R35" s="47">
        <f t="shared" si="42"/>
        <v>-50.037680578089379</v>
      </c>
      <c r="S35" s="47">
        <f t="shared" si="43"/>
        <v>-98.540836497151545</v>
      </c>
      <c r="T35" s="45">
        <f t="shared" si="44"/>
        <v>1517385.8373194218</v>
      </c>
      <c r="U35" s="45">
        <f t="shared" si="45"/>
        <v>3963913.4311635029</v>
      </c>
      <c r="V35" s="47">
        <f t="shared" si="46"/>
        <v>3314.0791589107657</v>
      </c>
      <c r="W35" s="47">
        <f t="shared" si="47"/>
        <v>3314.0791589107657</v>
      </c>
      <c r="X35" s="47">
        <f t="shared" si="10"/>
        <v>1517385.8373194218</v>
      </c>
      <c r="Y35" s="47">
        <f t="shared" si="24"/>
        <v>3963913.4311635029</v>
      </c>
      <c r="Z35" s="47">
        <f t="shared" si="11"/>
        <v>1517381.5901785144</v>
      </c>
      <c r="AA35" s="47">
        <f t="shared" si="12"/>
        <v>3963915.9598471699</v>
      </c>
      <c r="AB35" s="47">
        <f t="shared" si="48"/>
        <v>4.9429188720678683</v>
      </c>
      <c r="AC35" s="47">
        <f t="shared" ca="1" si="49"/>
        <v>108.29607067043261</v>
      </c>
      <c r="AD35" s="47">
        <f t="shared" si="50"/>
        <v>3.6900651484138507</v>
      </c>
      <c r="AE35" s="47">
        <f t="shared" ca="1" si="32"/>
        <v>108.3</v>
      </c>
      <c r="AF35" s="47">
        <f t="shared" si="26"/>
        <v>3.69</v>
      </c>
      <c r="AH35" s="44">
        <v>108.3</v>
      </c>
      <c r="AI35" s="44">
        <f t="shared" ca="1" si="27"/>
        <v>3.69</v>
      </c>
      <c r="AJ35" s="44" t="str">
        <f t="shared" ca="1" si="28"/>
        <v>108.3,3.69</v>
      </c>
    </row>
    <row r="36" spans="1:36" x14ac:dyDescent="0.25">
      <c r="A36" s="44">
        <v>16</v>
      </c>
      <c r="B36" s="48">
        <v>8.6998611111111099</v>
      </c>
      <c r="C36" s="48">
        <v>3.8216898148148144</v>
      </c>
      <c r="D36" s="44">
        <v>120.02</v>
      </c>
      <c r="E36" s="44">
        <v>4.9062000000000001</v>
      </c>
      <c r="F36" s="44"/>
      <c r="G36" s="43">
        <f t="shared" ref="G36:G37" si="51">C36*24</f>
        <v>91.720555555555549</v>
      </c>
      <c r="H36" s="43">
        <f t="shared" ref="H36:H37" si="52">RADIANS(G36)</f>
        <v>1.6008256862028212</v>
      </c>
      <c r="I36" s="43">
        <f t="shared" ref="I36:I37" si="53">B36*24</f>
        <v>208.79666666666662</v>
      </c>
      <c r="J36" s="49">
        <f t="shared" ref="J36:J37" si="54">RADIANS(I36)</f>
        <v>3.6441893005224264</v>
      </c>
      <c r="K36" s="49">
        <f t="shared" ref="K36:K37" si="55">D36*SIN(H36)</f>
        <v>119.96588930322149</v>
      </c>
      <c r="L36" s="46">
        <f t="shared" ref="L36:L37" si="56">D36*COS(H36)</f>
        <v>-3.6035820633372069</v>
      </c>
      <c r="M36" s="45"/>
      <c r="N36" s="47">
        <f t="shared" ref="N36:N37" si="57">I36+M36</f>
        <v>208.79666666666662</v>
      </c>
      <c r="O36" s="47">
        <f t="shared" si="20"/>
        <v>0</v>
      </c>
      <c r="P36" s="47">
        <f t="shared" ref="P36:P37" si="58">SUM(N36,O36)</f>
        <v>208.79666666666662</v>
      </c>
      <c r="Q36" s="47">
        <f t="shared" ref="Q36:Q37" si="59">RADIANS(P36)</f>
        <v>3.6441893005224264</v>
      </c>
      <c r="R36" s="47">
        <f t="shared" ref="R36:R37" si="60">K36*SIN(Q36)</f>
        <v>-57.787891805187499</v>
      </c>
      <c r="S36" s="47">
        <f t="shared" ref="S36:S37" si="61">K36*COS(Q36)</f>
        <v>-105.13027231499372</v>
      </c>
      <c r="T36" s="45">
        <f t="shared" ref="T36:T37" si="62">Old_X0+R36</f>
        <v>1517378.0871081948</v>
      </c>
      <c r="U36" s="45">
        <f t="shared" ref="U36:U37" si="63">Old_Y0+S36</f>
        <v>3963906.8417276852</v>
      </c>
      <c r="V36" s="47">
        <f t="shared" ref="V36:V37" si="64">Old_Z0+HI+L36-E36</f>
        <v>3314.8296179366625</v>
      </c>
      <c r="W36" s="47">
        <f t="shared" ref="W36:W37" si="65">IF(ISNUMBER(T36),V36+dZ,"")</f>
        <v>3314.8296179366625</v>
      </c>
      <c r="X36" s="47">
        <f t="shared" si="10"/>
        <v>1517378.0871081948</v>
      </c>
      <c r="Y36" s="47">
        <f t="shared" ref="Y36:Y37" si="66">IF(ISNUMBER(X36),U36,"")</f>
        <v>3963906.8417276852</v>
      </c>
      <c r="Z36" s="47">
        <f t="shared" si="11"/>
        <v>1517376.6653699644</v>
      </c>
      <c r="AA36" s="47">
        <f t="shared" si="12"/>
        <v>3963907.6882091938</v>
      </c>
      <c r="AB36" s="47">
        <f t="shared" ref="AB36:AB37" si="67">IF(ISNUMBER(X36),SQRT((X36-Z36)^2+(Y36-AA36)^2),"")</f>
        <v>1.6546511838190816</v>
      </c>
      <c r="AC36" s="47">
        <f t="shared" ref="AC36:AC37" ca="1" si="68">IF(ISNUMBER(Z36),SQRT(($Z36-OFFSET($Z$20,MATCH(CS_Start,$A$21:$A$51,0),0))^2+($AA36-OFFSET($AA$20,MATCH(CS_Start,$A$21:$A$51,0),0))^2),"")</f>
        <v>117.92279046807138</v>
      </c>
      <c r="AD36" s="47">
        <f t="shared" ref="AD36:AD37" si="69">IF(ISNUMBER(X36),W36-Min_Z,"")</f>
        <v>4.4405241743106671</v>
      </c>
      <c r="AE36" s="47">
        <f t="shared" ca="1" si="32"/>
        <v>117.92</v>
      </c>
      <c r="AF36" s="47">
        <f t="shared" si="26"/>
        <v>4.4400000000000004</v>
      </c>
      <c r="AH36" s="44">
        <v>117.92</v>
      </c>
      <c r="AI36" s="44">
        <f t="shared" ca="1" si="27"/>
        <v>4.4400000000000004</v>
      </c>
      <c r="AJ36" s="44" t="str">
        <f t="shared" ca="1" si="28"/>
        <v>117.92,4.44</v>
      </c>
    </row>
    <row r="37" spans="1:36" x14ac:dyDescent="0.25">
      <c r="A37" s="44">
        <v>17</v>
      </c>
      <c r="B37" s="48">
        <v>8.6740046296296303</v>
      </c>
      <c r="C37" s="48">
        <v>3.722511574074074</v>
      </c>
      <c r="D37" s="44">
        <v>127.56699999999999</v>
      </c>
      <c r="E37" s="44">
        <v>4.9062000000000001</v>
      </c>
      <c r="F37" s="44"/>
      <c r="G37" s="43">
        <f t="shared" si="51"/>
        <v>89.340277777777771</v>
      </c>
      <c r="H37" s="43">
        <f t="shared" si="52"/>
        <v>1.5592820018685449</v>
      </c>
      <c r="I37" s="43">
        <f t="shared" si="53"/>
        <v>208.17611111111114</v>
      </c>
      <c r="J37" s="49">
        <f t="shared" si="54"/>
        <v>3.6333585628864404</v>
      </c>
      <c r="K37" s="49">
        <f t="shared" si="55"/>
        <v>127.55854369750422</v>
      </c>
      <c r="L37" s="46">
        <f t="shared" si="56"/>
        <v>1.4688154315316</v>
      </c>
      <c r="M37" s="45"/>
      <c r="N37" s="47">
        <f t="shared" si="57"/>
        <v>208.17611111111114</v>
      </c>
      <c r="O37" s="47">
        <f t="shared" si="20"/>
        <v>0</v>
      </c>
      <c r="P37" s="47">
        <f t="shared" si="58"/>
        <v>208.17611111111114</v>
      </c>
      <c r="Q37" s="47">
        <f t="shared" si="59"/>
        <v>3.6333585628864404</v>
      </c>
      <c r="R37" s="47">
        <f t="shared" si="60"/>
        <v>-60.231010706976335</v>
      </c>
      <c r="S37" s="47">
        <f t="shared" si="61"/>
        <v>-112.44290737722943</v>
      </c>
      <c r="T37" s="45">
        <f t="shared" si="62"/>
        <v>1517375.6439892931</v>
      </c>
      <c r="U37" s="45">
        <f t="shared" si="63"/>
        <v>3963899.5290926229</v>
      </c>
      <c r="V37" s="47">
        <f t="shared" si="64"/>
        <v>3319.9020154315317</v>
      </c>
      <c r="W37" s="47">
        <f t="shared" si="65"/>
        <v>3319.9020154315317</v>
      </c>
      <c r="X37" s="47">
        <f t="shared" si="10"/>
        <v>1517375.6439892931</v>
      </c>
      <c r="Y37" s="47">
        <f t="shared" si="66"/>
        <v>3963899.5290926229</v>
      </c>
      <c r="Z37" s="47">
        <f t="shared" si="11"/>
        <v>1517372.8115921787</v>
      </c>
      <c r="AA37" s="47">
        <f t="shared" si="12"/>
        <v>3963901.2154591647</v>
      </c>
      <c r="AB37" s="47">
        <f t="shared" si="67"/>
        <v>3.2964079734417076</v>
      </c>
      <c r="AC37" s="47">
        <f t="shared" ca="1" si="68"/>
        <v>125.45592369143354</v>
      </c>
      <c r="AD37" s="47">
        <f t="shared" si="69"/>
        <v>9.512921669179832</v>
      </c>
      <c r="AE37" s="47">
        <f t="shared" ca="1" si="32"/>
        <v>125.46</v>
      </c>
      <c r="AF37" s="47">
        <f t="shared" si="26"/>
        <v>9.51</v>
      </c>
      <c r="AH37" s="44">
        <v>125.46</v>
      </c>
      <c r="AI37" s="44">
        <f t="shared" ca="1" si="27"/>
        <v>9.51</v>
      </c>
      <c r="AJ37" s="44" t="str">
        <f t="shared" ca="1" si="28"/>
        <v>125.46,9.51</v>
      </c>
    </row>
    <row r="38" spans="1:36" x14ac:dyDescent="0.25">
      <c r="A38" s="44">
        <v>18</v>
      </c>
      <c r="B38" s="48">
        <v>8.7082523148148159</v>
      </c>
      <c r="C38" s="48">
        <v>3.7375462962962964</v>
      </c>
      <c r="D38" s="44">
        <v>272.63499999999999</v>
      </c>
      <c r="E38" s="44">
        <v>4.9062000000000001</v>
      </c>
      <c r="F38" s="44"/>
      <c r="G38" s="43">
        <f t="shared" ref="G38:G41" si="70">C38*24</f>
        <v>89.701111111111118</v>
      </c>
      <c r="H38" s="43">
        <f t="shared" ref="H38:H41" si="71">RADIANS(G38)</f>
        <v>1.5655797315861582</v>
      </c>
      <c r="I38" s="43">
        <f t="shared" ref="I38:I41" si="72">B38*24</f>
        <v>208.9980555555556</v>
      </c>
      <c r="J38" s="49">
        <f t="shared" ref="J38:J41" si="73">RADIANS(I38)</f>
        <v>3.6477041997104718</v>
      </c>
      <c r="K38" s="49">
        <f t="shared" ref="K38:K41" si="74">D38*SIN(H38)</f>
        <v>272.63129041860975</v>
      </c>
      <c r="L38" s="46">
        <f t="shared" ref="L38:L41" si="75">D38*COS(H38)</f>
        <v>1.4222199842670584</v>
      </c>
      <c r="M38" s="45"/>
      <c r="N38" s="47">
        <f t="shared" ref="N38:N41" si="76">I38+M38</f>
        <v>208.9980555555556</v>
      </c>
      <c r="O38" s="47">
        <f t="shared" si="20"/>
        <v>0</v>
      </c>
      <c r="P38" s="47">
        <f t="shared" ref="P38:P41" si="77">SUM(N38,O38)</f>
        <v>208.9980555555556</v>
      </c>
      <c r="Q38" s="47">
        <f t="shared" ref="Q38:Q41" si="78">RADIANS(P38)</f>
        <v>3.6477041997104718</v>
      </c>
      <c r="R38" s="47">
        <f t="shared" ref="R38:R41" si="79">K38*SIN(Q38)</f>
        <v>-132.16618007558378</v>
      </c>
      <c r="S38" s="47">
        <f t="shared" ref="S38:S41" si="80">K38*COS(Q38)</f>
        <v>-238.45318483833401</v>
      </c>
      <c r="T38" s="45">
        <f t="shared" ref="T38:T41" si="81">Old_X0+R38</f>
        <v>1517303.7088199244</v>
      </c>
      <c r="U38" s="45">
        <f t="shared" ref="U38:U41" si="82">Old_Y0+S38</f>
        <v>3963773.5188151617</v>
      </c>
      <c r="V38" s="47">
        <f t="shared" ref="V38:V41" si="83">Old_Z0+HI+L38-E38</f>
        <v>3319.855419984267</v>
      </c>
      <c r="W38" s="47">
        <f t="shared" ref="W38:W41" si="84">IF(ISNUMBER(T38),V38+dZ,"")</f>
        <v>3319.855419984267</v>
      </c>
      <c r="X38" s="47">
        <f t="shared" si="10"/>
        <v>1517303.7088199244</v>
      </c>
      <c r="Y38" s="47">
        <f t="shared" ref="Y38:Y41" si="85">IF(ISNUMBER(X38),U38,"")</f>
        <v>3963773.5188151617</v>
      </c>
      <c r="Z38" s="47">
        <f t="shared" si="11"/>
        <v>1517298.5955158814</v>
      </c>
      <c r="AA38" s="47">
        <f t="shared" si="12"/>
        <v>3963776.5631993022</v>
      </c>
      <c r="AB38" s="47">
        <f t="shared" ref="AB38:AB41" si="86">IF(ISNUMBER(X38),SQRT((X38-Z38)^2+(Y38-AA38)^2),"")</f>
        <v>5.9509791657143527</v>
      </c>
      <c r="AC38" s="47">
        <f t="shared" ref="AC38:AC41" ca="1" si="87">IF(ISNUMBER(Z38),SQRT(($Z38-OFFSET($Z$20,MATCH(CS_Start,$A$21:$A$51,0),0))^2+($AA38-OFFSET($AA$20,MATCH(CS_Start,$A$21:$A$51,0),0))^2),"")</f>
        <v>270.52904963068875</v>
      </c>
      <c r="AD38" s="47">
        <f t="shared" ref="AD38:AD41" si="88">IF(ISNUMBER(X38),W38-Min_Z,"")</f>
        <v>9.4663262219150965</v>
      </c>
      <c r="AE38" s="47">
        <f t="shared" ca="1" si="32"/>
        <v>270.52999999999997</v>
      </c>
      <c r="AF38" s="47">
        <f t="shared" si="26"/>
        <v>9.4700000000000006</v>
      </c>
      <c r="AH38" s="44">
        <v>270.52999999999997</v>
      </c>
      <c r="AI38" s="44">
        <f t="shared" ca="1" si="27"/>
        <v>9.4700000000000006</v>
      </c>
      <c r="AJ38" s="44" t="str">
        <f t="shared" ca="1" si="28"/>
        <v>270.53,9.47</v>
      </c>
    </row>
    <row r="39" spans="1:36" x14ac:dyDescent="0.25">
      <c r="A39" s="44">
        <v>19</v>
      </c>
      <c r="B39" s="48">
        <v>8.7954282407407405</v>
      </c>
      <c r="C39" s="48">
        <v>3.7402083333333334</v>
      </c>
      <c r="D39" s="44">
        <v>413.89</v>
      </c>
      <c r="E39" s="44">
        <v>4.9062000000000001</v>
      </c>
      <c r="F39" s="44"/>
      <c r="G39" s="43">
        <f t="shared" si="70"/>
        <v>89.765000000000001</v>
      </c>
      <c r="H39" s="43">
        <f t="shared" si="71"/>
        <v>1.5666948030527099</v>
      </c>
      <c r="I39" s="43">
        <f t="shared" si="72"/>
        <v>211.09027777777777</v>
      </c>
      <c r="J39" s="49">
        <f t="shared" si="73"/>
        <v>3.6842203661716413</v>
      </c>
      <c r="K39" s="49">
        <f t="shared" si="74"/>
        <v>413.88651867323711</v>
      </c>
      <c r="L39" s="46">
        <f t="shared" si="75"/>
        <v>1.6975749020695277</v>
      </c>
      <c r="M39" s="45"/>
      <c r="N39" s="47">
        <f t="shared" si="76"/>
        <v>211.09027777777777</v>
      </c>
      <c r="O39" s="47">
        <f t="shared" si="20"/>
        <v>0</v>
      </c>
      <c r="P39" s="47">
        <f t="shared" si="77"/>
        <v>211.09027777777777</v>
      </c>
      <c r="Q39" s="47">
        <f t="shared" si="78"/>
        <v>3.6842203661716413</v>
      </c>
      <c r="R39" s="47">
        <f t="shared" si="79"/>
        <v>-213.72604233755374</v>
      </c>
      <c r="S39" s="47">
        <f t="shared" si="80"/>
        <v>-354.43367386039665</v>
      </c>
      <c r="T39" s="45">
        <f t="shared" si="81"/>
        <v>1517222.1489576625</v>
      </c>
      <c r="U39" s="45">
        <f t="shared" si="82"/>
        <v>3963657.5383261396</v>
      </c>
      <c r="V39" s="47">
        <f t="shared" si="83"/>
        <v>3320.1307749020693</v>
      </c>
      <c r="W39" s="47">
        <f t="shared" si="84"/>
        <v>3320.1307749020693</v>
      </c>
      <c r="X39" s="47">
        <f t="shared" si="10"/>
        <v>1517222.1489576625</v>
      </c>
      <c r="Y39" s="47">
        <f t="shared" si="85"/>
        <v>3963657.5383261396</v>
      </c>
      <c r="Z39" s="47">
        <f t="shared" si="11"/>
        <v>1517226.2693063631</v>
      </c>
      <c r="AA39" s="47">
        <f t="shared" si="12"/>
        <v>3963655.0851326408</v>
      </c>
      <c r="AB39" s="47">
        <f t="shared" si="86"/>
        <v>4.7953552273631752</v>
      </c>
      <c r="AC39" s="47">
        <f t="shared" ca="1" si="87"/>
        <v>411.90797756227289</v>
      </c>
      <c r="AD39" s="47">
        <f t="shared" si="88"/>
        <v>9.741681139717457</v>
      </c>
      <c r="AE39" s="47">
        <f t="shared" ca="1" si="32"/>
        <v>411.91</v>
      </c>
      <c r="AF39" s="47">
        <f t="shared" si="26"/>
        <v>9.74</v>
      </c>
      <c r="AH39" s="44">
        <v>411.91</v>
      </c>
      <c r="AI39" s="44">
        <f t="shared" ca="1" si="27"/>
        <v>9.74</v>
      </c>
      <c r="AJ39" s="44" t="str">
        <f t="shared" ca="1" si="28"/>
        <v>411.91,9.74</v>
      </c>
    </row>
    <row r="40" spans="1:36" x14ac:dyDescent="0.25">
      <c r="A40" s="44">
        <v>20</v>
      </c>
      <c r="B40" s="48">
        <v>8.7677546296296303</v>
      </c>
      <c r="C40" s="48">
        <v>3.7426736111111114</v>
      </c>
      <c r="D40" s="44">
        <v>563.66999999999996</v>
      </c>
      <c r="E40" s="44">
        <v>4.9062000000000001</v>
      </c>
      <c r="F40" s="44"/>
      <c r="G40" s="43">
        <f t="shared" si="70"/>
        <v>89.82416666666667</v>
      </c>
      <c r="H40" s="43">
        <f t="shared" si="71"/>
        <v>1.5677274561934733</v>
      </c>
      <c r="I40" s="43">
        <f t="shared" si="72"/>
        <v>210.42611111111114</v>
      </c>
      <c r="J40" s="49">
        <f t="shared" si="73"/>
        <v>3.6726284710563126</v>
      </c>
      <c r="K40" s="49">
        <f t="shared" si="74"/>
        <v>563.66734568941899</v>
      </c>
      <c r="L40" s="46">
        <f t="shared" si="75"/>
        <v>1.7298275766581868</v>
      </c>
      <c r="M40" s="45"/>
      <c r="N40" s="47">
        <f t="shared" si="76"/>
        <v>210.42611111111114</v>
      </c>
      <c r="O40" s="47">
        <f t="shared" si="20"/>
        <v>0</v>
      </c>
      <c r="P40" s="47">
        <f t="shared" si="77"/>
        <v>210.42611111111114</v>
      </c>
      <c r="Q40" s="47">
        <f t="shared" si="78"/>
        <v>3.6726284710563126</v>
      </c>
      <c r="R40" s="47">
        <f t="shared" si="79"/>
        <v>-285.45623913980143</v>
      </c>
      <c r="S40" s="47">
        <f t="shared" si="80"/>
        <v>-486.04075151443368</v>
      </c>
      <c r="T40" s="45">
        <f t="shared" si="81"/>
        <v>1517150.4187608601</v>
      </c>
      <c r="U40" s="45">
        <f t="shared" si="82"/>
        <v>3963525.9312484856</v>
      </c>
      <c r="V40" s="47">
        <f t="shared" si="83"/>
        <v>3320.1630275766584</v>
      </c>
      <c r="W40" s="47">
        <f t="shared" si="84"/>
        <v>3320.1630275766584</v>
      </c>
      <c r="X40" s="47">
        <f t="shared" si="10"/>
        <v>1517150.4187608601</v>
      </c>
      <c r="Y40" s="47">
        <f t="shared" si="85"/>
        <v>3963525.9312484856</v>
      </c>
      <c r="Z40" s="47">
        <f t="shared" si="11"/>
        <v>1517149.6467099211</v>
      </c>
      <c r="AA40" s="47">
        <f t="shared" si="12"/>
        <v>3963526.3909159754</v>
      </c>
      <c r="AB40" s="47">
        <f t="shared" si="86"/>
        <v>0.89853038551966891</v>
      </c>
      <c r="AC40" s="47">
        <f t="shared" ca="1" si="87"/>
        <v>561.68522446119539</v>
      </c>
      <c r="AD40" s="47">
        <f t="shared" si="88"/>
        <v>9.7739338143064742</v>
      </c>
      <c r="AE40" s="47">
        <f t="shared" ca="1" si="32"/>
        <v>561.69000000000005</v>
      </c>
      <c r="AF40" s="47">
        <f t="shared" si="26"/>
        <v>9.77</v>
      </c>
      <c r="AH40" s="44">
        <v>561.69000000000005</v>
      </c>
      <c r="AI40" s="44">
        <f t="shared" ca="1" si="27"/>
        <v>9.77</v>
      </c>
      <c r="AJ40" s="44" t="str">
        <f t="shared" ca="1" si="28"/>
        <v>561.69,9.77</v>
      </c>
    </row>
    <row r="41" spans="1:36" x14ac:dyDescent="0.25">
      <c r="A41" s="44">
        <v>21</v>
      </c>
      <c r="B41" s="48">
        <v>8.7813310185185181</v>
      </c>
      <c r="C41" s="48">
        <v>3.7312268518518521</v>
      </c>
      <c r="D41" s="44">
        <v>713.44600000000003</v>
      </c>
      <c r="E41" s="44">
        <v>8.7395999999999994</v>
      </c>
      <c r="F41" s="49" t="s">
        <v>89</v>
      </c>
      <c r="G41" s="43">
        <f t="shared" si="70"/>
        <v>89.549444444444447</v>
      </c>
      <c r="H41" s="43">
        <f t="shared" si="71"/>
        <v>1.5629326488872999</v>
      </c>
      <c r="I41" s="43">
        <f t="shared" si="72"/>
        <v>210.75194444444443</v>
      </c>
      <c r="J41" s="49">
        <f t="shared" si="73"/>
        <v>3.6783153355357272</v>
      </c>
      <c r="K41" s="49">
        <f t="shared" si="74"/>
        <v>713.42394128004605</v>
      </c>
      <c r="L41" s="46">
        <f t="shared" si="75"/>
        <v>5.6102517274544894</v>
      </c>
      <c r="M41" s="45"/>
      <c r="N41" s="47">
        <f t="shared" si="76"/>
        <v>210.75194444444443</v>
      </c>
      <c r="O41" s="47">
        <f t="shared" si="20"/>
        <v>0</v>
      </c>
      <c r="P41" s="47">
        <f t="shared" si="77"/>
        <v>210.75194444444443</v>
      </c>
      <c r="Q41" s="47">
        <f t="shared" si="78"/>
        <v>3.6783153355357272</v>
      </c>
      <c r="R41" s="47">
        <f t="shared" si="79"/>
        <v>-364.78953587340521</v>
      </c>
      <c r="S41" s="47">
        <f t="shared" si="80"/>
        <v>-613.10872976073358</v>
      </c>
      <c r="T41" s="45">
        <f t="shared" si="81"/>
        <v>1517071.0854641267</v>
      </c>
      <c r="U41" s="45">
        <f t="shared" si="82"/>
        <v>3963398.8632702394</v>
      </c>
      <c r="V41" s="47">
        <f t="shared" si="83"/>
        <v>3320.2100517274544</v>
      </c>
      <c r="W41" s="47">
        <f t="shared" si="84"/>
        <v>3320.2100517274544</v>
      </c>
      <c r="X41" s="47">
        <f t="shared" si="10"/>
        <v>1517071.0854641267</v>
      </c>
      <c r="Y41" s="47">
        <f t="shared" si="85"/>
        <v>3963398.8632702394</v>
      </c>
      <c r="Z41" s="47">
        <f t="shared" si="11"/>
        <v>1517073.0295325958</v>
      </c>
      <c r="AA41" s="47">
        <f t="shared" si="12"/>
        <v>3963397.705801181</v>
      </c>
      <c r="AB41" s="47">
        <f t="shared" si="86"/>
        <v>2.2625509571613209</v>
      </c>
      <c r="AC41" s="47">
        <f t="shared" ca="1" si="87"/>
        <v>711.45187839639982</v>
      </c>
      <c r="AD41" s="47">
        <f t="shared" si="88"/>
        <v>9.8209579651024796</v>
      </c>
      <c r="AE41" s="47">
        <f t="shared" ca="1" si="32"/>
        <v>711.45</v>
      </c>
      <c r="AF41" s="47">
        <f t="shared" si="26"/>
        <v>9.82</v>
      </c>
      <c r="AH41" s="2">
        <v>711.45</v>
      </c>
      <c r="AI41" s="44">
        <f t="shared" ca="1" si="27"/>
        <v>9.82</v>
      </c>
      <c r="AJ41" s="44" t="str">
        <f t="shared" ca="1" si="28"/>
        <v>711.45,9.82</v>
      </c>
    </row>
    <row r="42" spans="1:36" x14ac:dyDescent="0.25">
      <c r="A42" s="44">
        <v>22</v>
      </c>
      <c r="B42" s="48">
        <v>14.99886574074074</v>
      </c>
      <c r="C42" s="48">
        <v>3.8172800925925929</v>
      </c>
      <c r="D42" s="44">
        <v>60.832000000000001</v>
      </c>
      <c r="E42" s="44">
        <v>4.9062000000000001</v>
      </c>
      <c r="F42" s="49" t="s">
        <v>69</v>
      </c>
      <c r="G42" s="43">
        <f t="shared" ref="G42:G46" si="89">C42*24</f>
        <v>91.614722222222227</v>
      </c>
      <c r="H42" s="43">
        <f t="shared" ref="H42:H46" si="90">RADIANS(G42)</f>
        <v>1.5989785460777941</v>
      </c>
      <c r="I42" s="43">
        <f t="shared" ref="I42:I46" si="91">B42*24</f>
        <v>359.97277777777776</v>
      </c>
      <c r="J42" s="49">
        <f t="shared" ref="J42:J46" si="92">RADIANS(I42)</f>
        <v>6.2827101897720992</v>
      </c>
      <c r="K42" s="49">
        <f t="shared" ref="K42:K46" si="93">D42*SIN(H42)</f>
        <v>60.807844071554307</v>
      </c>
      <c r="L42" s="46">
        <f t="shared" ref="L42:L46" si="94">D42*COS(H42)</f>
        <v>-1.7141538348518899</v>
      </c>
      <c r="M42" s="45"/>
      <c r="N42" s="47">
        <f t="shared" ref="N42:N46" si="95">I42+M42</f>
        <v>359.97277777777776</v>
      </c>
      <c r="O42" s="47">
        <f t="shared" si="20"/>
        <v>0</v>
      </c>
      <c r="P42" s="47">
        <f t="shared" ref="P42:P46" si="96">SUM(N42,O42)</f>
        <v>359.97277777777776</v>
      </c>
      <c r="Q42" s="47">
        <f t="shared" ref="Q42:Q46" si="97">RADIANS(P42)</f>
        <v>6.2827101897720992</v>
      </c>
      <c r="R42" s="47">
        <f t="shared" ref="R42:R46" si="98">K42*SIN(Q42)</f>
        <v>-2.8890864143215685E-2</v>
      </c>
      <c r="S42" s="47">
        <f t="shared" ref="S42:S46" si="99">K42*COS(Q42)</f>
        <v>60.807837208277945</v>
      </c>
      <c r="T42" s="45">
        <f t="shared" ref="T42:T46" si="100">Old_X0+R42</f>
        <v>1517435.8461091358</v>
      </c>
      <c r="U42" s="45">
        <f t="shared" ref="U42:U46" si="101">Old_Y0+S42</f>
        <v>3964072.7798372083</v>
      </c>
      <c r="V42" s="47">
        <f t="shared" ref="V42:V46" si="102">Old_Z0+HI+L42-E42</f>
        <v>3316.719046165148</v>
      </c>
      <c r="W42" s="47">
        <f t="shared" ref="W42:W46" si="103">IF(ISNUMBER(T42),V42+dZ,"")</f>
        <v>3316.719046165148</v>
      </c>
      <c r="X42" s="47" t="str">
        <f t="shared" si="10"/>
        <v/>
      </c>
      <c r="Y42" s="47" t="str">
        <f t="shared" ref="Y42:Y46" si="104">IF(ISNUMBER(X42),U42,"")</f>
        <v/>
      </c>
      <c r="Z42" s="47" t="e">
        <f t="shared" si="11"/>
        <v>#N/A</v>
      </c>
      <c r="AA42" s="47" t="e">
        <f t="shared" si="12"/>
        <v>#N/A</v>
      </c>
      <c r="AB42" s="47" t="str">
        <f t="shared" ref="AB42:AB46" si="105">IF(ISNUMBER(X42),SQRT((X42-Z42)^2+(Y42-AA42)^2),"")</f>
        <v/>
      </c>
      <c r="AC42" s="47" t="str">
        <f t="shared" ref="AC42:AC46" ca="1" si="106">IF(ISNUMBER(Z42),SQRT(($Z42-OFFSET($Z$20,MATCH(CS_Start,$A$21:$A$51,0),0))^2+($AA42-OFFSET($AA$20,MATCH(CS_Start,$A$21:$A$51,0),0))^2),"")</f>
        <v/>
      </c>
      <c r="AD42" s="47" t="str">
        <f t="shared" ref="AD42:AD46" si="107">IF(ISNUMBER(X42),W42-Min_Z,"")</f>
        <v/>
      </c>
      <c r="AE42" s="47" t="e">
        <f t="shared" ca="1" si="32"/>
        <v>#VALUE!</v>
      </c>
      <c r="AF42" s="47" t="e">
        <f t="shared" si="26"/>
        <v>#VALUE!</v>
      </c>
      <c r="AI42" s="44"/>
      <c r="AJ42" s="44"/>
    </row>
    <row r="43" spans="1:36" x14ac:dyDescent="0.25">
      <c r="A43" s="44">
        <v>23</v>
      </c>
      <c r="B43" s="48">
        <v>2.2055324074074076</v>
      </c>
      <c r="C43" s="48">
        <v>3.7793402777777776</v>
      </c>
      <c r="D43" s="44">
        <v>42.505000000000003</v>
      </c>
      <c r="E43" s="44">
        <v>4.9062000000000001</v>
      </c>
      <c r="F43" s="49" t="s">
        <v>70</v>
      </c>
      <c r="G43" s="43">
        <f t="shared" si="89"/>
        <v>90.704166666666666</v>
      </c>
      <c r="H43" s="43">
        <f t="shared" si="90"/>
        <v>1.5830863536110233</v>
      </c>
      <c r="I43" s="43">
        <f t="shared" si="91"/>
        <v>52.932777777777787</v>
      </c>
      <c r="J43" s="49">
        <f t="shared" si="92"/>
        <v>0.92385125444870975</v>
      </c>
      <c r="K43" s="49">
        <f t="shared" si="93"/>
        <v>42.501789961661615</v>
      </c>
      <c r="L43" s="46">
        <f t="shared" si="94"/>
        <v>-0.5223744392675026</v>
      </c>
      <c r="M43" s="45"/>
      <c r="N43" s="47">
        <f t="shared" si="95"/>
        <v>52.932777777777787</v>
      </c>
      <c r="O43" s="47">
        <f t="shared" si="20"/>
        <v>0</v>
      </c>
      <c r="P43" s="47">
        <f t="shared" si="96"/>
        <v>52.932777777777787</v>
      </c>
      <c r="Q43" s="47">
        <f t="shared" si="97"/>
        <v>0.92385125444870975</v>
      </c>
      <c r="R43" s="47">
        <f t="shared" si="98"/>
        <v>33.913405730268671</v>
      </c>
      <c r="S43" s="47">
        <f t="shared" si="99"/>
        <v>25.6180222054588</v>
      </c>
      <c r="T43" s="45">
        <f t="shared" si="100"/>
        <v>1517469.7884057302</v>
      </c>
      <c r="U43" s="45">
        <f t="shared" si="101"/>
        <v>3964037.5900222054</v>
      </c>
      <c r="V43" s="47">
        <f t="shared" si="102"/>
        <v>3317.9108255607325</v>
      </c>
      <c r="W43" s="47">
        <f t="shared" si="103"/>
        <v>3317.9108255607325</v>
      </c>
      <c r="X43" s="47" t="str">
        <f t="shared" si="10"/>
        <v/>
      </c>
      <c r="Y43" s="47" t="str">
        <f t="shared" si="104"/>
        <v/>
      </c>
      <c r="Z43" s="47" t="e">
        <f t="shared" si="11"/>
        <v>#N/A</v>
      </c>
      <c r="AA43" s="47" t="e">
        <f t="shared" si="12"/>
        <v>#N/A</v>
      </c>
      <c r="AB43" s="47" t="str">
        <f t="shared" si="105"/>
        <v/>
      </c>
      <c r="AC43" s="47" t="str">
        <f t="shared" ca="1" si="106"/>
        <v/>
      </c>
      <c r="AD43" s="47" t="str">
        <f t="shared" si="107"/>
        <v/>
      </c>
      <c r="AE43" s="47" t="e">
        <f t="shared" ca="1" si="32"/>
        <v>#VALUE!</v>
      </c>
      <c r="AF43" s="47" t="e">
        <f t="shared" si="26"/>
        <v>#VALUE!</v>
      </c>
      <c r="AI43" s="44"/>
      <c r="AJ43" s="44"/>
    </row>
    <row r="44" spans="1:36" x14ac:dyDescent="0.25">
      <c r="A44" s="44"/>
      <c r="B44" s="48"/>
      <c r="C44" s="48"/>
      <c r="D44" s="44"/>
      <c r="E44" s="44"/>
      <c r="F44" s="49"/>
      <c r="G44" s="43"/>
      <c r="H44" s="43"/>
      <c r="I44" s="43"/>
      <c r="J44" s="49"/>
      <c r="K44" s="49"/>
      <c r="L44" s="46"/>
      <c r="M44" s="45"/>
      <c r="N44" s="47"/>
      <c r="O44" s="47"/>
      <c r="P44" s="47"/>
      <c r="Q44" s="47"/>
      <c r="R44" s="47"/>
      <c r="S44" s="47"/>
      <c r="T44" s="45"/>
      <c r="U44" s="45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I44" s="44"/>
      <c r="AJ44" s="44"/>
    </row>
    <row r="45" spans="1:36" x14ac:dyDescent="0.25">
      <c r="A45" s="44"/>
      <c r="B45" s="48"/>
      <c r="C45" s="48"/>
      <c r="D45" s="44"/>
      <c r="E45" s="44"/>
      <c r="F45" s="49"/>
      <c r="G45" s="43"/>
      <c r="H45" s="43"/>
      <c r="I45" s="43"/>
      <c r="J45" s="49"/>
      <c r="K45" s="49"/>
      <c r="L45" s="46"/>
      <c r="M45" s="45"/>
      <c r="N45" s="47"/>
      <c r="O45" s="47"/>
      <c r="P45" s="47"/>
      <c r="Q45" s="47"/>
      <c r="R45" s="47"/>
      <c r="S45" s="47"/>
      <c r="T45" s="45"/>
      <c r="U45" s="45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</row>
    <row r="46" spans="1:36" x14ac:dyDescent="0.25">
      <c r="A46" s="44"/>
      <c r="B46" s="48"/>
      <c r="C46" s="48"/>
      <c r="D46" s="44"/>
      <c r="E46" s="44"/>
      <c r="F46" s="49"/>
      <c r="G46" s="43"/>
      <c r="H46" s="43"/>
      <c r="I46" s="43"/>
      <c r="J46" s="49"/>
      <c r="K46" s="49"/>
      <c r="L46" s="46"/>
      <c r="M46" s="45"/>
      <c r="N46" s="47"/>
      <c r="O46" s="47"/>
      <c r="P46" s="47"/>
      <c r="Q46" s="47"/>
      <c r="R46" s="47"/>
      <c r="S46" s="47"/>
      <c r="T46" s="45"/>
      <c r="U46" s="45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</row>
    <row r="47" spans="1:36" x14ac:dyDescent="0.25">
      <c r="A47" s="44"/>
      <c r="B47" s="48"/>
      <c r="C47" s="48"/>
      <c r="D47" s="44"/>
      <c r="E47" s="44"/>
      <c r="F47" s="44"/>
      <c r="G47" s="43"/>
      <c r="H47" s="43"/>
      <c r="I47" s="43"/>
      <c r="J47" s="49"/>
      <c r="K47" s="49"/>
      <c r="L47" s="46"/>
      <c r="M47" s="45"/>
      <c r="N47" s="47"/>
      <c r="O47" s="47"/>
      <c r="P47" s="47"/>
      <c r="Q47" s="47"/>
      <c r="R47" s="47"/>
      <c r="S47" s="47"/>
      <c r="T47" s="45"/>
      <c r="U47" s="45"/>
      <c r="V47" s="47"/>
      <c r="W47" s="47"/>
      <c r="X47" s="47"/>
      <c r="Y47" s="47"/>
      <c r="Z47" s="47"/>
      <c r="AA47" s="47"/>
      <c r="AB47" s="47"/>
      <c r="AC47" s="47"/>
      <c r="AD47" s="47"/>
      <c r="AE47" s="44"/>
      <c r="AF47" s="44"/>
    </row>
    <row r="48" spans="1:36" x14ac:dyDescent="0.25">
      <c r="A48" s="44"/>
      <c r="B48" s="48"/>
      <c r="C48" s="48"/>
      <c r="D48" s="44"/>
      <c r="E48" s="44"/>
      <c r="F48" s="44"/>
      <c r="G48" s="43"/>
      <c r="H48" s="43"/>
      <c r="I48" s="43"/>
      <c r="J48" s="49"/>
      <c r="K48" s="49"/>
      <c r="L48" s="46"/>
      <c r="M48" s="45"/>
      <c r="N48" s="47"/>
      <c r="O48" s="47"/>
      <c r="P48" s="47"/>
      <c r="Q48" s="47"/>
      <c r="R48" s="47"/>
      <c r="S48" s="47"/>
      <c r="T48" s="45"/>
      <c r="U48" s="45"/>
      <c r="V48" s="47"/>
      <c r="W48" s="47"/>
      <c r="X48" s="47"/>
      <c r="Y48" s="47"/>
      <c r="Z48" s="47"/>
      <c r="AA48" s="47"/>
      <c r="AB48" s="47"/>
      <c r="AC48" s="47"/>
      <c r="AD48" s="47"/>
      <c r="AE48" s="44"/>
      <c r="AF48" s="44"/>
    </row>
    <row r="49" spans="1:36" x14ac:dyDescent="0.25">
      <c r="A49" s="44"/>
      <c r="B49" s="48"/>
      <c r="C49" s="48"/>
      <c r="D49" s="44"/>
      <c r="E49" s="44"/>
      <c r="F49" s="44"/>
      <c r="G49" s="43"/>
      <c r="H49" s="43"/>
      <c r="I49" s="43"/>
      <c r="J49" s="49"/>
      <c r="K49" s="49"/>
      <c r="L49" s="46"/>
      <c r="M49" s="45"/>
      <c r="N49" s="47"/>
      <c r="O49" s="47"/>
      <c r="P49" s="47"/>
      <c r="Q49" s="47"/>
      <c r="R49" s="47"/>
      <c r="S49" s="47"/>
      <c r="T49" s="45"/>
      <c r="U49" s="45"/>
      <c r="V49" s="47"/>
      <c r="W49" s="47"/>
      <c r="X49" s="47"/>
      <c r="Y49" s="47"/>
      <c r="Z49" s="47"/>
      <c r="AA49" s="47"/>
      <c r="AB49" s="47"/>
      <c r="AC49" s="47"/>
      <c r="AD49" s="47"/>
      <c r="AE49" s="44"/>
      <c r="AF49" s="44"/>
    </row>
    <row r="50" spans="1:36" x14ac:dyDescent="0.25">
      <c r="A50" s="44"/>
      <c r="B50" s="48"/>
      <c r="C50" s="48"/>
      <c r="D50" s="44"/>
      <c r="E50" s="44"/>
      <c r="F50" s="44"/>
      <c r="G50" s="43"/>
      <c r="H50" s="43"/>
      <c r="I50" s="43"/>
      <c r="J50" s="49"/>
      <c r="K50" s="49"/>
      <c r="L50" s="46"/>
      <c r="M50" s="45"/>
      <c r="N50" s="47"/>
      <c r="O50" s="47"/>
      <c r="P50" s="47"/>
      <c r="Q50" s="47"/>
      <c r="R50" s="47"/>
      <c r="S50" s="47"/>
      <c r="T50" s="45"/>
      <c r="U50" s="45"/>
      <c r="V50" s="47"/>
      <c r="W50" s="47"/>
      <c r="X50" s="47"/>
      <c r="Y50" s="47"/>
      <c r="Z50" s="47"/>
      <c r="AA50" s="47"/>
      <c r="AB50" s="47"/>
      <c r="AC50" s="47"/>
      <c r="AD50" s="47"/>
      <c r="AE50" s="44"/>
      <c r="AF50" s="44"/>
    </row>
    <row r="51" spans="1:36" x14ac:dyDescent="0.25">
      <c r="A51" s="44"/>
      <c r="B51" s="48"/>
      <c r="C51" s="48"/>
      <c r="D51" s="44"/>
      <c r="E51" s="44"/>
      <c r="F51" s="49"/>
      <c r="G51" s="43"/>
      <c r="H51" s="43"/>
      <c r="I51" s="43"/>
      <c r="J51" s="49"/>
      <c r="K51" s="49"/>
      <c r="L51" s="46"/>
      <c r="M51" s="45"/>
      <c r="N51" s="47"/>
      <c r="O51" s="47"/>
      <c r="P51" s="47"/>
      <c r="Q51" s="47"/>
      <c r="R51" s="47"/>
      <c r="S51" s="47"/>
      <c r="T51" s="45"/>
      <c r="U51" s="45"/>
      <c r="V51" s="47"/>
      <c r="W51" s="47"/>
      <c r="X51" s="47"/>
      <c r="Y51" s="47"/>
      <c r="Z51" s="47"/>
      <c r="AA51" s="47"/>
      <c r="AB51" s="47"/>
      <c r="AC51" s="47"/>
      <c r="AD51" s="47"/>
      <c r="AE51" s="44"/>
      <c r="AF51" s="44"/>
    </row>
    <row r="52" spans="1:36" x14ac:dyDescent="0.25">
      <c r="A52" s="44"/>
      <c r="B52" s="48"/>
      <c r="C52" s="48"/>
      <c r="D52" s="44"/>
      <c r="E52" s="44"/>
      <c r="F52" s="44"/>
      <c r="G52" s="43"/>
      <c r="H52" s="43"/>
      <c r="I52" s="43"/>
      <c r="J52" s="49"/>
      <c r="K52" s="49"/>
      <c r="L52" s="46"/>
      <c r="M52" s="45"/>
      <c r="N52" s="47"/>
      <c r="O52" s="47"/>
      <c r="P52" s="47"/>
      <c r="Q52" s="47"/>
      <c r="R52" s="47"/>
      <c r="S52" s="47"/>
      <c r="T52" s="45"/>
      <c r="U52" s="45"/>
      <c r="V52" s="47"/>
      <c r="W52" s="47"/>
      <c r="X52" s="47"/>
      <c r="Y52" s="47"/>
      <c r="Z52" s="47"/>
      <c r="AA52" s="47"/>
      <c r="AB52" s="47"/>
      <c r="AC52" s="47"/>
      <c r="AD52" s="47"/>
      <c r="AE52" s="44"/>
      <c r="AF52" s="44"/>
    </row>
    <row r="53" spans="1:36" x14ac:dyDescent="0.25">
      <c r="A53" s="44"/>
      <c r="B53" s="48"/>
      <c r="C53" s="48"/>
      <c r="D53" s="44"/>
      <c r="E53" s="44"/>
      <c r="F53" s="49"/>
      <c r="G53" s="43"/>
      <c r="H53" s="43"/>
      <c r="I53" s="43"/>
      <c r="J53" s="49"/>
      <c r="K53" s="49"/>
      <c r="L53" s="46"/>
      <c r="M53" s="45"/>
      <c r="N53" s="47"/>
      <c r="O53" s="47"/>
      <c r="P53" s="47"/>
      <c r="Q53" s="47"/>
      <c r="R53" s="47"/>
      <c r="S53" s="47"/>
      <c r="T53" s="45"/>
      <c r="U53" s="45"/>
      <c r="V53" s="47"/>
      <c r="W53" s="47"/>
      <c r="X53" s="47"/>
      <c r="Y53" s="47"/>
      <c r="Z53" s="47"/>
      <c r="AA53" s="47"/>
      <c r="AB53" s="47"/>
      <c r="AC53" s="47"/>
      <c r="AD53" s="47"/>
      <c r="AE53" s="44"/>
      <c r="AF53" s="44"/>
    </row>
    <row r="54" spans="1:36" x14ac:dyDescent="0.25">
      <c r="A54" s="44"/>
      <c r="B54" s="48"/>
      <c r="C54" s="48"/>
      <c r="D54" s="44"/>
      <c r="E54" s="44"/>
      <c r="F54" s="44"/>
      <c r="G54" s="43"/>
      <c r="H54" s="43"/>
      <c r="I54" s="43"/>
      <c r="J54" s="49"/>
      <c r="K54" s="49"/>
      <c r="L54" s="46"/>
      <c r="M54" s="45"/>
      <c r="N54" s="47"/>
      <c r="O54" s="47"/>
      <c r="P54" s="47"/>
      <c r="Q54" s="47"/>
      <c r="R54" s="47"/>
      <c r="S54" s="47"/>
      <c r="T54" s="45"/>
      <c r="U54" s="45"/>
      <c r="V54" s="47"/>
      <c r="W54" s="47"/>
      <c r="X54" s="47"/>
      <c r="Y54" s="47"/>
      <c r="Z54" s="47"/>
      <c r="AA54" s="47"/>
      <c r="AB54" s="47"/>
      <c r="AC54" s="47"/>
      <c r="AD54" s="47"/>
      <c r="AE54" s="44"/>
      <c r="AF54" s="44"/>
    </row>
    <row r="55" spans="1:36" x14ac:dyDescent="0.25">
      <c r="A55" s="44"/>
      <c r="B55" s="48"/>
      <c r="C55" s="48"/>
      <c r="D55" s="44"/>
      <c r="E55" s="44"/>
      <c r="F55" s="44"/>
      <c r="G55" s="43"/>
      <c r="H55" s="43"/>
      <c r="I55" s="43"/>
      <c r="J55" s="49"/>
      <c r="K55" s="49"/>
      <c r="L55" s="46"/>
      <c r="M55" s="45"/>
      <c r="N55" s="47"/>
      <c r="O55" s="47"/>
      <c r="P55" s="47"/>
      <c r="Q55" s="47"/>
      <c r="R55" s="47"/>
      <c r="S55" s="47"/>
      <c r="T55" s="45"/>
      <c r="U55" s="45"/>
      <c r="V55" s="47"/>
      <c r="W55" s="47"/>
      <c r="X55" s="47"/>
      <c r="Y55" s="47"/>
      <c r="Z55" s="47"/>
      <c r="AA55" s="47"/>
      <c r="AB55" s="47"/>
      <c r="AC55" s="47"/>
      <c r="AD55" s="47"/>
      <c r="AE55" s="44"/>
      <c r="AF55" s="44"/>
    </row>
    <row r="56" spans="1:36" x14ac:dyDescent="0.25">
      <c r="A56" s="44"/>
      <c r="B56" s="48"/>
      <c r="C56" s="50"/>
      <c r="D56" s="44"/>
      <c r="E56" s="44"/>
      <c r="F56" s="50"/>
      <c r="G56" s="43"/>
      <c r="H56" s="43"/>
      <c r="I56" s="43"/>
      <c r="J56" s="49"/>
      <c r="K56" s="49"/>
      <c r="L56" s="46"/>
      <c r="M56" s="45"/>
      <c r="N56" s="47"/>
      <c r="O56" s="47"/>
      <c r="P56" s="47"/>
      <c r="Q56" s="47"/>
      <c r="R56" s="47"/>
      <c r="S56" s="47"/>
      <c r="T56" s="45"/>
      <c r="U56" s="45"/>
      <c r="V56" s="47"/>
      <c r="W56" s="47"/>
      <c r="X56" s="47"/>
      <c r="Y56" s="47"/>
      <c r="Z56" s="47"/>
      <c r="AA56" s="47"/>
      <c r="AB56" s="47"/>
      <c r="AC56" s="47"/>
      <c r="AD56" s="47"/>
      <c r="AE56" s="44"/>
      <c r="AF56" s="44"/>
    </row>
    <row r="57" spans="1:36" x14ac:dyDescent="0.25">
      <c r="A57" s="44"/>
      <c r="B57" s="48"/>
      <c r="C57" s="48"/>
      <c r="D57" s="44"/>
      <c r="E57" s="44"/>
      <c r="F57" s="44"/>
      <c r="G57" s="43"/>
      <c r="H57" s="43"/>
      <c r="I57" s="43"/>
      <c r="J57" s="49"/>
      <c r="K57" s="49"/>
      <c r="L57" s="46"/>
      <c r="M57" s="45"/>
      <c r="N57" s="47"/>
      <c r="O57" s="47"/>
      <c r="P57" s="47"/>
      <c r="Q57" s="47"/>
      <c r="R57" s="47"/>
      <c r="S57" s="47"/>
      <c r="T57" s="45"/>
      <c r="U57" s="45"/>
      <c r="V57" s="47"/>
      <c r="W57" s="47"/>
      <c r="X57" s="47"/>
      <c r="Y57" s="47"/>
      <c r="Z57" s="47"/>
      <c r="AA57" s="47"/>
      <c r="AB57" s="47"/>
      <c r="AC57" s="47"/>
      <c r="AD57" s="47"/>
      <c r="AE57" s="44"/>
      <c r="AF57" s="44"/>
    </row>
    <row r="58" spans="1:36" x14ac:dyDescent="0.25">
      <c r="A58" s="44"/>
      <c r="B58" s="48"/>
      <c r="C58" s="48"/>
      <c r="D58" s="44"/>
      <c r="E58" s="44"/>
      <c r="F58" s="44"/>
      <c r="G58" s="43"/>
      <c r="H58" s="43"/>
      <c r="I58" s="43"/>
      <c r="J58" s="49"/>
      <c r="K58" s="49"/>
      <c r="L58" s="46"/>
      <c r="M58" s="45"/>
      <c r="N58" s="47"/>
      <c r="O58" s="47"/>
      <c r="P58" s="47"/>
      <c r="Q58" s="47"/>
      <c r="R58" s="47"/>
      <c r="S58" s="47"/>
      <c r="T58" s="45"/>
      <c r="U58" s="45"/>
      <c r="V58" s="47"/>
      <c r="W58" s="47"/>
      <c r="X58" s="47"/>
      <c r="Y58" s="47"/>
      <c r="Z58" s="47"/>
      <c r="AA58" s="47"/>
      <c r="AB58" s="47"/>
      <c r="AC58" s="47"/>
      <c r="AD58" s="47"/>
      <c r="AE58" s="44"/>
      <c r="AF58" s="44"/>
    </row>
    <row r="59" spans="1:36" x14ac:dyDescent="0.25">
      <c r="A59" s="44"/>
      <c r="B59" s="48"/>
      <c r="C59" s="48"/>
      <c r="D59" s="44"/>
      <c r="E59" s="44"/>
      <c r="F59" s="44"/>
      <c r="G59" s="43"/>
      <c r="H59" s="43"/>
      <c r="I59" s="43"/>
      <c r="J59" s="49"/>
      <c r="K59" s="49"/>
      <c r="L59" s="46"/>
      <c r="M59" s="45"/>
      <c r="N59" s="47"/>
      <c r="O59" s="47"/>
      <c r="P59" s="47"/>
      <c r="Q59" s="47"/>
      <c r="R59" s="47"/>
      <c r="S59" s="47"/>
      <c r="T59" s="45"/>
      <c r="U59" s="45"/>
      <c r="V59" s="47"/>
      <c r="W59" s="47"/>
      <c r="X59" s="47"/>
      <c r="Y59" s="47"/>
      <c r="Z59" s="47"/>
      <c r="AA59" s="47"/>
      <c r="AB59" s="47"/>
      <c r="AC59" s="47"/>
      <c r="AD59" s="47"/>
      <c r="AE59" s="44"/>
      <c r="AF59" s="44"/>
    </row>
    <row r="60" spans="1:36" x14ac:dyDescent="0.25">
      <c r="A60" s="44"/>
      <c r="B60" s="48"/>
      <c r="C60" s="48"/>
      <c r="D60" s="44"/>
      <c r="E60" s="44"/>
      <c r="F60" s="49"/>
      <c r="G60" s="43"/>
      <c r="H60" s="43"/>
      <c r="I60" s="43"/>
      <c r="J60" s="49"/>
      <c r="K60" s="49"/>
      <c r="L60" s="46"/>
      <c r="M60" s="45"/>
      <c r="N60" s="47"/>
      <c r="O60" s="47"/>
      <c r="P60" s="47"/>
      <c r="Q60" s="47"/>
      <c r="R60" s="47"/>
      <c r="S60" s="47"/>
      <c r="T60" s="45"/>
      <c r="U60" s="45"/>
      <c r="V60" s="47"/>
      <c r="W60" s="47"/>
      <c r="X60" s="47"/>
      <c r="Y60" s="47"/>
      <c r="Z60" s="47"/>
      <c r="AA60" s="47"/>
      <c r="AB60" s="47"/>
      <c r="AC60" s="47"/>
      <c r="AD60" s="47"/>
      <c r="AE60" s="44"/>
      <c r="AF60" s="44"/>
      <c r="AH60" s="44"/>
      <c r="AI60" s="44"/>
      <c r="AJ60" s="44"/>
    </row>
    <row r="61" spans="1:36" x14ac:dyDescent="0.25">
      <c r="A61" s="44"/>
      <c r="B61" s="48"/>
      <c r="C61" s="48"/>
      <c r="D61" s="44"/>
      <c r="E61" s="44"/>
      <c r="F61" s="49"/>
      <c r="G61" s="43"/>
      <c r="H61" s="43"/>
      <c r="I61" s="43"/>
      <c r="J61" s="49"/>
      <c r="K61" s="49"/>
      <c r="L61" s="46"/>
      <c r="M61" s="45"/>
      <c r="N61" s="47"/>
      <c r="O61" s="47"/>
      <c r="P61" s="47"/>
      <c r="Q61" s="47"/>
      <c r="R61" s="47"/>
      <c r="S61" s="47"/>
      <c r="T61" s="45"/>
      <c r="U61" s="45"/>
      <c r="V61" s="47"/>
      <c r="W61" s="47"/>
      <c r="X61" s="47"/>
      <c r="Y61" s="47"/>
      <c r="Z61" s="47"/>
      <c r="AA61" s="47"/>
      <c r="AB61" s="47"/>
      <c r="AC61" s="47"/>
      <c r="AD61" s="47"/>
      <c r="AE61" s="44"/>
      <c r="AF61" s="44"/>
      <c r="AH61" s="44"/>
      <c r="AI61" s="44"/>
      <c r="AJ61" s="44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V62" s="2"/>
      <c r="W62" s="13"/>
      <c r="X62" s="2"/>
      <c r="Y62" s="2"/>
      <c r="Z62" s="2"/>
      <c r="AH62" s="44"/>
      <c r="AI62" s="44"/>
      <c r="AJ62" s="44"/>
    </row>
    <row r="63" spans="1:36" x14ac:dyDescent="0.25">
      <c r="A63" s="40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V63" s="2"/>
      <c r="W63" s="13"/>
      <c r="X63" s="2"/>
      <c r="Y63" s="2"/>
      <c r="Z63" s="2"/>
      <c r="AH63" s="44"/>
      <c r="AI63" s="44"/>
      <c r="AJ63" s="44"/>
    </row>
    <row r="64" spans="1:36" x14ac:dyDescent="0.25">
      <c r="A64" s="40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V64" s="2"/>
      <c r="W64" s="13"/>
      <c r="X64" s="2"/>
      <c r="Y64" s="2"/>
      <c r="Z64" s="2"/>
      <c r="AH64" s="44"/>
      <c r="AI64" s="44"/>
      <c r="AJ64" s="44"/>
    </row>
    <row r="65" spans="1:36" x14ac:dyDescent="0.25">
      <c r="A65" s="40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V65" s="2"/>
      <c r="W65" s="13"/>
      <c r="X65" s="2"/>
      <c r="Y65" s="2"/>
      <c r="Z65" s="2"/>
      <c r="AH65" s="44"/>
      <c r="AI65" s="44"/>
      <c r="AJ65" s="44"/>
    </row>
    <row r="66" spans="1:36" x14ac:dyDescent="0.25">
      <c r="A66" s="40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V66" s="2"/>
      <c r="W66" s="13"/>
      <c r="X66" s="2"/>
      <c r="Y66" s="2"/>
      <c r="Z66" s="2"/>
      <c r="AH66" s="44"/>
      <c r="AI66" s="44"/>
      <c r="AJ66" s="44"/>
    </row>
    <row r="67" spans="1:36" x14ac:dyDescent="0.25">
      <c r="A67" s="40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V67" s="2"/>
      <c r="W67" s="13"/>
      <c r="X67" s="2"/>
      <c r="Y67" s="2"/>
      <c r="Z67" s="2"/>
    </row>
    <row r="68" spans="1:36" x14ac:dyDescent="0.25">
      <c r="A68" s="40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V68" s="2"/>
      <c r="W68" s="13"/>
      <c r="X68" s="2"/>
      <c r="Y68" s="2"/>
      <c r="Z68" s="2"/>
      <c r="AA68" s="2"/>
    </row>
    <row r="69" spans="1:36" x14ac:dyDescent="0.25">
      <c r="A69" s="40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V69" s="2"/>
      <c r="W69" s="13"/>
      <c r="X69" s="2"/>
      <c r="Y69" s="2"/>
      <c r="Z69" s="2"/>
      <c r="AA69" s="2"/>
    </row>
    <row r="70" spans="1:36" x14ac:dyDescent="0.25">
      <c r="A70" s="40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V70" s="2"/>
      <c r="W70" s="13"/>
      <c r="X70" s="2"/>
      <c r="Y70" s="2"/>
      <c r="Z70" s="2"/>
      <c r="AA70" s="2"/>
    </row>
    <row r="71" spans="1:36" x14ac:dyDescent="0.25">
      <c r="A71" s="40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W71" s="2"/>
      <c r="X71" s="13"/>
      <c r="Y71" s="2"/>
      <c r="Z71" s="2"/>
      <c r="AA71" s="2"/>
    </row>
    <row r="72" spans="1:36" x14ac:dyDescent="0.25">
      <c r="A72" s="40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W72" s="2"/>
      <c r="X72" s="13"/>
      <c r="Y72" s="2"/>
      <c r="Z72" s="2"/>
      <c r="AA72" s="2"/>
    </row>
    <row r="73" spans="1:36" x14ac:dyDescent="0.25">
      <c r="A73" s="40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W73" s="2"/>
      <c r="X73" s="13"/>
      <c r="Y73" s="2"/>
      <c r="Z73" s="2"/>
      <c r="AA73" s="2"/>
    </row>
    <row r="74" spans="1:36" x14ac:dyDescent="0.25">
      <c r="A74" s="40"/>
      <c r="C74" s="2"/>
      <c r="D74" s="42"/>
      <c r="E74" s="42"/>
      <c r="F74" s="42"/>
      <c r="G74" s="42"/>
      <c r="H74" s="42"/>
      <c r="I74" s="10"/>
      <c r="J74" s="10"/>
      <c r="K74" s="10"/>
      <c r="L74" s="10"/>
      <c r="M74" s="10"/>
      <c r="X74" s="13"/>
      <c r="Y74" s="2"/>
      <c r="Z74" s="2"/>
      <c r="AA74" s="2"/>
    </row>
    <row r="75" spans="1:36" x14ac:dyDescent="0.25">
      <c r="A75" s="17"/>
      <c r="C75" s="2"/>
      <c r="D75" s="42"/>
      <c r="E75" s="42"/>
      <c r="F75" s="42"/>
      <c r="G75" s="42"/>
      <c r="H75" s="42"/>
      <c r="I75" s="10"/>
      <c r="J75" s="10"/>
      <c r="K75" s="10"/>
      <c r="L75" s="10"/>
      <c r="M75" s="10"/>
      <c r="X75" s="13"/>
      <c r="Y75" s="2"/>
      <c r="Z75" s="2"/>
      <c r="AA75" s="2"/>
    </row>
    <row r="76" spans="1:36" x14ac:dyDescent="0.25">
      <c r="A76" s="17"/>
      <c r="C76" s="2"/>
      <c r="D76" s="42"/>
      <c r="E76" s="42"/>
      <c r="F76" s="42"/>
      <c r="G76" s="42"/>
      <c r="H76" s="42"/>
      <c r="I76" s="10"/>
      <c r="J76" s="10"/>
      <c r="K76" s="10"/>
      <c r="L76" s="10"/>
      <c r="M76" s="10"/>
      <c r="X76" s="13"/>
      <c r="Y76" s="2"/>
      <c r="Z76" s="2"/>
      <c r="AA76" s="2"/>
    </row>
    <row r="77" spans="1:36" x14ac:dyDescent="0.25">
      <c r="A77" s="17"/>
      <c r="C77" s="2"/>
      <c r="D77" s="42"/>
      <c r="E77" s="42"/>
      <c r="F77" s="42"/>
      <c r="G77" s="42"/>
      <c r="H77" s="42"/>
      <c r="I77" s="10"/>
      <c r="J77" s="10"/>
      <c r="K77" s="10"/>
      <c r="L77" s="10"/>
      <c r="M77" s="10"/>
      <c r="X77" s="13"/>
      <c r="Y77" s="2"/>
      <c r="Z77" s="2"/>
      <c r="AA77" s="2"/>
    </row>
    <row r="78" spans="1:36" x14ac:dyDescent="0.25">
      <c r="A78" s="17"/>
      <c r="C78" s="2"/>
      <c r="D78" s="42"/>
      <c r="E78" s="42"/>
      <c r="F78" s="42"/>
      <c r="G78" s="42"/>
      <c r="H78" s="42"/>
      <c r="I78" s="10"/>
      <c r="J78" s="10"/>
      <c r="K78" s="10"/>
      <c r="L78" s="10"/>
      <c r="M78" s="10"/>
      <c r="X78" s="13"/>
      <c r="Y78" s="2"/>
      <c r="Z78" s="2"/>
      <c r="AA78" s="2"/>
    </row>
    <row r="79" spans="1:36" x14ac:dyDescent="0.25">
      <c r="A79" s="17"/>
      <c r="C79" s="2"/>
      <c r="D79" s="42"/>
      <c r="E79" s="42"/>
      <c r="F79" s="42"/>
      <c r="G79" s="42"/>
      <c r="H79" s="42"/>
      <c r="I79" s="10"/>
      <c r="J79" s="10"/>
      <c r="K79" s="10"/>
      <c r="L79" s="10"/>
      <c r="M79" s="10"/>
      <c r="X79" s="13"/>
      <c r="Y79" s="2"/>
      <c r="Z79" s="2"/>
      <c r="AA79" s="2"/>
    </row>
    <row r="80" spans="1:36" x14ac:dyDescent="0.25">
      <c r="A80" s="17"/>
      <c r="C80" s="2"/>
      <c r="D80" s="42"/>
      <c r="E80" s="42"/>
      <c r="F80" s="42"/>
      <c r="G80" s="42"/>
      <c r="H80" s="42"/>
      <c r="I80" s="10"/>
      <c r="J80" s="10"/>
      <c r="K80" s="10"/>
      <c r="L80" s="10"/>
      <c r="M80" s="10"/>
      <c r="X80" s="13"/>
      <c r="Y80" s="2"/>
      <c r="Z80" s="2"/>
      <c r="AA80" s="2"/>
    </row>
    <row r="81" spans="1:27" x14ac:dyDescent="0.25">
      <c r="A81" s="17"/>
      <c r="C81" s="2"/>
      <c r="D81" s="42"/>
      <c r="E81" s="42"/>
      <c r="F81" s="42"/>
      <c r="G81" s="42"/>
      <c r="H81" s="42"/>
      <c r="I81" s="10"/>
      <c r="J81" s="10"/>
      <c r="K81" s="10"/>
      <c r="L81" s="10"/>
      <c r="M81" s="10"/>
      <c r="X81" s="13"/>
      <c r="Y81" s="2"/>
      <c r="Z81" s="2"/>
      <c r="AA81" s="2"/>
    </row>
    <row r="82" spans="1:27" x14ac:dyDescent="0.25">
      <c r="A82" s="17"/>
      <c r="C82" s="2"/>
      <c r="D82" s="42"/>
      <c r="E82" s="42"/>
      <c r="F82" s="42"/>
      <c r="G82" s="42"/>
      <c r="H82" s="42"/>
      <c r="I82" s="10"/>
      <c r="J82" s="10"/>
      <c r="K82" s="10"/>
      <c r="L82" s="10"/>
      <c r="M82" s="10"/>
      <c r="X82" s="13"/>
      <c r="Y82" s="2"/>
      <c r="Z82" s="2"/>
      <c r="AA82" s="2"/>
    </row>
    <row r="83" spans="1:27" x14ac:dyDescent="0.25">
      <c r="A83" s="17"/>
      <c r="C83" s="2"/>
      <c r="D83" s="42"/>
      <c r="E83" s="42"/>
      <c r="F83" s="42"/>
      <c r="G83" s="42"/>
      <c r="H83" s="42"/>
      <c r="I83" s="10"/>
      <c r="J83" s="10"/>
      <c r="K83" s="10"/>
      <c r="L83" s="10"/>
      <c r="M83" s="10"/>
      <c r="X83" s="13"/>
      <c r="Y83" s="2"/>
      <c r="Z83" s="2"/>
      <c r="AA83" s="2"/>
    </row>
    <row r="84" spans="1:27" x14ac:dyDescent="0.25">
      <c r="A84" s="17"/>
      <c r="C84" s="2"/>
      <c r="D84" s="42"/>
      <c r="E84" s="42"/>
      <c r="F84" s="42"/>
      <c r="G84" s="42"/>
      <c r="H84" s="42"/>
      <c r="I84" s="10"/>
      <c r="J84" s="10"/>
      <c r="K84" s="10"/>
      <c r="L84" s="10"/>
      <c r="M84" s="10"/>
      <c r="X84" s="13"/>
      <c r="Y84" s="2"/>
      <c r="Z84" s="2"/>
      <c r="AA84" s="2"/>
    </row>
    <row r="85" spans="1:27" x14ac:dyDescent="0.25">
      <c r="A85" s="17"/>
      <c r="C85" s="2"/>
      <c r="D85" s="42"/>
      <c r="E85" s="42"/>
      <c r="F85" s="42"/>
      <c r="G85" s="42"/>
      <c r="H85" s="42"/>
      <c r="I85" s="10"/>
      <c r="J85" s="10"/>
      <c r="K85" s="10"/>
      <c r="L85" s="10"/>
      <c r="M85" s="10"/>
      <c r="X85" s="13"/>
      <c r="Y85" s="2"/>
      <c r="Z85" s="2"/>
      <c r="AA85" s="2"/>
    </row>
  </sheetData>
  <sortState ref="AH23:AH41">
    <sortCondition ref="AH23"/>
  </sortState>
  <mergeCells count="20"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  <mergeCell ref="A1:B1"/>
    <mergeCell ref="A6:B6"/>
    <mergeCell ref="A7:B7"/>
    <mergeCell ref="A4:B4"/>
    <mergeCell ref="A3:B3"/>
    <mergeCell ref="A2:B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1517435.875</v>
      </c>
      <c r="C2" s="33">
        <f>IF(ISNUMBER(Calculations!O4),CONVERT(Calculations!O4,Units_In,Units_Out),"")</f>
        <v>3964011.9720000001</v>
      </c>
      <c r="D2" s="33" t="s">
        <v>60</v>
      </c>
      <c r="E2" s="10" t="str">
        <f>CONCATENATE("0503 ",B2,"EUSft ",C2,"NUSft")</f>
        <v>0503 1517435.875EUSft 3964011.972NUSft</v>
      </c>
      <c r="F2" s="34">
        <v>98</v>
      </c>
      <c r="G2" s="10" t="str">
        <f>IF(F2=98,"Lime",IF(F2=94,"Yellow",""))</f>
        <v>Lime</v>
      </c>
      <c r="H2" s="10" t="str">
        <f>Calculations!$A$1</f>
        <v>CSS16</v>
      </c>
    </row>
    <row r="3" spans="1:8" s="10" customFormat="1" x14ac:dyDescent="0.25">
      <c r="A3" s="10" t="str">
        <f>IF(ISNUMBER(Calculations!M5),CONCATENATE("GPS",Calculations!M5),"")</f>
        <v>GPS1</v>
      </c>
      <c r="B3" s="33" t="str">
        <f>IF(ISNUMBER(Calculations!N5),CONVERT(Calculations!N5,Units_In,Units_Out),"")</f>
        <v/>
      </c>
      <c r="C3" s="33" t="str">
        <f>IF(ISNUMBER(Calculations!O5),CONVERT(Calculations!O5,Units_In,Units_Out),"")</f>
        <v/>
      </c>
      <c r="D3" s="33" t="s">
        <v>60</v>
      </c>
      <c r="E3" s="10" t="str">
        <f t="shared" ref="E3:E4" si="0">CONCATENATE("0503 ",B3,"EUSft ",C3,"NUSft")</f>
        <v>0503 EUSft 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CSS16</v>
      </c>
    </row>
    <row r="4" spans="1:8" s="10" customFormat="1" x14ac:dyDescent="0.25">
      <c r="A4" s="10" t="str">
        <f>IF(ISNUMBER(Calculations!M6),CONCATENATE("GPS",Calculations!M6),"")</f>
        <v>GPS2</v>
      </c>
      <c r="B4" s="33" t="str">
        <f>IF(ISNUMBER(Calculations!N6),CONVERT(Calculations!N6,Units_In,Units_Out),"")</f>
        <v/>
      </c>
      <c r="C4" s="33" t="str">
        <f>IF(ISNUMBER(Calculations!O6),CONVERT(Calculations!O6,Units_In,Units_Out),"")</f>
        <v/>
      </c>
      <c r="D4" s="33" t="s">
        <v>60</v>
      </c>
      <c r="E4" s="10" t="str">
        <f t="shared" si="0"/>
        <v>0503 EUSft NUSft</v>
      </c>
      <c r="F4" s="34">
        <v>98</v>
      </c>
      <c r="G4" s="10" t="str">
        <f t="shared" si="1"/>
        <v>Lime</v>
      </c>
      <c r="H4" s="10" t="str">
        <f>Calculations!$A$1</f>
        <v>CSS16</v>
      </c>
    </row>
    <row r="5" spans="1:8" x14ac:dyDescent="0.25">
      <c r="A5">
        <f>IF(ISNUMBER(Calculations!A21),Calculations!A21,"")</f>
        <v>1</v>
      </c>
      <c r="B5" s="33">
        <f>IF(ISNUMBER(A5),CONVERT(Calculations!T21,Units_In,Units_Out),"")</f>
        <v>1517435.875</v>
      </c>
      <c r="C5" s="33">
        <f>IF(ISNUMBER(A5),CONVERT(Calculations!U21,Units_In,Units_Out),"")</f>
        <v>3964072.8270577206</v>
      </c>
      <c r="D5" s="33" t="str">
        <f>IF(ISTEXT(Calculations!F21),Calculations!F21,"")</f>
        <v>BS/ZERO</v>
      </c>
      <c r="E5" t="str">
        <f>IF(ISNUMBER(A5),CONCATENATE("0503 ",B5,"EUSft ",C5,"NUSft"),"")</f>
        <v>0503 1517435.875EUSft 3964072.82705772NUSft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CSS16</v>
      </c>
    </row>
    <row r="6" spans="1:8" x14ac:dyDescent="0.25">
      <c r="A6" s="10">
        <f>IF(ISNUMBER(Calculations!A22),Calculations!A22,"")</f>
        <v>2</v>
      </c>
      <c r="B6" s="33">
        <f>IF(ISNUMBER(A6),CONVERT(Calculations!T22,Units_In,Units_Out),"")</f>
        <v>1517469.8354559515</v>
      </c>
      <c r="C6" s="33">
        <f>IF(ISNUMBER(A6),CONVERT(Calculations!U22,Units_In,Units_Out),"")</f>
        <v>3964037.5560700996</v>
      </c>
      <c r="D6" s="33" t="str">
        <f>IF(ISTEXT(Calculations!F22),Calculations!F22,"")</f>
        <v xml:space="preserve">BS </v>
      </c>
      <c r="E6" s="10" t="str">
        <f t="shared" ref="E6:E65" si="2">IF(ISNUMBER(A6),CONCATENATE("0503 ",B6,"EUSft ",C6,"NUSft"),"")</f>
        <v>0503 1517469.83545595EUSft 3964037.5560701NUSft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CSS16</v>
      </c>
    </row>
    <row r="7" spans="1:8" x14ac:dyDescent="0.25">
      <c r="A7" s="10">
        <f>IF(ISNUMBER(Calculations!A23),Calculations!A23,"")</f>
        <v>3</v>
      </c>
      <c r="B7" s="33">
        <f>IF(ISNUMBER(A7),CONVERT(Calculations!T23,Units_In,Units_Out),"")</f>
        <v>1517430.7560399184</v>
      </c>
      <c r="C7" s="33">
        <f>IF(ISNUMBER(A7),CONVERT(Calculations!U23,Units_In,Units_Out),"")</f>
        <v>3964012.7246566587</v>
      </c>
      <c r="D7" s="33" t="str">
        <f>IF(ISTEXT(Calculations!F23),Calculations!F23,"")</f>
        <v/>
      </c>
      <c r="E7" s="10" t="str">
        <f t="shared" si="2"/>
        <v>0503 1517430.75603992EUSft 3964012.72465666NUSft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CSS16</v>
      </c>
    </row>
    <row r="8" spans="1:8" x14ac:dyDescent="0.25">
      <c r="A8" s="10">
        <f>IF(ISNUMBER(Calculations!A24),Calculations!A24,"")</f>
        <v>4</v>
      </c>
      <c r="B8" s="33">
        <f>IF(ISNUMBER(A8),CONVERT(Calculations!T24,Units_In,Units_Out),"")</f>
        <v>1517428.6048730165</v>
      </c>
      <c r="C8" s="33">
        <f>IF(ISNUMBER(A8),CONVERT(Calculations!U24,Units_In,Units_Out),"")</f>
        <v>3964003.9827794614</v>
      </c>
      <c r="D8" s="33" t="str">
        <f>IF(ISTEXT(Calculations!F24),Calculations!F24,"")</f>
        <v/>
      </c>
      <c r="E8" s="10" t="str">
        <f t="shared" si="2"/>
        <v>0503 1517428.60487302EUSft 3964003.98277946NUSft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CSS16</v>
      </c>
    </row>
    <row r="9" spans="1:8" x14ac:dyDescent="0.25">
      <c r="A9" s="10">
        <f>IF(ISNUMBER(Calculations!A25),Calculations!A25,"")</f>
        <v>5</v>
      </c>
      <c r="B9" s="33">
        <f>IF(ISNUMBER(A9),CONVERT(Calculations!T25,Units_In,Units_Out),"")</f>
        <v>1517427.0848491169</v>
      </c>
      <c r="C9" s="33">
        <f>IF(ISNUMBER(A9),CONVERT(Calculations!U25,Units_In,Units_Out),"")</f>
        <v>3963997.1145854536</v>
      </c>
      <c r="D9" s="33" t="str">
        <f>IF(ISTEXT(Calculations!F25),Calculations!F25,"")</f>
        <v/>
      </c>
      <c r="E9" s="10" t="str">
        <f t="shared" si="2"/>
        <v>0503 1517427.08484912EUSft 3963997.11458545NUSft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CSS16</v>
      </c>
    </row>
    <row r="10" spans="1:8" x14ac:dyDescent="0.25">
      <c r="A10" s="10">
        <f>IF(ISNUMBER(Calculations!A26),Calculations!A26,"")</f>
        <v>6</v>
      </c>
      <c r="B10" s="33">
        <f>IF(ISNUMBER(A10),CONVERT(Calculations!T26,Units_In,Units_Out),"")</f>
        <v>1517425.9144235682</v>
      </c>
      <c r="C10" s="33">
        <f>IF(ISNUMBER(A10),CONVERT(Calculations!U26,Units_In,Units_Out),"")</f>
        <v>3963994.7689263681</v>
      </c>
      <c r="D10" s="33" t="str">
        <f>IF(ISTEXT(Calculations!F26),Calculations!F26,"")</f>
        <v/>
      </c>
      <c r="E10" s="10" t="str">
        <f t="shared" si="2"/>
        <v>0503 1517425.91442357EUSft 3963994.76892637NUSft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CSS16</v>
      </c>
    </row>
    <row r="11" spans="1:8" x14ac:dyDescent="0.25">
      <c r="A11" s="10">
        <f>IF(ISNUMBER(Calculations!A27),Calculations!A27,"")</f>
        <v>7</v>
      </c>
      <c r="B11" s="33">
        <f>IF(ISNUMBER(A11),CONVERT(Calculations!T27,Units_In,Units_Out),"")</f>
        <v>1517425.5786591282</v>
      </c>
      <c r="C11" s="33">
        <f>IF(ISNUMBER(A11),CONVERT(Calculations!U27,Units_In,Units_Out),"")</f>
        <v>3963994.0109442882</v>
      </c>
      <c r="D11" s="33" t="str">
        <f>IF(ISTEXT(Calculations!F27),Calculations!F27,"")</f>
        <v>WS</v>
      </c>
      <c r="E11" s="10" t="str">
        <f t="shared" si="2"/>
        <v>0503 1517425.57865913EUSft 3963994.01094429NUSft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CSS16</v>
      </c>
    </row>
    <row r="12" spans="1:8" x14ac:dyDescent="0.25">
      <c r="A12" s="10">
        <f>IF(ISNUMBER(Calculations!A28),Calculations!A28,"")</f>
        <v>8</v>
      </c>
      <c r="B12" s="33">
        <f>IF(ISNUMBER(A12),CONVERT(Calculations!T28,Units_In,Units_Out),"")</f>
        <v>1517424.083930782</v>
      </c>
      <c r="C12" s="33">
        <f>IF(ISNUMBER(A12),CONVERT(Calculations!U28,Units_In,Units_Out),"")</f>
        <v>3963991.9160677297</v>
      </c>
      <c r="D12" s="33" t="str">
        <f>IF(ISTEXT(Calculations!F28),Calculations!F28,"")</f>
        <v>RIVER</v>
      </c>
      <c r="E12" s="10" t="str">
        <f t="shared" si="2"/>
        <v>0503 1517424.08393078EUSft 3963991.91606773NUSft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CSS16</v>
      </c>
    </row>
    <row r="13" spans="1:8" x14ac:dyDescent="0.25">
      <c r="A13" s="10">
        <f>IF(ISNUMBER(Calculations!A29),Calculations!A29,"")</f>
        <v>9</v>
      </c>
      <c r="B13" s="33">
        <f>IF(ISNUMBER(A13),CONVERT(Calculations!T29,Units_In,Units_Out),"")</f>
        <v>1517415.8979666238</v>
      </c>
      <c r="C13" s="33">
        <f>IF(ISNUMBER(A13),CONVERT(Calculations!U29,Units_In,Units_Out),"")</f>
        <v>3963971.0170433242</v>
      </c>
      <c r="D13" s="33" t="str">
        <f>IF(ISTEXT(Calculations!F29),Calculations!F29,"")</f>
        <v>RIVER</v>
      </c>
      <c r="E13" s="10" t="str">
        <f t="shared" si="2"/>
        <v>0503 1517415.89796662EUSft 3963971.01704332NUSft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CSS16</v>
      </c>
    </row>
    <row r="14" spans="1:8" x14ac:dyDescent="0.25">
      <c r="A14" s="10">
        <f>IF(ISNUMBER(Calculations!A30),Calculations!A30,"")</f>
        <v>10</v>
      </c>
      <c r="B14" s="33">
        <f>IF(ISNUMBER(A14),CONVERT(Calculations!T30,Units_In,Units_Out),"")</f>
        <v>1517408.6412254977</v>
      </c>
      <c r="C14" s="33">
        <f>IF(ISNUMBER(A14),CONVERT(Calculations!U30,Units_In,Units_Out),"")</f>
        <v>3963959.1396729834</v>
      </c>
      <c r="D14" s="33" t="str">
        <f>IF(ISTEXT(Calculations!F30),Calculations!F30,"")</f>
        <v>RIVER</v>
      </c>
      <c r="E14" s="10" t="str">
        <f t="shared" si="2"/>
        <v>0503 1517408.6412255EUSft 3963959.13967298NUSft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CSS16</v>
      </c>
    </row>
    <row r="15" spans="1:8" x14ac:dyDescent="0.25">
      <c r="A15" s="10">
        <f>IF(ISNUMBER(Calculations!A31),Calculations!A31,"")</f>
        <v>11</v>
      </c>
      <c r="B15" s="33">
        <f>IF(ISNUMBER(A15),CONVERT(Calculations!T31,Units_In,Units_Out),"")</f>
        <v>1517406.2143565414</v>
      </c>
      <c r="C15" s="33">
        <f>IF(ISNUMBER(A15),CONVERT(Calculations!U31,Units_In,Units_Out),"")</f>
        <v>3963955.8627062133</v>
      </c>
      <c r="D15" s="33" t="str">
        <f>IF(ISTEXT(Calculations!F31),Calculations!F31,"")</f>
        <v>WS</v>
      </c>
      <c r="E15" s="10" t="str">
        <f t="shared" si="2"/>
        <v>0503 1517406.21435654EUSft 3963955.86270621NUSft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CSS16</v>
      </c>
    </row>
    <row r="16" spans="1:8" x14ac:dyDescent="0.25">
      <c r="A16" s="10">
        <f>IF(ISNUMBER(Calculations!A32),Calculations!A32,"")</f>
        <v>12</v>
      </c>
      <c r="B16" s="33">
        <f>IF(ISNUMBER(A16),CONVERT(Calculations!T32,Units_In,Units_Out),"")</f>
        <v>1517405.1463967373</v>
      </c>
      <c r="C16" s="33">
        <f>IF(ISNUMBER(A16),CONVERT(Calculations!U32,Units_In,Units_Out),"")</f>
        <v>3963954.1596192741</v>
      </c>
      <c r="D16" s="33" t="str">
        <f>IF(ISTEXT(Calculations!F32),Calculations!F32,"")</f>
        <v/>
      </c>
      <c r="E16" s="10" t="str">
        <f t="shared" si="2"/>
        <v>0503 1517405.14639674EUSft 3963954.15961927NUSft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CSS16</v>
      </c>
    </row>
    <row r="17" spans="1:8" x14ac:dyDescent="0.25">
      <c r="A17" s="10">
        <f>IF(ISNUMBER(Calculations!A33),Calculations!A33,"")</f>
        <v>13</v>
      </c>
      <c r="B17" s="33">
        <f>IF(ISNUMBER(A17),CONVERT(Calculations!T33,Units_In,Units_Out),"")</f>
        <v>1517401.9113152414</v>
      </c>
      <c r="C17" s="33">
        <f>IF(ISNUMBER(A17),CONVERT(Calculations!U33,Units_In,Units_Out),"")</f>
        <v>3963946.2944001011</v>
      </c>
      <c r="D17" s="33" t="str">
        <f>IF(ISTEXT(Calculations!F33),Calculations!F33,"")</f>
        <v/>
      </c>
      <c r="E17" s="10" t="str">
        <f t="shared" si="2"/>
        <v>0503 1517401.91131524EUSft 3963946.2944001NUSft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CSS16</v>
      </c>
    </row>
    <row r="18" spans="1:8" x14ac:dyDescent="0.25">
      <c r="A18" s="10">
        <f>IF(ISNUMBER(Calculations!A34),Calculations!A34,"")</f>
        <v>14</v>
      </c>
      <c r="B18" s="33">
        <f>IF(ISNUMBER(A18),CONVERT(Calculations!T34,Units_In,Units_Out),"")</f>
        <v>1517388.0449957685</v>
      </c>
      <c r="C18" s="33">
        <f>IF(ISNUMBER(A18),CONVERT(Calculations!U34,Units_In,Units_Out),"")</f>
        <v>3963916.0689636148</v>
      </c>
      <c r="D18" s="33" t="str">
        <f>IF(ISTEXT(Calculations!F34),Calculations!F34,"")</f>
        <v/>
      </c>
      <c r="E18" s="10" t="str">
        <f t="shared" si="2"/>
        <v>0503 1517388.04499577EUSft 3963916.06896361NUSft</v>
      </c>
      <c r="F18" s="34">
        <f t="shared" si="3"/>
        <v>94</v>
      </c>
      <c r="G18" s="10" t="str">
        <f t="shared" si="1"/>
        <v>Yellow</v>
      </c>
      <c r="H18" s="10" t="str">
        <f>IF(ISNUMBER(A18),Calculations!$A$1,"")</f>
        <v>CSS16</v>
      </c>
    </row>
    <row r="19" spans="1:8" x14ac:dyDescent="0.25">
      <c r="A19" s="10">
        <f>IF(ISNUMBER(Calculations!A35),Calculations!A35,"")</f>
        <v>15</v>
      </c>
      <c r="B19" s="33">
        <f>IF(ISNUMBER(A19),CONVERT(Calculations!T35,Units_In,Units_Out),"")</f>
        <v>1517385.8373194218</v>
      </c>
      <c r="C19" s="33">
        <f>IF(ISNUMBER(A19),CONVERT(Calculations!U35,Units_In,Units_Out),"")</f>
        <v>3963913.4311635029</v>
      </c>
      <c r="D19" s="33" t="str">
        <f>IF(ISTEXT(Calculations!F35),Calculations!F35,"")</f>
        <v/>
      </c>
      <c r="E19" s="10" t="str">
        <f t="shared" si="2"/>
        <v>0503 1517385.83731942EUSft 3963913.4311635NUSft</v>
      </c>
      <c r="F19" s="34">
        <f t="shared" si="3"/>
        <v>94</v>
      </c>
      <c r="G19" s="10" t="str">
        <f t="shared" si="1"/>
        <v>Yellow</v>
      </c>
      <c r="H19" s="10" t="str">
        <f>IF(ISNUMBER(A19),Calculations!$A$1,"")</f>
        <v>CSS16</v>
      </c>
    </row>
    <row r="20" spans="1:8" x14ac:dyDescent="0.25">
      <c r="A20" s="10">
        <f>IF(ISNUMBER(Calculations!A36),Calculations!A36,"")</f>
        <v>16</v>
      </c>
      <c r="B20" s="33">
        <f>IF(ISNUMBER(A20),CONVERT(Calculations!T36,Units_In,Units_Out),"")</f>
        <v>1517378.0871081948</v>
      </c>
      <c r="C20" s="33">
        <f>IF(ISNUMBER(A20),CONVERT(Calculations!U36,Units_In,Units_Out),"")</f>
        <v>3963906.8417276852</v>
      </c>
      <c r="D20" s="33" t="str">
        <f>IF(ISTEXT(Calculations!F36),Calculations!F36,"")</f>
        <v/>
      </c>
      <c r="E20" s="10" t="str">
        <f t="shared" si="2"/>
        <v>0503 1517378.08710819EUSft 3963906.84172769NUSft</v>
      </c>
      <c r="F20" s="34">
        <f t="shared" si="3"/>
        <v>94</v>
      </c>
      <c r="G20" s="10" t="str">
        <f t="shared" si="1"/>
        <v>Yellow</v>
      </c>
      <c r="H20" s="10" t="str">
        <f>IF(ISNUMBER(A20),Calculations!$A$1,"")</f>
        <v>CSS16</v>
      </c>
    </row>
    <row r="21" spans="1:8" x14ac:dyDescent="0.25">
      <c r="A21" s="10">
        <f>IF(ISNUMBER(Calculations!A37),Calculations!A37,"")</f>
        <v>17</v>
      </c>
      <c r="B21" s="33">
        <f>IF(ISNUMBER(A21),CONVERT(Calculations!T37,Units_In,Units_Out),"")</f>
        <v>1517375.6439892929</v>
      </c>
      <c r="C21" s="33">
        <f>IF(ISNUMBER(A21),CONVERT(Calculations!U37,Units_In,Units_Out),"")</f>
        <v>3963899.5290926229</v>
      </c>
      <c r="D21" s="33" t="str">
        <f>IF(ISTEXT(Calculations!F37),Calculations!F37,"")</f>
        <v/>
      </c>
      <c r="E21" s="10" t="str">
        <f t="shared" si="2"/>
        <v>0503 1517375.64398929EUSft 3963899.52909262NUSft</v>
      </c>
      <c r="F21" s="34">
        <f t="shared" si="3"/>
        <v>94</v>
      </c>
      <c r="G21" s="10" t="str">
        <f t="shared" si="1"/>
        <v>Yellow</v>
      </c>
      <c r="H21" s="10" t="str">
        <f>IF(ISNUMBER(A21),Calculations!$A$1,"")</f>
        <v>CSS16</v>
      </c>
    </row>
    <row r="22" spans="1:8" x14ac:dyDescent="0.25">
      <c r="A22" s="10">
        <f>IF(ISNUMBER(Calculations!A38),Calculations!A38,"")</f>
        <v>18</v>
      </c>
      <c r="B22" s="33">
        <f>IF(ISNUMBER(A22),CONVERT(Calculations!T38,Units_In,Units_Out),"")</f>
        <v>1517303.7088199246</v>
      </c>
      <c r="C22" s="33">
        <f>IF(ISNUMBER(A22),CONVERT(Calculations!U38,Units_In,Units_Out),"")</f>
        <v>3963773.5188151612</v>
      </c>
      <c r="D22" s="33" t="str">
        <f>IF(ISTEXT(Calculations!F38),Calculations!F38,"")</f>
        <v/>
      </c>
      <c r="E22" s="10" t="str">
        <f t="shared" si="2"/>
        <v>0503 1517303.70881992EUSft 3963773.51881516NUSft</v>
      </c>
      <c r="F22" s="34">
        <f t="shared" si="3"/>
        <v>94</v>
      </c>
      <c r="G22" s="10" t="str">
        <f t="shared" si="1"/>
        <v>Yellow</v>
      </c>
      <c r="H22" s="10" t="str">
        <f>IF(ISNUMBER(A22),Calculations!$A$1,"")</f>
        <v>CSS16</v>
      </c>
    </row>
    <row r="23" spans="1:8" x14ac:dyDescent="0.25">
      <c r="A23" s="10">
        <f>IF(ISNUMBER(Calculations!A39),Calculations!A39,"")</f>
        <v>19</v>
      </c>
      <c r="B23" s="33">
        <f>IF(ISNUMBER(A23),CONVERT(Calculations!T39,Units_In,Units_Out),"")</f>
        <v>1517222.1489576625</v>
      </c>
      <c r="C23" s="33">
        <f>IF(ISNUMBER(A23),CONVERT(Calculations!U39,Units_In,Units_Out),"")</f>
        <v>3963657.5383261396</v>
      </c>
      <c r="D23" s="33" t="str">
        <f>IF(ISTEXT(Calculations!F39),Calculations!F39,"")</f>
        <v/>
      </c>
      <c r="E23" s="10" t="str">
        <f t="shared" si="2"/>
        <v>0503 1517222.14895766EUSft 3963657.53832614NUSft</v>
      </c>
      <c r="F23" s="34">
        <f t="shared" si="3"/>
        <v>94</v>
      </c>
      <c r="G23" s="10" t="str">
        <f t="shared" si="1"/>
        <v>Yellow</v>
      </c>
      <c r="H23" s="10" t="str">
        <f>IF(ISNUMBER(A23),Calculations!$A$1,"")</f>
        <v>CSS16</v>
      </c>
    </row>
    <row r="24" spans="1:8" x14ac:dyDescent="0.25">
      <c r="A24" s="10">
        <f>IF(ISNUMBER(Calculations!A40),Calculations!A40,"")</f>
        <v>20</v>
      </c>
      <c r="B24" s="33">
        <f>IF(ISNUMBER(A24),CONVERT(Calculations!T40,Units_In,Units_Out),"")</f>
        <v>1517150.4187608603</v>
      </c>
      <c r="C24" s="33">
        <f>IF(ISNUMBER(A24),CONVERT(Calculations!U40,Units_In,Units_Out),"")</f>
        <v>3963525.9312484856</v>
      </c>
      <c r="D24" s="33" t="str">
        <f>IF(ISTEXT(Calculations!F40),Calculations!F40,"")</f>
        <v/>
      </c>
      <c r="E24" s="10" t="str">
        <f t="shared" si="2"/>
        <v>0503 1517150.41876086EUSft 3963525.93124849NUSft</v>
      </c>
      <c r="F24" s="34">
        <f t="shared" si="3"/>
        <v>94</v>
      </c>
      <c r="G24" s="10" t="str">
        <f t="shared" si="1"/>
        <v>Yellow</v>
      </c>
      <c r="H24" s="10" t="str">
        <f>IF(ISNUMBER(A24),Calculations!$A$1,"")</f>
        <v>CSS16</v>
      </c>
    </row>
    <row r="25" spans="1:8" x14ac:dyDescent="0.25">
      <c r="A25" s="10">
        <f>IF(ISNUMBER(Calculations!A41),Calculations!A41,"")</f>
        <v>21</v>
      </c>
      <c r="B25" s="33">
        <f>IF(ISNUMBER(A25),CONVERT(Calculations!T41,Units_In,Units_Out),"")</f>
        <v>1517071.0854641267</v>
      </c>
      <c r="C25" s="33">
        <f>IF(ISNUMBER(A25),CONVERT(Calculations!U41,Units_In,Units_Out),"")</f>
        <v>3963398.8632702394</v>
      </c>
      <c r="D25" s="33" t="str">
        <f>IF(ISTEXT(Calculations!F41),Calculations!F41,"")</f>
        <v>NR BANK</v>
      </c>
      <c r="E25" s="10" t="str">
        <f t="shared" si="2"/>
        <v>0503 1517071.08546413EUSft 3963398.86327024NUSft</v>
      </c>
      <c r="F25" s="34">
        <f t="shared" si="3"/>
        <v>94</v>
      </c>
      <c r="G25" s="10" t="str">
        <f t="shared" si="1"/>
        <v>Yellow</v>
      </c>
      <c r="H25" s="10" t="str">
        <f>IF(ISNUMBER(A25),Calculations!$A$1,"")</f>
        <v>CSS16</v>
      </c>
    </row>
    <row r="26" spans="1:8" x14ac:dyDescent="0.25">
      <c r="A26" s="10">
        <f>IF(ISNUMBER(Calculations!A42),Calculations!A42,"")</f>
        <v>22</v>
      </c>
      <c r="B26" s="33">
        <f>IF(ISNUMBER(A26),CONVERT(Calculations!T42,Units_In,Units_Out),"")</f>
        <v>1517435.8461091358</v>
      </c>
      <c r="C26" s="33">
        <f>IF(ISNUMBER(A26),CONVERT(Calculations!U42,Units_In,Units_Out),"")</f>
        <v>3964072.7798372088</v>
      </c>
      <c r="D26" s="33" t="str">
        <f>IF(ISTEXT(Calculations!F42),Calculations!F42,"")</f>
        <v>PT1</v>
      </c>
      <c r="E26" s="10" t="str">
        <f t="shared" si="2"/>
        <v>0503 1517435.84610914EUSft 3964072.77983721NUSft</v>
      </c>
      <c r="F26" s="34">
        <f t="shared" si="3"/>
        <v>94</v>
      </c>
      <c r="G26" s="10" t="str">
        <f t="shared" si="1"/>
        <v>Yellow</v>
      </c>
      <c r="H26" s="10" t="str">
        <f>IF(ISNUMBER(A26),Calculations!$A$1,"")</f>
        <v>CSS16</v>
      </c>
    </row>
    <row r="27" spans="1:8" x14ac:dyDescent="0.25">
      <c r="A27" s="10">
        <f>IF(ISNUMBER(Calculations!A43),Calculations!A43,"")</f>
        <v>23</v>
      </c>
      <c r="B27" s="33">
        <f>IF(ISNUMBER(A27),CONVERT(Calculations!T43,Units_In,Units_Out),"")</f>
        <v>1517469.7884057304</v>
      </c>
      <c r="C27" s="33">
        <f>IF(ISNUMBER(A27),CONVERT(Calculations!U43,Units_In,Units_Out),"")</f>
        <v>3964037.5900222054</v>
      </c>
      <c r="D27" s="33" t="str">
        <f>IF(ISTEXT(Calculations!F43),Calculations!F43,"")</f>
        <v>PT2</v>
      </c>
      <c r="E27" s="10" t="str">
        <f t="shared" si="2"/>
        <v>0503 1517469.78840573EUSft 3964037.59002221NUSft</v>
      </c>
      <c r="F27" s="34">
        <f t="shared" si="3"/>
        <v>94</v>
      </c>
      <c r="G27" s="10" t="str">
        <f t="shared" si="1"/>
        <v>Yellow</v>
      </c>
      <c r="H27" s="10" t="str">
        <f>IF(ISNUMBER(A27),Calculations!$A$1,"")</f>
        <v>CSS16</v>
      </c>
    </row>
    <row r="28" spans="1:8" x14ac:dyDescent="0.25">
      <c r="A28" s="10" t="str">
        <f>IF(ISNUMBER(Calculations!A44),Calculations!A44,"")</f>
        <v/>
      </c>
      <c r="B28" s="33" t="str">
        <f>IF(ISNUMBER(A28),CONVERT(Calculations!T44,Units_In,Units_Out),"")</f>
        <v/>
      </c>
      <c r="C28" s="33" t="str">
        <f>IF(ISNUMBER(A28),CONVERT(Calculations!U44,Units_In,Units_Out),"")</f>
        <v/>
      </c>
      <c r="D28" s="33" t="str">
        <f>IF(ISTEXT(Calculations!F44),Calculations!F44,"")</f>
        <v/>
      </c>
      <c r="E28" s="10" t="str">
        <f t="shared" si="2"/>
        <v/>
      </c>
      <c r="F28" s="34" t="str">
        <f t="shared" si="3"/>
        <v/>
      </c>
      <c r="G28" s="10" t="str">
        <f t="shared" si="1"/>
        <v/>
      </c>
      <c r="H28" s="10" t="str">
        <f>IF(ISNUMBER(A28),Calculations!$A$1,"")</f>
        <v/>
      </c>
    </row>
    <row r="29" spans="1:8" x14ac:dyDescent="0.25">
      <c r="A29" s="10" t="str">
        <f>IF(ISNUMBER(Calculations!A45),Calculations!A45,"")</f>
        <v/>
      </c>
      <c r="B29" s="33" t="str">
        <f>IF(ISNUMBER(A29),CONVERT(Calculations!T45,Units_In,Units_Out),"")</f>
        <v/>
      </c>
      <c r="C29" s="33" t="str">
        <f>IF(ISNUMBER(A29),CONVERT(Calculations!U45,Units_In,Units_Out),"")</f>
        <v/>
      </c>
      <c r="D29" s="33" t="str">
        <f>IF(ISTEXT(Calculations!F45),Calculations!F45,"")</f>
        <v/>
      </c>
      <c r="E29" s="10" t="str">
        <f t="shared" si="2"/>
        <v/>
      </c>
      <c r="F29" s="34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IF(ISNUMBER(Calculations!A46),Calculations!A46,"")</f>
        <v/>
      </c>
      <c r="B30" s="33" t="str">
        <f>IF(ISNUMBER(A30),CONVERT(Calculations!T46,Units_In,Units_Out),"")</f>
        <v/>
      </c>
      <c r="C30" s="33" t="str">
        <f>IF(ISNUMBER(A30),CONVERT(Calculations!U46,Units_In,Units_Out),"")</f>
        <v/>
      </c>
      <c r="D30" s="33" t="str">
        <f>IF(ISTEXT(Calculations!F46),Calculations!F46,"")</f>
        <v/>
      </c>
      <c r="E30" s="10" t="str">
        <f t="shared" si="2"/>
        <v/>
      </c>
      <c r="F30" s="34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IF(ISNUMBER(Calculations!A47),Calculations!A47,"")</f>
        <v/>
      </c>
      <c r="B31" s="33" t="str">
        <f>IF(ISNUMBER(A31),CONVERT(Calculations!T47,Units_In,Units_Out),"")</f>
        <v/>
      </c>
      <c r="C31" s="33" t="str">
        <f>IF(ISNUMBER(A31),CONVERT(Calculations!U47,Units_In,Units_Out),"")</f>
        <v/>
      </c>
      <c r="D31" s="33" t="str">
        <f>IF(ISTEXT(Calculations!F47),Calculations!F47,"")</f>
        <v/>
      </c>
      <c r="E31" s="10" t="str">
        <f t="shared" si="2"/>
        <v/>
      </c>
      <c r="F31" s="34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IF(ISNUMBER(Calculations!A48),Calculations!A48,"")</f>
        <v/>
      </c>
      <c r="B32" s="33" t="str">
        <f>IF(ISNUMBER(A32),CONVERT(Calculations!T48,Units_In,Units_Out),"")</f>
        <v/>
      </c>
      <c r="C32" s="33" t="str">
        <f>IF(ISNUMBER(A32),CONVERT(Calculations!U48,Units_In,Units_Out),"")</f>
        <v/>
      </c>
      <c r="D32" s="33" t="str">
        <f>IF(ISTEXT(Calculations!F48),Calculations!F48,"")</f>
        <v/>
      </c>
      <c r="E32" s="10" t="str">
        <f t="shared" si="2"/>
        <v/>
      </c>
      <c r="F32" s="34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IF(ISNUMBER(Calculations!A49),Calculations!A49,"")</f>
        <v/>
      </c>
      <c r="B33" s="33" t="str">
        <f>IF(ISNUMBER(A33),CONVERT(Calculations!T49,Units_In,Units_Out),"")</f>
        <v/>
      </c>
      <c r="C33" s="33" t="str">
        <f>IF(ISNUMBER(A33),CONVERT(Calculations!U49,Units_In,Units_Out),"")</f>
        <v/>
      </c>
      <c r="D33" s="33" t="str">
        <f>IF(ISTEXT(Calculations!F49),Calculations!F49,"")</f>
        <v/>
      </c>
      <c r="E33" s="10" t="str">
        <f t="shared" si="2"/>
        <v/>
      </c>
      <c r="F33" s="34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IF(ISNUMBER(Calculations!A50),Calculations!A50,"")</f>
        <v/>
      </c>
      <c r="B34" s="33" t="str">
        <f>IF(ISNUMBER(A34),CONVERT(Calculations!T50,Units_In,Units_Out),"")</f>
        <v/>
      </c>
      <c r="C34" s="33" t="str">
        <f>IF(ISNUMBER(A34),CONVERT(Calculations!U50,Units_In,Units_Out),"")</f>
        <v/>
      </c>
      <c r="D34" s="33" t="str">
        <f>IF(ISTEXT(Calculations!F50),Calculations!F50,"")</f>
        <v/>
      </c>
      <c r="E34" s="10" t="str">
        <f t="shared" si="2"/>
        <v/>
      </c>
      <c r="F34" s="34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IF(ISNUMBER(Calculations!A51),Calculations!A51,"")</f>
        <v/>
      </c>
      <c r="B35" s="33" t="str">
        <f>IF(ISNUMBER(A35),CONVERT(Calculations!T51,Units_In,Units_Out),"")</f>
        <v/>
      </c>
      <c r="C35" s="33" t="str">
        <f>IF(ISNUMBER(A35),CONVERT(Calculations!U51,Units_In,Units_Out),"")</f>
        <v/>
      </c>
      <c r="D35" s="33" t="str">
        <f>IF(ISTEXT(Calculations!F51),Calculations!F51,"")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IF(ISNUMBER(Calculations!A52),Calculations!A52,"")</f>
        <v/>
      </c>
      <c r="B36" s="33" t="str">
        <f>IF(ISNUMBER(A36),CONVERT(Calculations!U52,Units_In,Units_Out),"")</f>
        <v/>
      </c>
      <c r="C36" s="33" t="str">
        <f>IF(ISNUMBER(A36),CONVERT(Calculations!V52,Units_In,Units_Out),"")</f>
        <v/>
      </c>
      <c r="D36" s="33" t="str">
        <f>IF(ISTEXT(Calculations!F52),Calculations!F52,"")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IF(ISNUMBER(Calculations!A53),Calculations!A53,"")</f>
        <v/>
      </c>
      <c r="B37" s="33" t="str">
        <f>IF(ISNUMBER(A37),CONVERT(Calculations!U53,Units_In,Units_Out),"")</f>
        <v/>
      </c>
      <c r="C37" s="33" t="str">
        <f>IF(ISNUMBER(A37),CONVERT(Calculations!V53,Units_In,Units_Out),"")</f>
        <v/>
      </c>
      <c r="D37" s="33" t="str">
        <f>IF(ISTEXT(Calculations!F53),Calculations!F53,"")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kmorse</cp:lastModifiedBy>
  <dcterms:created xsi:type="dcterms:W3CDTF">2011-11-09T05:33:48Z</dcterms:created>
  <dcterms:modified xsi:type="dcterms:W3CDTF">2013-09-16T18:23:33Z</dcterms:modified>
</cp:coreProperties>
</file>