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AD24" i="1" l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23" i="1" l="1"/>
  <c r="X50" i="1" l="1"/>
  <c r="AF50" i="1" s="1"/>
  <c r="O50" i="1"/>
  <c r="I50" i="1"/>
  <c r="N50" i="1" s="1"/>
  <c r="P50" i="1" s="1"/>
  <c r="Q50" i="1" s="1"/>
  <c r="G50" i="1"/>
  <c r="H50" i="1" s="1"/>
  <c r="X49" i="1"/>
  <c r="AF49" i="1" s="1"/>
  <c r="O49" i="1"/>
  <c r="I49" i="1"/>
  <c r="N49" i="1" s="1"/>
  <c r="P49" i="1" s="1"/>
  <c r="Q49" i="1" s="1"/>
  <c r="G49" i="1"/>
  <c r="H49" i="1" s="1"/>
  <c r="O48" i="1"/>
  <c r="I48" i="1"/>
  <c r="J48" i="1" s="1"/>
  <c r="G48" i="1"/>
  <c r="H48" i="1" s="1"/>
  <c r="O47" i="1"/>
  <c r="I47" i="1"/>
  <c r="N47" i="1" s="1"/>
  <c r="P47" i="1" s="1"/>
  <c r="Q47" i="1" s="1"/>
  <c r="G47" i="1"/>
  <c r="H47" i="1" s="1"/>
  <c r="K50" i="1" l="1"/>
  <c r="L50" i="1"/>
  <c r="V50" i="1" s="1"/>
  <c r="J50" i="1"/>
  <c r="Y50" i="1"/>
  <c r="Z50" i="1"/>
  <c r="AB50" i="1"/>
  <c r="K49" i="1"/>
  <c r="L49" i="1"/>
  <c r="V49" i="1" s="1"/>
  <c r="J49" i="1"/>
  <c r="Y49" i="1"/>
  <c r="Z49" i="1"/>
  <c r="AB49" i="1"/>
  <c r="L48" i="1"/>
  <c r="V48" i="1" s="1"/>
  <c r="K48" i="1"/>
  <c r="N48" i="1"/>
  <c r="P48" i="1" s="1"/>
  <c r="Q48" i="1" s="1"/>
  <c r="K47" i="1"/>
  <c r="L47" i="1"/>
  <c r="V47" i="1" s="1"/>
  <c r="J47" i="1"/>
  <c r="I46" i="1"/>
  <c r="N46" i="1" s="1"/>
  <c r="G46" i="1"/>
  <c r="H46" i="1" s="1"/>
  <c r="K46" i="1" s="1"/>
  <c r="I45" i="1"/>
  <c r="J45" i="1" s="1"/>
  <c r="G45" i="1"/>
  <c r="H45" i="1" s="1"/>
  <c r="I44" i="1"/>
  <c r="N44" i="1" s="1"/>
  <c r="G44" i="1"/>
  <c r="H44" i="1" s="1"/>
  <c r="K44" i="1" s="1"/>
  <c r="I43" i="1"/>
  <c r="J43" i="1" s="1"/>
  <c r="G43" i="1"/>
  <c r="H43" i="1" s="1"/>
  <c r="L43" i="1" s="1"/>
  <c r="I42" i="1"/>
  <c r="N42" i="1" s="1"/>
  <c r="G42" i="1"/>
  <c r="H42" i="1" s="1"/>
  <c r="AC50" i="1" l="1"/>
  <c r="AE50" i="1" s="1"/>
  <c r="AA50" i="1"/>
  <c r="R50" i="1"/>
  <c r="T50" i="1" s="1"/>
  <c r="W50" i="1" s="1"/>
  <c r="S50" i="1"/>
  <c r="U50" i="1" s="1"/>
  <c r="AC49" i="1"/>
  <c r="AE49" i="1" s="1"/>
  <c r="AA49" i="1"/>
  <c r="S49" i="1"/>
  <c r="U49" i="1" s="1"/>
  <c r="R49" i="1"/>
  <c r="T49" i="1" s="1"/>
  <c r="W49" i="1" s="1"/>
  <c r="S48" i="1"/>
  <c r="U48" i="1" s="1"/>
  <c r="R48" i="1"/>
  <c r="T48" i="1" s="1"/>
  <c r="S47" i="1"/>
  <c r="U47" i="1" s="1"/>
  <c r="R47" i="1"/>
  <c r="T47" i="1" s="1"/>
  <c r="J44" i="1"/>
  <c r="K42" i="1"/>
  <c r="L42" i="1"/>
  <c r="J42" i="1"/>
  <c r="J46" i="1"/>
  <c r="N43" i="1"/>
  <c r="K43" i="1"/>
  <c r="L45" i="1"/>
  <c r="K45" i="1"/>
  <c r="L44" i="1"/>
  <c r="N45" i="1"/>
  <c r="L46" i="1"/>
  <c r="I41" i="1"/>
  <c r="J41" i="1" s="1"/>
  <c r="G41" i="1"/>
  <c r="H41" i="1" s="1"/>
  <c r="I40" i="1"/>
  <c r="J40" i="1" s="1"/>
  <c r="G40" i="1"/>
  <c r="H40" i="1" s="1"/>
  <c r="I39" i="1"/>
  <c r="J39" i="1" s="1"/>
  <c r="G39" i="1"/>
  <c r="H39" i="1" s="1"/>
  <c r="I38" i="1"/>
  <c r="J38" i="1" s="1"/>
  <c r="G38" i="1"/>
  <c r="H38" i="1" s="1"/>
  <c r="X48" i="1" l="1"/>
  <c r="W48" i="1"/>
  <c r="X47" i="1"/>
  <c r="W47" i="1"/>
  <c r="L41" i="1"/>
  <c r="K41" i="1"/>
  <c r="N41" i="1"/>
  <c r="L40" i="1"/>
  <c r="K40" i="1"/>
  <c r="N40" i="1"/>
  <c r="L39" i="1"/>
  <c r="K39" i="1"/>
  <c r="N39" i="1"/>
  <c r="L38" i="1"/>
  <c r="K38" i="1"/>
  <c r="N38" i="1"/>
  <c r="G36" i="1"/>
  <c r="H36" i="1" s="1"/>
  <c r="I36" i="1"/>
  <c r="J36" i="1" s="1"/>
  <c r="N36" i="1"/>
  <c r="G37" i="1"/>
  <c r="H37" i="1" s="1"/>
  <c r="I37" i="1"/>
  <c r="J37" i="1" s="1"/>
  <c r="Y48" i="1" l="1"/>
  <c r="Y47" i="1"/>
  <c r="K37" i="1"/>
  <c r="L37" i="1"/>
  <c r="N37" i="1"/>
  <c r="K36" i="1"/>
  <c r="L36" i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43" i="1" l="1"/>
  <c r="V42" i="1"/>
  <c r="V44" i="1"/>
  <c r="V46" i="1"/>
  <c r="V45" i="1"/>
  <c r="V39" i="1"/>
  <c r="V38" i="1"/>
  <c r="V40" i="1"/>
  <c r="V41" i="1"/>
  <c r="V36" i="1"/>
  <c r="V37" i="1"/>
  <c r="V34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5" i="1" l="1"/>
  <c r="P45" i="1" s="1"/>
  <c r="Q45" i="1" s="1"/>
  <c r="O43" i="1"/>
  <c r="P43" i="1" s="1"/>
  <c r="Q43" i="1" s="1"/>
  <c r="O46" i="1"/>
  <c r="P46" i="1" s="1"/>
  <c r="Q46" i="1" s="1"/>
  <c r="O44" i="1"/>
  <c r="P44" i="1" s="1"/>
  <c r="Q44" i="1" s="1"/>
  <c r="O42" i="1"/>
  <c r="P42" i="1" s="1"/>
  <c r="Q42" i="1" s="1"/>
  <c r="O40" i="1"/>
  <c r="P40" i="1" s="1"/>
  <c r="Q40" i="1" s="1"/>
  <c r="S40" i="1" s="1"/>
  <c r="U40" i="1" s="1"/>
  <c r="O41" i="1"/>
  <c r="P41" i="1" s="1"/>
  <c r="Q41" i="1" s="1"/>
  <c r="O38" i="1"/>
  <c r="P38" i="1" s="1"/>
  <c r="Q38" i="1" s="1"/>
  <c r="R38" i="1" s="1"/>
  <c r="T38" i="1" s="1"/>
  <c r="O39" i="1"/>
  <c r="P39" i="1" s="1"/>
  <c r="Q39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44" i="1" l="1"/>
  <c r="U44" i="1" s="1"/>
  <c r="R44" i="1"/>
  <c r="T44" i="1" s="1"/>
  <c r="S43" i="1"/>
  <c r="U43" i="1" s="1"/>
  <c r="R43" i="1"/>
  <c r="T43" i="1" s="1"/>
  <c r="R42" i="1"/>
  <c r="T42" i="1" s="1"/>
  <c r="S42" i="1"/>
  <c r="U42" i="1" s="1"/>
  <c r="S46" i="1"/>
  <c r="U46" i="1" s="1"/>
  <c r="R46" i="1"/>
  <c r="T46" i="1" s="1"/>
  <c r="X46" i="1" s="1"/>
  <c r="S45" i="1"/>
  <c r="U45" i="1" s="1"/>
  <c r="R45" i="1"/>
  <c r="T45" i="1" s="1"/>
  <c r="X45" i="1" s="1"/>
  <c r="R40" i="1"/>
  <c r="T40" i="1" s="1"/>
  <c r="X40" i="1" s="1"/>
  <c r="R41" i="1"/>
  <c r="T41" i="1" s="1"/>
  <c r="X41" i="1" s="1"/>
  <c r="S41" i="1"/>
  <c r="U41" i="1" s="1"/>
  <c r="S38" i="1"/>
  <c r="U38" i="1" s="1"/>
  <c r="S39" i="1"/>
  <c r="U39" i="1" s="1"/>
  <c r="R39" i="1"/>
  <c r="T39" i="1" s="1"/>
  <c r="X38" i="1"/>
  <c r="R36" i="1"/>
  <c r="T36" i="1" s="1"/>
  <c r="X36" i="1" s="1"/>
  <c r="S36" i="1"/>
  <c r="U36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45" i="1" l="1"/>
  <c r="Y46" i="1"/>
  <c r="X43" i="1"/>
  <c r="X44" i="1"/>
  <c r="X42" i="1"/>
  <c r="Y41" i="1"/>
  <c r="Y40" i="1"/>
  <c r="X39" i="1"/>
  <c r="Y38" i="1"/>
  <c r="Y36" i="1"/>
  <c r="X37" i="1"/>
  <c r="Y35" i="1"/>
  <c r="Y34" i="1"/>
  <c r="Y5" i="1"/>
  <c r="Y8" i="1" s="1"/>
  <c r="X9" i="1"/>
  <c r="Y9" i="1"/>
  <c r="Y44" i="1" l="1"/>
  <c r="Y43" i="1"/>
  <c r="Y42" i="1"/>
  <c r="Y39" i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W21" i="1" s="1"/>
  <c r="W45" i="1" l="1"/>
  <c r="W43" i="1"/>
  <c r="W46" i="1"/>
  <c r="W44" i="1"/>
  <c r="W42" i="1"/>
  <c r="W40" i="1"/>
  <c r="W41" i="1"/>
  <c r="W38" i="1"/>
  <c r="W39" i="1"/>
  <c r="W37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19" i="2" l="1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F27" i="1" s="1"/>
  <c r="AF47" i="1" l="1"/>
  <c r="AF48" i="1"/>
  <c r="AF23" i="1"/>
  <c r="AF41" i="1"/>
  <c r="AF25" i="1"/>
  <c r="AF36" i="1"/>
  <c r="AF42" i="1"/>
  <c r="AF35" i="1"/>
  <c r="AF46" i="1"/>
  <c r="AF45" i="1"/>
  <c r="AF29" i="1"/>
  <c r="AF24" i="1"/>
  <c r="AF34" i="1"/>
  <c r="AF38" i="1"/>
  <c r="AF43" i="1"/>
  <c r="AF44" i="1"/>
  <c r="AF33" i="1"/>
  <c r="AF37" i="1"/>
  <c r="AF39" i="1"/>
  <c r="AF40" i="1"/>
  <c r="AF31" i="1"/>
  <c r="AF30" i="1"/>
  <c r="AF32" i="1"/>
  <c r="AF28" i="1"/>
  <c r="AF26" i="1"/>
  <c r="AC4" i="1"/>
  <c r="AC3" i="1"/>
  <c r="AC6" i="1" s="1"/>
  <c r="Z47" i="1" l="1"/>
  <c r="Z48" i="1"/>
  <c r="AA47" i="1"/>
  <c r="Z45" i="1"/>
  <c r="Z46" i="1"/>
  <c r="Z43" i="1"/>
  <c r="Z44" i="1"/>
  <c r="Z42" i="1"/>
  <c r="Z41" i="1"/>
  <c r="Z40" i="1"/>
  <c r="Z39" i="1"/>
  <c r="Z38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B47" i="1" l="1"/>
  <c r="AA48" i="1"/>
  <c r="AC48" i="1" s="1"/>
  <c r="AE48" i="1" s="1"/>
  <c r="AA46" i="1"/>
  <c r="AB46" i="1" s="1"/>
  <c r="AA45" i="1"/>
  <c r="AA26" i="1"/>
  <c r="AA44" i="1"/>
  <c r="AB44" i="1" s="1"/>
  <c r="AA42" i="1"/>
  <c r="AB42" i="1" s="1"/>
  <c r="AA43" i="1"/>
  <c r="AB43" i="1" s="1"/>
  <c r="AA40" i="1"/>
  <c r="AB40" i="1" s="1"/>
  <c r="AA41" i="1"/>
  <c r="AA39" i="1"/>
  <c r="AB39" i="1" s="1"/>
  <c r="AA38" i="1"/>
  <c r="AA36" i="1"/>
  <c r="AB36" i="1" s="1"/>
  <c r="AA37" i="1"/>
  <c r="AB37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B48" i="1" l="1"/>
  <c r="AC45" i="1"/>
  <c r="AE45" i="1" s="1"/>
  <c r="AC47" i="1"/>
  <c r="AE47" i="1" s="1"/>
  <c r="AB45" i="1"/>
  <c r="AC46" i="1"/>
  <c r="AE46" i="1" s="1"/>
  <c r="AC26" i="1"/>
  <c r="AE26" i="1" s="1"/>
  <c r="AB26" i="1"/>
  <c r="AC43" i="1"/>
  <c r="AE43" i="1" s="1"/>
  <c r="AC42" i="1"/>
  <c r="AE42" i="1" s="1"/>
  <c r="AC44" i="1"/>
  <c r="AE44" i="1" s="1"/>
  <c r="AC41" i="1"/>
  <c r="AE41" i="1" s="1"/>
  <c r="AB41" i="1"/>
  <c r="AC40" i="1"/>
  <c r="AE40" i="1" s="1"/>
  <c r="AC38" i="1"/>
  <c r="AE38" i="1" s="1"/>
  <c r="AB38" i="1"/>
  <c r="AC39" i="1"/>
  <c r="AE39" i="1" s="1"/>
  <c r="AC36" i="1"/>
  <c r="AE36" i="1" s="1"/>
  <c r="AC37" i="1"/>
  <c r="AE37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s="1"/>
  <c r="AI48" i="1" l="1"/>
  <c r="AJ48" i="1" s="1"/>
  <c r="AI45" i="1"/>
  <c r="AJ45" i="1" s="1"/>
  <c r="AI47" i="1"/>
  <c r="AJ47" i="1" s="1"/>
  <c r="AI44" i="1"/>
  <c r="AJ44" i="1" s="1"/>
  <c r="AI46" i="1"/>
  <c r="AJ46" i="1" s="1"/>
  <c r="AI39" i="1"/>
  <c r="AJ39" i="1" s="1"/>
  <c r="AI38" i="1"/>
  <c r="AJ38" i="1" s="1"/>
  <c r="AI41" i="1"/>
  <c r="AJ41" i="1" s="1"/>
  <c r="AI43" i="1"/>
  <c r="AJ43" i="1" s="1"/>
  <c r="AI40" i="1"/>
  <c r="AJ40" i="1" s="1"/>
  <c r="AI42" i="1"/>
  <c r="AJ42" i="1" s="1"/>
  <c r="AI36" i="1"/>
  <c r="AJ36" i="1" s="1"/>
  <c r="AI37" i="1"/>
  <c r="AJ37" i="1" s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<sst xmlns="http://schemas.openxmlformats.org/spreadsheetml/2006/main" count="105" uniqueCount="90">
  <si>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</si>
  <si>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</si>
  <si>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</si>
  <si>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</si>
  <si>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</si>
  <si>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</si>
  <si>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</si>
  <si>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</si>
  <si>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</si>
  <si>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</si>
  <si>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</si>
  <si>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</si>
  <si>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</si>
  <si>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</si>
  <si>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</si>
  <si>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</si>
  <si>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</si>
  <si>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</si>
  <si>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</si>
  <si>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</si>
  <si>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</si>
  <si>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</si>
  <si>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</si>
  <si>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</si>
  <si>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</si>
  <si>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</si>
  <si>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</si>
  <si>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</si>
  <si>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</si>
  <si>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</si>
  <si>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</si>
  <si>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</si>
  <si>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</si>
  <si>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</si>
  <si>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</si>
  <si>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</si>
  <si>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</si>
  <si>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</si>
  <si>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</si>
  <si>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</si>
  <si>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</si>
  <si>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</si>
  <si>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</si>
  <si>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</si>
  <si>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</si>
  <si>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</si>
  <si>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</si>
  <si>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</si>
  <si>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</si>
  <si>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</si>
  <si>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</si>
  <si>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</si>
  <si>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</si>
  <si>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</si>
  <si>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</si>
  <si>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</si>
  <si>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</si>
  <si>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</si>
  <si>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</si>
  <si>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</si>
  <si>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</si>
  <si>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</si>
  <si>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</si>
  <si>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</si>
  <si>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</si>
  <si>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</si>
  <si>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</si>
  <si>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</si>
  <si>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</si>
  <si>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</si>
  <si>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</si>
  <si>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</si>
  <si>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</si>
  <si>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</si>
  <si>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</si>
  <si>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</si>
  <si>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</si>
  <si>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</si>
  <si>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</si>
  <si>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</si>
  <si>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</si>
  <si>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</si>
  <si>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</si>
  <si>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</si>
  <si>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</si>
  <si>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CSS17</t>
  </si>
  <si>
    <t xml:space="preserve">BS </t>
  </si>
  <si>
    <t>RIVER</t>
  </si>
  <si>
    <t>1,3973451.749,1518917.312,3293.156,</t>
  </si>
  <si>
    <t>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</si>
</sst>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0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26.59</c:v>
                </c:pt>
                <c:pt idx="2">
                  <c:v>154.87</c:v>
                </c:pt>
                <c:pt idx="3">
                  <c:v>178.86</c:v>
                </c:pt>
                <c:pt idx="4">
                  <c:v>258.87</c:v>
                </c:pt>
                <c:pt idx="5">
                  <c:v>304.38</c:v>
                </c:pt>
                <c:pt idx="6">
                  <c:v>313.12</c:v>
                </c:pt>
                <c:pt idx="7">
                  <c:v>326.11</c:v>
                </c:pt>
                <c:pt idx="8">
                  <c:v>358.25</c:v>
                </c:pt>
                <c:pt idx="9">
                  <c:v>381.11</c:v>
                </c:pt>
                <c:pt idx="10">
                  <c:v>386.57</c:v>
                </c:pt>
                <c:pt idx="11">
                  <c:v>429.85</c:v>
                </c:pt>
                <c:pt idx="12">
                  <c:v>438.84</c:v>
                </c:pt>
                <c:pt idx="13">
                  <c:v>458.65</c:v>
                </c:pt>
                <c:pt idx="14">
                  <c:v>460.62</c:v>
                </c:pt>
                <c:pt idx="15">
                  <c:v>465.26</c:v>
                </c:pt>
                <c:pt idx="16">
                  <c:v>491.52</c:v>
                </c:pt>
                <c:pt idx="17">
                  <c:v>528.25</c:v>
                </c:pt>
                <c:pt idx="18">
                  <c:v>531.39</c:v>
                </c:pt>
                <c:pt idx="19">
                  <c:v>533.91999999999996</c:v>
                </c:pt>
                <c:pt idx="20">
                  <c:v>541.29</c:v>
                </c:pt>
                <c:pt idx="21">
                  <c:v>593.59</c:v>
                </c:pt>
                <c:pt idx="22">
                  <c:v>653.17999999999995</c:v>
                </c:pt>
                <c:pt idx="23">
                  <c:v>693.87</c:v>
                </c:pt>
                <c:pt idx="24">
                  <c:v>734.06</c:v>
                </c:pt>
                <c:pt idx="25">
                  <c:v>778.72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19.03</c:v>
                </c:pt>
                <c:pt idx="1">
                  <c:v>10.23</c:v>
                </c:pt>
                <c:pt idx="2">
                  <c:v>8.57</c:v>
                </c:pt>
                <c:pt idx="3">
                  <c:v>7.87</c:v>
                </c:pt>
                <c:pt idx="4">
                  <c:v>4.82</c:v>
                </c:pt>
                <c:pt idx="5">
                  <c:v>5.5</c:v>
                </c:pt>
                <c:pt idx="6">
                  <c:v>4.7300000000000004</c:v>
                </c:pt>
                <c:pt idx="7">
                  <c:v>5.21</c:v>
                </c:pt>
                <c:pt idx="8">
                  <c:v>6.38</c:v>
                </c:pt>
                <c:pt idx="9">
                  <c:v>4.5</c:v>
                </c:pt>
                <c:pt idx="10">
                  <c:v>2.97</c:v>
                </c:pt>
                <c:pt idx="11">
                  <c:v>2.2400000000000002</c:v>
                </c:pt>
                <c:pt idx="12">
                  <c:v>3.46</c:v>
                </c:pt>
                <c:pt idx="13">
                  <c:v>1.84</c:v>
                </c:pt>
                <c:pt idx="14">
                  <c:v>0.83</c:v>
                </c:pt>
                <c:pt idx="15">
                  <c:v>0.54</c:v>
                </c:pt>
                <c:pt idx="16">
                  <c:v>0</c:v>
                </c:pt>
                <c:pt idx="17">
                  <c:v>0.31</c:v>
                </c:pt>
                <c:pt idx="18">
                  <c:v>0.86</c:v>
                </c:pt>
                <c:pt idx="19">
                  <c:v>2.46</c:v>
                </c:pt>
                <c:pt idx="20">
                  <c:v>5.85</c:v>
                </c:pt>
                <c:pt idx="21">
                  <c:v>5.79</c:v>
                </c:pt>
                <c:pt idx="22">
                  <c:v>4.13</c:v>
                </c:pt>
                <c:pt idx="23">
                  <c:v>3.57</c:v>
                </c:pt>
                <c:pt idx="24">
                  <c:v>3.49</c:v>
                </c:pt>
                <c:pt idx="25">
                  <c:v>17.170000000000002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8560"/>
        <c:axId val="106242816"/>
      </c:scatterChart>
      <c:valAx>
        <c:axId val="786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2816"/>
        <c:crosses val="autoZero"/>
        <c:crossBetween val="midCat"/>
      </c:valAx>
      <c:valAx>
        <c:axId val="106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5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Calculations!$R$23:$R$48</c:f>
              <c:numCache>
                <c:formatCode>0.00</c:formatCode>
                <c:ptCount val="26"/>
                <c:pt idx="0">
                  <c:v>208.85020678251388</c:v>
                </c:pt>
                <c:pt idx="1">
                  <c:v>197.8021539704016</c:v>
                </c:pt>
                <c:pt idx="2">
                  <c:v>136.22942899597425</c:v>
                </c:pt>
                <c:pt idx="3">
                  <c:v>129.76457804597712</c:v>
                </c:pt>
                <c:pt idx="4">
                  <c:v>91.196541578841618</c:v>
                </c:pt>
                <c:pt idx="5">
                  <c:v>67.039050006942546</c:v>
                </c:pt>
                <c:pt idx="6">
                  <c:v>63.000194750095183</c:v>
                </c:pt>
                <c:pt idx="7">
                  <c:v>57.65413617232452</c:v>
                </c:pt>
                <c:pt idx="8">
                  <c:v>42.402537352269505</c:v>
                </c:pt>
                <c:pt idx="9">
                  <c:v>31.357308627646276</c:v>
                </c:pt>
                <c:pt idx="10">
                  <c:v>28.015350935508714</c:v>
                </c:pt>
                <c:pt idx="11">
                  <c:v>-1.4196079641445358</c:v>
                </c:pt>
                <c:pt idx="12">
                  <c:v>-8.1234710368737524</c:v>
                </c:pt>
                <c:pt idx="13">
                  <c:v>-12.874519217986579</c:v>
                </c:pt>
                <c:pt idx="14">
                  <c:v>-13.41465513150842</c:v>
                </c:pt>
                <c:pt idx="15">
                  <c:v>-16.283370265699872</c:v>
                </c:pt>
                <c:pt idx="16">
                  <c:v>-26.710591902157653</c:v>
                </c:pt>
                <c:pt idx="17">
                  <c:v>-40.464829020377636</c:v>
                </c:pt>
                <c:pt idx="18">
                  <c:v>-42.219579060634267</c:v>
                </c:pt>
                <c:pt idx="19">
                  <c:v>-43.119177349733668</c:v>
                </c:pt>
                <c:pt idx="20">
                  <c:v>-46.482442555754332</c:v>
                </c:pt>
                <c:pt idx="21">
                  <c:v>-69.78721672309203</c:v>
                </c:pt>
                <c:pt idx="22">
                  <c:v>-97.652400906470731</c:v>
                </c:pt>
                <c:pt idx="23">
                  <c:v>-121.13909200902646</c:v>
                </c:pt>
                <c:pt idx="24">
                  <c:v>-141.11809151885572</c:v>
                </c:pt>
                <c:pt idx="25">
                  <c:v>-162.04718088320922</c:v>
                </c:pt>
              </c:numCache>
            </c:numRef>
          </c:xVal>
          <c:yVal>
            <c:numRef>
              <c:f>Calculations!$S$23:$S$48</c:f>
              <c:numCache>
                <c:formatCode>0.00</c:formatCode>
                <c:ptCount val="26"/>
                <c:pt idx="0">
                  <c:v>399.05997886215118</c:v>
                </c:pt>
                <c:pt idx="1">
                  <c:v>374.79512029794671</c:v>
                </c:pt>
                <c:pt idx="2">
                  <c:v>262.25592270031052</c:v>
                </c:pt>
                <c:pt idx="3">
                  <c:v>238.45048261660466</c:v>
                </c:pt>
                <c:pt idx="4">
                  <c:v>168.34831299471472</c:v>
                </c:pt>
                <c:pt idx="5">
                  <c:v>129.69133452826171</c:v>
                </c:pt>
                <c:pt idx="6">
                  <c:v>121.93297421514622</c:v>
                </c:pt>
                <c:pt idx="7">
                  <c:v>110.05466968547245</c:v>
                </c:pt>
                <c:pt idx="8">
                  <c:v>81.761064875989746</c:v>
                </c:pt>
                <c:pt idx="9">
                  <c:v>61.747038215287006</c:v>
                </c:pt>
                <c:pt idx="10">
                  <c:v>57.354563450599805</c:v>
                </c:pt>
                <c:pt idx="11">
                  <c:v>24.117893670918662</c:v>
                </c:pt>
                <c:pt idx="12">
                  <c:v>17.547947227707056</c:v>
                </c:pt>
                <c:pt idx="13">
                  <c:v>-2.4433985162449954</c:v>
                </c:pt>
                <c:pt idx="14">
                  <c:v>-4.3868167617444138</c:v>
                </c:pt>
                <c:pt idx="15">
                  <c:v>-8.1071582250239711</c:v>
                </c:pt>
                <c:pt idx="16">
                  <c:v>-32.341475296404418</c:v>
                </c:pt>
                <c:pt idx="17">
                  <c:v>-66.675227859938531</c:v>
                </c:pt>
                <c:pt idx="18">
                  <c:v>-69.30194008364893</c:v>
                </c:pt>
                <c:pt idx="19">
                  <c:v>-71.689126284216357</c:v>
                </c:pt>
                <c:pt idx="20">
                  <c:v>-78.253376123476343</c:v>
                </c:pt>
                <c:pt idx="21">
                  <c:v>-125.11724446810904</c:v>
                </c:pt>
                <c:pt idx="22">
                  <c:v>-177.79236461585143</c:v>
                </c:pt>
                <c:pt idx="23">
                  <c:v>-211.32830124669763</c:v>
                </c:pt>
                <c:pt idx="24">
                  <c:v>-246.20675476923344</c:v>
                </c:pt>
                <c:pt idx="25">
                  <c:v>-285.67047167599765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28"/>
        <c:axId val="106409984"/>
      </c:scatterChart>
      <c:valAx>
        <c:axId val="106268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409984"/>
        <c:crosses val="autoZero"/>
        <c:crossBetween val="midCat"/>
      </c:valAx>
      <c:valAx>
        <c:axId val="106409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26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1519128.857735065</c:v>
                </c:pt>
                <c:pt idx="3">
                  <c:v>1519116.0962325411</c:v>
                </c:pt>
                <c:pt idx="4">
                  <c:v>1519054.5290701517</c:v>
                </c:pt>
                <c:pt idx="5">
                  <c:v>1519043.0166941625</c:v>
                </c:pt>
                <c:pt idx="6">
                  <c:v>1519004.6164942861</c:v>
                </c:pt>
                <c:pt idx="7">
                  <c:v>1518982.7755849746</c:v>
                </c:pt>
                <c:pt idx="8">
                  <c:v>1518978.5786260087</c:v>
                </c:pt>
                <c:pt idx="9">
                  <c:v>1518972.3458667416</c:v>
                </c:pt>
                <c:pt idx="10">
                  <c:v>1518956.9198230961</c:v>
                </c:pt>
                <c:pt idx="11">
                  <c:v>1518945.9487821183</c:v>
                </c:pt>
                <c:pt idx="12">
                  <c:v>1518943.329550348</c:v>
                </c:pt>
                <c:pt idx="13">
                  <c:v>1518922.5552550654</c:v>
                </c:pt>
                <c:pt idx="14">
                  <c:v>1518918.2448229517</c:v>
                </c:pt>
                <c:pt idx="15">
                  <c:v>1518908.7331248685</c:v>
                </c:pt>
                <c:pt idx="16">
                  <c:v>1518907.7904352224</c:v>
                </c:pt>
                <c:pt idx="17">
                  <c:v>1518905.5632109621</c:v>
                </c:pt>
                <c:pt idx="18">
                  <c:v>1518892.9575693421</c:v>
                </c:pt>
                <c:pt idx="19">
                  <c:v>1518875.3332242202</c:v>
                </c:pt>
                <c:pt idx="20">
                  <c:v>1518873.8230613335</c:v>
                </c:pt>
                <c:pt idx="21">
                  <c:v>1518872.6107252883</c:v>
                </c:pt>
                <c:pt idx="22">
                  <c:v>1518869.0721605597</c:v>
                </c:pt>
                <c:pt idx="23">
                  <c:v>1518843.9721573761</c:v>
                </c:pt>
                <c:pt idx="24">
                  <c:v>1518815.374890252</c:v>
                </c:pt>
                <c:pt idx="25">
                  <c:v>1518795.8447048091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3973849.3343678494</c:v>
                </c:pt>
                <c:pt idx="3">
                  <c:v>3973826.006866103</c:v>
                </c:pt>
                <c:pt idx="4">
                  <c:v>3973713.4646254471</c:v>
                </c:pt>
                <c:pt idx="5">
                  <c:v>3973692.4204756306</c:v>
                </c:pt>
                <c:pt idx="6">
                  <c:v>3973622.2264896161</c:v>
                </c:pt>
                <c:pt idx="7">
                  <c:v>3973582.3022056883</c:v>
                </c:pt>
                <c:pt idx="8">
                  <c:v>3973574.6303373151</c:v>
                </c:pt>
                <c:pt idx="9">
                  <c:v>3973563.2371097216</c:v>
                </c:pt>
                <c:pt idx="10">
                  <c:v>3973535.0389363947</c:v>
                </c:pt>
                <c:pt idx="11">
                  <c:v>3973514.9843247142</c:v>
                </c:pt>
                <c:pt idx="12">
                  <c:v>3973510.1964767645</c:v>
                </c:pt>
                <c:pt idx="13">
                  <c:v>3973472.2219194127</c:v>
                </c:pt>
                <c:pt idx="14">
                  <c:v>3973464.3426267924</c:v>
                </c:pt>
                <c:pt idx="15">
                  <c:v>3973446.955633902</c:v>
                </c:pt>
                <c:pt idx="16">
                  <c:v>3973445.2324360008</c:v>
                </c:pt>
                <c:pt idx="17">
                  <c:v>3973441.1611616565</c:v>
                </c:pt>
                <c:pt idx="18">
                  <c:v>3973418.118567232</c:v>
                </c:pt>
                <c:pt idx="19">
                  <c:v>3973385.9019892197</c:v>
                </c:pt>
                <c:pt idx="20">
                  <c:v>3973383.1414735741</c:v>
                </c:pt>
                <c:pt idx="21">
                  <c:v>3973380.9253731454</c:v>
                </c:pt>
                <c:pt idx="22">
                  <c:v>3973374.4570223591</c:v>
                </c:pt>
                <c:pt idx="23">
                  <c:v>3973328.5752488761</c:v>
                </c:pt>
                <c:pt idx="24">
                  <c:v>3973276.3006207487</c:v>
                </c:pt>
                <c:pt idx="25">
                  <c:v>3973240.6002450148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6512"/>
        <c:axId val="122018432"/>
      </c:scatterChart>
      <c:valAx>
        <c:axId val="122016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2018432"/>
        <c:crosses val="autoZero"/>
        <c:crossBetween val="midCat"/>
      </c:valAx>
      <c:valAx>
        <c:axId val="122018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01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3520"/>
        <c:axId val="156193536"/>
      </c:scatterChart>
      <c:valAx>
        <c:axId val="1498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93536"/>
        <c:crosses val="autoZero"/>
        <c:crossBetween val="midCat"/>
      </c:valAx>
      <c:valAx>
        <c:axId val="156193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988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49</xdr:row>
      <xdr:rowOff>78925</xdr:rowOff>
    </xdr:from>
    <xdr:to>
      <xdr:col>34</xdr:col>
      <xdr:colOff>167833</xdr:colOff>
      <xdr:row>63</xdr:row>
      <xdr:rowOff>155125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638735</xdr:colOff>
      <xdr:row>50</xdr:row>
      <xdr:rowOff>53811</xdr:rowOff>
    </xdr:from>
    <xdr:to>
      <xdr:col>20</xdr:col>
      <xdr:colOff>586864</xdr:colOff>
      <xdr:row>64</xdr:row>
      <xdr:rowOff>130011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49</xdr:row>
      <xdr:rowOff>40341</xdr:rowOff>
    </xdr:from>
    <xdr:to>
      <xdr:col>27</xdr:col>
      <xdr:colOff>392206</xdr:colOff>
      <xdr:row>63</xdr:row>
      <xdr:rowOff>116541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topLeftCell="N4" zoomScale="85" zoomScaleNormal="85" workbookViewId="0">
      <selection activeCell="AJ23" sqref="AJ23:AJ48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1" t="s">
        <v>85</v>
      </c>
      <c r="B1" s="62"/>
      <c r="C1" s="51">
        <v>40838</v>
      </c>
      <c r="D1" s="44"/>
      <c r="E1" s="44"/>
      <c r="F1" s="44"/>
      <c r="M1" s="59" t="s">
        <v>21</v>
      </c>
      <c r="N1" s="59"/>
      <c r="O1" s="59"/>
      <c r="P1" s="59"/>
      <c r="Q1" s="59"/>
      <c r="R1" s="22"/>
      <c r="W1" s="56" t="s">
        <v>34</v>
      </c>
      <c r="X1" s="56"/>
      <c r="Y1" s="56"/>
      <c r="Z1" s="2"/>
      <c r="AA1" s="56" t="s">
        <v>56</v>
      </c>
      <c r="AB1" s="56"/>
      <c r="AC1" s="56"/>
    </row>
    <row r="2" spans="1:29" x14ac:dyDescent="0.25">
      <c r="A2" s="61" t="s">
        <v>16</v>
      </c>
      <c r="B2" s="62"/>
      <c r="C2" s="38">
        <v>5.0991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1" t="s">
        <v>66</v>
      </c>
      <c r="B3" s="62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>SLOPE(yB,xB)</f>
        <v>1.8279588710597989</v>
      </c>
    </row>
    <row r="4" spans="1:29" ht="18" x14ac:dyDescent="0.35">
      <c r="A4" s="61" t="s">
        <v>67</v>
      </c>
      <c r="B4" s="62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1518917.3119999999</v>
      </c>
      <c r="O4" s="20">
        <f>VALUE(MID(C10,FIND(",",C10,1)+1,FIND(",",C10,5)-FIND(",",C10,1)-1))</f>
        <v>3973451.7489999998</v>
      </c>
      <c r="P4" s="20">
        <f>VALUE(MID(C10,FIND(",",C10,17)+1,FIND(",",C10,27)-FIND(",",C10,17)-1))</f>
        <v>3293.1559999999999</v>
      </c>
      <c r="Q4" s="23"/>
      <c r="R4" s="22"/>
      <c r="W4" s="27"/>
      <c r="X4" s="20" t="e">
        <f ca="1">VALUE(OFFSET($P$3,MATCH($O$10,$M$4:$M$6,0),0))</f>
        <v>#VALUE!</v>
      </c>
      <c r="Y4" s="20" t="e">
        <f ca="1">OFFSET($P$3,MATCH($Q$10,$M$4:$M$6,0),0)</f>
        <v>#VALUE!</v>
      </c>
      <c r="Z4" s="2"/>
      <c r="AA4" s="26" t="s">
        <v>41</v>
      </c>
      <c r="AB4" s="26" t="s">
        <v>54</v>
      </c>
      <c r="AC4" s="28">
        <f>INTERCEPT(yB,xB)</f>
        <v>1196944.2625880982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 t="e">
        <f t="shared" ref="N5:N6" si="0">VALUE(MID(C11,FIND(",",C11,3)+1,FIND(",",C11,15)-FIND(",",C11,3)-1))</f>
        <v>#VALUE!</v>
      </c>
      <c r="O5" s="20" t="e">
        <f t="shared" ref="O5:O6" si="1">VALUE(MID(C11,FIND(",",C11,1)+1,FIND(",",C11,5)-FIND(",",C11,1)-1))</f>
        <v>#VALUE!</v>
      </c>
      <c r="P5" s="20" t="e">
        <f t="shared" ref="P5:P6" si="2">VALUE(MID(C11,FIND(",",C11,17)+1,FIND(",",C11,27)-FIND(",",C11,17)-1))</f>
        <v>#VALUE!</v>
      </c>
      <c r="Q5" s="24" t="e">
        <f>DEGREES(ATAN2(Old_Y1-Old_Y0,Old_X1-Old_X0))+IF(Old_X1-Old_X0&lt;0,360)</f>
        <v>#VALUE!</v>
      </c>
      <c r="R5" s="22"/>
      <c r="W5" s="21"/>
      <c r="X5" s="20">
        <f ca="1">VALUE(OFFSET($V$20,MATCH($O11,$A$21:$A$51,0),0))</f>
        <v>3296.6739961151934</v>
      </c>
      <c r="Y5" s="20">
        <f ca="1">OFFSET($V$20,MATCH($Q11,$A$21:$A$51,0),0)</f>
        <v>3294.3226574395126</v>
      </c>
      <c r="Z5" s="2"/>
      <c r="AA5" s="26"/>
      <c r="AB5" s="26"/>
      <c r="AC5" s="20"/>
    </row>
    <row r="6" spans="1:29" ht="18" x14ac:dyDescent="0.35">
      <c r="A6" s="63" t="s">
        <v>17</v>
      </c>
      <c r="B6" s="63"/>
      <c r="C6" s="55">
        <v>3</v>
      </c>
      <c r="D6" s="4"/>
      <c r="E6" s="44"/>
      <c r="F6" s="44"/>
      <c r="M6" s="22">
        <v>2</v>
      </c>
      <c r="N6" s="20" t="e">
        <f t="shared" si="0"/>
        <v>#VALUE!</v>
      </c>
      <c r="O6" s="20" t="e">
        <f t="shared" si="1"/>
        <v>#VALUE!</v>
      </c>
      <c r="P6" s="20" t="e">
        <f t="shared" si="2"/>
        <v>#VALUE!</v>
      </c>
      <c r="Q6" s="24" t="e">
        <f>DEGREES(ATAN2(Old_Y2-Old_Y0,Old_X2-Old_X0))+IF(Old_X2-Old_X0&lt;0,360)</f>
        <v>#VALUE!</v>
      </c>
      <c r="R6" s="22"/>
      <c r="W6" s="21"/>
      <c r="X6" s="20">
        <f ca="1">VALUE(OFFSET($V$20,MATCH($O12,$A$21:$A$61,0),0))</f>
        <v>3296.7060602655356</v>
      </c>
      <c r="Y6" s="20">
        <f ca="1">VALUE(OFFSET($V$20,MATCH($O12,$A$21:$A$61,0),0))</f>
        <v>3296.7060602655356</v>
      </c>
      <c r="Z6" s="5"/>
      <c r="AA6" s="26" t="s">
        <v>42</v>
      </c>
      <c r="AB6" s="21" t="s">
        <v>55</v>
      </c>
      <c r="AC6" s="20">
        <f>-1/mA</f>
        <v>-0.54705826035365235</v>
      </c>
    </row>
    <row r="7" spans="1:29" x14ac:dyDescent="0.25">
      <c r="A7" s="63" t="s">
        <v>18</v>
      </c>
      <c r="B7" s="63"/>
      <c r="C7" s="55">
        <v>28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6" t="s">
        <v>24</v>
      </c>
      <c r="P8" s="56"/>
      <c r="Q8" s="56" t="s">
        <v>25</v>
      </c>
      <c r="R8" s="56"/>
      <c r="W8" s="21" t="s">
        <v>35</v>
      </c>
      <c r="X8" s="20" t="e">
        <f ca="1">X5-X4</f>
        <v>#VALUE!</v>
      </c>
      <c r="Y8" s="20" t="e">
        <f ca="1">Y5-Y4</f>
        <v>#VALUE!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 t="e">
        <f ca="1">X6-X4</f>
        <v>#VALUE!</v>
      </c>
      <c r="Y9" s="20" t="e">
        <f ca="1">Y6-Y4</f>
        <v>#VALUE!</v>
      </c>
      <c r="AA9" s="31" t="s">
        <v>49</v>
      </c>
      <c r="AB9" s="31"/>
      <c r="AC9" s="20">
        <f>AVERAGE(DfromL)</f>
        <v>3.1413728103450036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60" t="s">
        <v>22</v>
      </c>
      <c r="N10" s="60"/>
      <c r="O10" s="32">
        <v>1</v>
      </c>
      <c r="P10" s="20" t="e">
        <f ca="1">OFFSET($Q$3,MATCH($O$10,$M$4:$M$6,0),0)</f>
        <v>#VALUE!</v>
      </c>
      <c r="Q10" s="32">
        <v>2</v>
      </c>
      <c r="R10" s="20" t="e">
        <f ca="1">OFFSET($Q$3,MATCH($O$10,$M$4:$M$6,0),0)</f>
        <v>#VALUE!</v>
      </c>
      <c r="W10" s="22"/>
      <c r="X10" s="22"/>
      <c r="Y10" s="22"/>
      <c r="AA10" s="31" t="s">
        <v>50</v>
      </c>
      <c r="AB10" s="31"/>
      <c r="AC10" s="20">
        <f>_xlfn.STDEV.P(DfromL)</f>
        <v>2.2553133692564331</v>
      </c>
    </row>
    <row r="11" spans="1:29" s="16" customFormat="1" x14ac:dyDescent="0.25">
      <c r="A11" s="14"/>
      <c r="B11" s="48"/>
      <c r="C11" s="35"/>
      <c r="D11" s="36"/>
      <c r="E11" s="37"/>
      <c r="F11" s="47"/>
      <c r="M11" s="56" t="s">
        <v>31</v>
      </c>
      <c r="N11" s="56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98.201666666666682</v>
      </c>
      <c r="W11" s="21" t="s">
        <v>37</v>
      </c>
      <c r="X11" s="20">
        <v>0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/>
      <c r="D12" s="36"/>
      <c r="E12" s="37"/>
      <c r="F12" s="47"/>
      <c r="M12" s="56" t="s">
        <v>30</v>
      </c>
      <c r="N12" s="56"/>
      <c r="O12" s="32">
        <v>29</v>
      </c>
      <c r="P12" s="20">
        <f ca="1">OFFSET($N$20,MATCH($O12,$A$21:$A$61,0),0)</f>
        <v>359.98</v>
      </c>
      <c r="Q12" s="32">
        <v>30</v>
      </c>
      <c r="R12" s="20">
        <f ca="1">OFFSET($N$20,MATCH($Q12,$A$21:$A$51,0),0)</f>
        <v>89.199444444444438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>MIN(Zs)</f>
        <v>3280.4973430265786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6" t="s">
        <v>32</v>
      </c>
      <c r="N14" s="56"/>
      <c r="O14" s="22"/>
      <c r="P14" s="20" t="e">
        <f ca="1">P10-P11+IF(P11&gt;P10,360)</f>
        <v>#VALUE!</v>
      </c>
      <c r="Q14" s="20"/>
      <c r="R14" s="20" t="e">
        <f ca="1">R10-R11+IF(R11&gt;R10,360)</f>
        <v>#VALUE!</v>
      </c>
      <c r="W14" s="20" t="s">
        <v>89</v>
      </c>
      <c r="X14" s="20">
        <v>3288.87</v>
      </c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6" t="s">
        <v>33</v>
      </c>
      <c r="N15" s="56"/>
      <c r="O15" s="22"/>
      <c r="P15" s="20" t="e">
        <f ca="1">P10-P12+IF(P12&gt;P10,360)</f>
        <v>#VALUE!</v>
      </c>
      <c r="Q15" s="20"/>
      <c r="R15" s="20" t="e">
        <f ca="1">R10-R12+IF(R12&gt;R10,360)</f>
        <v>#VALUE!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6" t="s">
        <v>39</v>
      </c>
      <c r="N17" s="56"/>
      <c r="O17" s="20">
        <v>0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7" t="s">
        <v>20</v>
      </c>
      <c r="U19" s="57"/>
      <c r="X19" s="58" t="s">
        <v>45</v>
      </c>
      <c r="Y19" s="58"/>
      <c r="Z19" s="58" t="s">
        <v>46</v>
      </c>
      <c r="AA19" s="58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3.7114583333333333</v>
      </c>
      <c r="D21" s="44">
        <v>205.97</v>
      </c>
      <c r="E21" s="44">
        <v>4.9062000000000001</v>
      </c>
      <c r="F21" s="49" t="s">
        <v>84</v>
      </c>
      <c r="G21" s="43">
        <f>C21*24</f>
        <v>89.075000000000003</v>
      </c>
      <c r="H21" s="43">
        <f>RADIANS(G21)</f>
        <v>1.5546520312139491</v>
      </c>
      <c r="I21" s="43">
        <f t="shared" ref="I21:I33" si="3">B21*24</f>
        <v>0</v>
      </c>
      <c r="J21" s="39">
        <f>RADIANS(I21)</f>
        <v>0</v>
      </c>
      <c r="K21" s="39">
        <f>D21*SIN(H21)</f>
        <v>205.94315874974998</v>
      </c>
      <c r="L21" s="15">
        <f>D21*COS(H21)</f>
        <v>3.3250961151935532</v>
      </c>
      <c r="M21" s="13"/>
      <c r="N21" s="16">
        <f t="shared" ref="N21:N33" si="4">I21+M21</f>
        <v>0</v>
      </c>
      <c r="O21" s="16">
        <f>$O$17</f>
        <v>0</v>
      </c>
      <c r="P21" s="16">
        <f>SUM(N21,O21)</f>
        <v>0</v>
      </c>
      <c r="Q21" s="16">
        <f>RADIANS(P21)</f>
        <v>0</v>
      </c>
      <c r="R21" s="16">
        <f t="shared" ref="R21:R33" si="5">K21*SIN(Q21)</f>
        <v>0</v>
      </c>
      <c r="S21" s="16">
        <f t="shared" ref="S21:S33" si="6">K21*COS(Q21)</f>
        <v>205.94315874974998</v>
      </c>
      <c r="T21" s="13">
        <f t="shared" ref="T21:T33" si="7">Old_X0+R21</f>
        <v>1518917.3119999999</v>
      </c>
      <c r="U21" s="13">
        <f t="shared" ref="U21:U33" si="8">Old_Y0+S21</f>
        <v>3973657.6921587498</v>
      </c>
      <c r="V21" s="16">
        <f t="shared" ref="V21:V33" si="9">Old_Z0+HI+L21-E21</f>
        <v>3296.6739961151934</v>
      </c>
      <c r="W21" s="16">
        <f>IF(ISNUMBER(T21),V21+dZ,"")</f>
        <v>3296.6739961151934</v>
      </c>
      <c r="X21" s="16" t="str">
        <f t="shared" ref="X21:X50" si="10">IF(AND(A21&gt;=CS_Start,A21&lt;=CS_End),IF(OR(LEFT(UPPER(F21))="D"),"",T21),"")</f>
        <v/>
      </c>
      <c r="Y21" s="16" t="str">
        <f>IF(ISNUMBER(X21),U21,"")</f>
        <v/>
      </c>
      <c r="Z21" s="16" t="e">
        <f t="shared" ref="Z21:Z50" si="11">IF(X21="",NA(),VALUE((-mB*X21+Y21-bA)/(mA-mB)))</f>
        <v>#N/A</v>
      </c>
      <c r="AA21" s="16" t="e">
        <f t="shared" ref="AA21:AA50" si="12"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3">IF(ISNUMBER(Z21),SQRT(($Z21-OFFSET($Z$20,MATCH(CS_Start,$A$21:$A$51,0),0))^2+($AA21-OFFSET($AA$20,MATCH(CS_Start,$A$21:$A$51,0),0))^2),"")</f>
        <v/>
      </c>
      <c r="AD21" s="16" t="str">
        <f t="shared" ref="AD21:AD22" si="14">IF(ISNUMBER(X21),W21-Min_Z,"")</f>
        <v/>
      </c>
    </row>
    <row r="22" spans="1:36" x14ac:dyDescent="0.25">
      <c r="A22" s="44">
        <v>2</v>
      </c>
      <c r="B22" s="48">
        <v>4.0917361111111115</v>
      </c>
      <c r="C22" s="48">
        <v>3.7239351851851854</v>
      </c>
      <c r="D22" s="44">
        <v>89.19</v>
      </c>
      <c r="E22" s="44">
        <v>4.9062000000000001</v>
      </c>
      <c r="F22" s="49" t="s">
        <v>86</v>
      </c>
      <c r="G22" s="43">
        <f t="shared" ref="G22:G33" si="15">C22*24</f>
        <v>89.37444444444445</v>
      </c>
      <c r="H22" s="43">
        <f t="shared" ref="H22:H33" si="16">RADIANS(G22)</f>
        <v>1.55987832269631</v>
      </c>
      <c r="I22" s="43">
        <f t="shared" si="3"/>
        <v>98.201666666666682</v>
      </c>
      <c r="J22" s="39">
        <f t="shared" ref="J22:J33" si="17">RADIANS(I22)</f>
        <v>1.7139424142792985</v>
      </c>
      <c r="K22" s="39">
        <f t="shared" ref="K22:K33" si="18">D22*SIN(H22)</f>
        <v>89.184684203337255</v>
      </c>
      <c r="L22" s="15">
        <f t="shared" ref="L22:L33" si="19">D22*COS(H22)</f>
        <v>0.97375743951282057</v>
      </c>
      <c r="M22" s="13"/>
      <c r="N22" s="16">
        <f t="shared" si="4"/>
        <v>98.201666666666682</v>
      </c>
      <c r="O22" s="16">
        <f t="shared" ref="O22:O50" si="20">$O$17</f>
        <v>0</v>
      </c>
      <c r="P22" s="16">
        <f t="shared" ref="P22:P33" si="21">SUM(N22,O22)</f>
        <v>98.201666666666682</v>
      </c>
      <c r="Q22" s="16">
        <f t="shared" ref="Q22:Q33" si="22">RADIANS(P22)</f>
        <v>1.7139424142792985</v>
      </c>
      <c r="R22" s="16">
        <f t="shared" si="5"/>
        <v>88.272510529128709</v>
      </c>
      <c r="S22" s="16">
        <f t="shared" si="6"/>
        <v>-12.722884159413464</v>
      </c>
      <c r="T22" s="13">
        <f t="shared" si="7"/>
        <v>1519005.5845105289</v>
      </c>
      <c r="U22" s="13">
        <f t="shared" si="8"/>
        <v>3973439.0261158403</v>
      </c>
      <c r="V22" s="16">
        <f t="shared" si="9"/>
        <v>3294.3226574395126</v>
      </c>
      <c r="W22" s="16">
        <f t="shared" ref="W22:W33" si="23">IF(ISNUMBER(T22),V22+dZ,"")</f>
        <v>3294.3226574395126</v>
      </c>
      <c r="X22" s="47" t="str">
        <f t="shared" si="10"/>
        <v/>
      </c>
      <c r="Y22" s="47" t="str">
        <f t="shared" ref="Y22:Y35" si="24">IF(ISNUMBER(X22),U22,"")</f>
        <v/>
      </c>
      <c r="Z22" s="47" t="e">
        <f t="shared" si="11"/>
        <v>#N/A</v>
      </c>
      <c r="AA22" s="47" t="e">
        <f t="shared" si="12"/>
        <v>#N/A</v>
      </c>
      <c r="AB22" s="16" t="str">
        <f t="shared" ref="AB22:AB23" si="25">IF(ISNUMBER(X22),SQRT((X22-Z22)^2+(Y22-AA22)^2),"")</f>
        <v/>
      </c>
      <c r="AC22" s="16" t="str">
        <f t="shared" ca="1" si="13"/>
        <v/>
      </c>
      <c r="AD22" s="16" t="str">
        <f t="shared" si="14"/>
        <v/>
      </c>
    </row>
    <row r="23" spans="1:36" x14ac:dyDescent="0.25">
      <c r="A23" s="44">
        <v>3</v>
      </c>
      <c r="B23" s="48">
        <v>1.1510648148148148</v>
      </c>
      <c r="C23" s="48">
        <v>3.6728819444444447</v>
      </c>
      <c r="D23" s="44">
        <v>450.64299999999997</v>
      </c>
      <c r="E23" s="44">
        <v>4.9062000000000001</v>
      </c>
      <c r="F23" s="44"/>
      <c r="G23" s="43">
        <f t="shared" si="15"/>
        <v>88.149166666666673</v>
      </c>
      <c r="H23" s="43">
        <f t="shared" si="16"/>
        <v>1.5384931912225683</v>
      </c>
      <c r="I23" s="43">
        <f t="shared" si="3"/>
        <v>27.625555555555557</v>
      </c>
      <c r="J23" s="39">
        <f t="shared" si="17"/>
        <v>0.48215690213705575</v>
      </c>
      <c r="K23" s="39">
        <f t="shared" si="18"/>
        <v>450.40789913428398</v>
      </c>
      <c r="L23" s="15">
        <f t="shared" si="19"/>
        <v>14.554650337284661</v>
      </c>
      <c r="M23" s="13"/>
      <c r="N23" s="16">
        <f t="shared" si="4"/>
        <v>27.625555555555557</v>
      </c>
      <c r="O23" s="16">
        <f t="shared" si="20"/>
        <v>0</v>
      </c>
      <c r="P23" s="16">
        <f t="shared" si="21"/>
        <v>27.625555555555557</v>
      </c>
      <c r="Q23" s="16">
        <f t="shared" si="22"/>
        <v>0.48215690213705575</v>
      </c>
      <c r="R23" s="16">
        <f t="shared" si="5"/>
        <v>208.85020678251388</v>
      </c>
      <c r="S23" s="16">
        <f t="shared" si="6"/>
        <v>399.05997886215118</v>
      </c>
      <c r="T23" s="13">
        <f t="shared" si="7"/>
        <v>1519126.1622067825</v>
      </c>
      <c r="U23" s="13">
        <f t="shared" si="8"/>
        <v>3973850.8089788621</v>
      </c>
      <c r="V23" s="16">
        <f t="shared" si="9"/>
        <v>3307.9035503372847</v>
      </c>
      <c r="W23" s="16">
        <f t="shared" si="23"/>
        <v>3307.9035503372847</v>
      </c>
      <c r="X23" s="47">
        <f t="shared" si="10"/>
        <v>1519126.1622067825</v>
      </c>
      <c r="Y23" s="47">
        <f t="shared" si="24"/>
        <v>3973850.8089788621</v>
      </c>
      <c r="Z23" s="47">
        <f t="shared" si="11"/>
        <v>1519128.857735065</v>
      </c>
      <c r="AA23" s="47">
        <f t="shared" si="12"/>
        <v>3973849.3343678494</v>
      </c>
      <c r="AB23" s="16">
        <f t="shared" si="25"/>
        <v>3.0725153149983901</v>
      </c>
      <c r="AC23" s="16">
        <f t="shared" ca="1" si="13"/>
        <v>0</v>
      </c>
      <c r="AD23" s="16">
        <f>IF(ISNUMBER(X23),W23-$X$14,"")</f>
        <v>19.033550337284851</v>
      </c>
      <c r="AE23" s="47">
        <f ca="1">ROUND(AC23,2)</f>
        <v>0</v>
      </c>
      <c r="AF23" s="47">
        <f t="shared" ref="AF23:AF46" si="26">ROUND(AD23,2)</f>
        <v>19.03</v>
      </c>
      <c r="AH23" s="44">
        <v>0</v>
      </c>
      <c r="AI23" s="2">
        <f t="shared" ref="AI23:AI43" ca="1" si="27">OFFSET($AF$22,MATCH(AH23,$AE$23:$AE$59,0),0)</f>
        <v>19.03</v>
      </c>
      <c r="AJ23" s="2" t="str">
        <f t="shared" ref="AJ23:AJ43" ca="1" si="28">CONCATENATE(AH23,",",AI23)</f>
        <v>0,19.03</v>
      </c>
    </row>
    <row r="24" spans="1:36" x14ac:dyDescent="0.25">
      <c r="A24" s="44">
        <v>4</v>
      </c>
      <c r="B24" s="48">
        <v>1.1593055555555556</v>
      </c>
      <c r="C24" s="48">
        <v>3.717592592592593</v>
      </c>
      <c r="D24" s="44">
        <v>423.82799999999997</v>
      </c>
      <c r="E24" s="44">
        <v>4.9062000000000001</v>
      </c>
      <c r="F24" s="44"/>
      <c r="G24" s="43">
        <f t="shared" si="15"/>
        <v>89.222222222222229</v>
      </c>
      <c r="H24" s="43">
        <f t="shared" si="16"/>
        <v>1.5572215437238297</v>
      </c>
      <c r="I24" s="43">
        <f t="shared" si="3"/>
        <v>27.823333333333334</v>
      </c>
      <c r="J24" s="39">
        <f t="shared" si="17"/>
        <v>0.48560877554655563</v>
      </c>
      <c r="K24" s="39">
        <f t="shared" si="18"/>
        <v>423.7889502033799</v>
      </c>
      <c r="L24" s="15">
        <f t="shared" si="19"/>
        <v>5.7531964608527488</v>
      </c>
      <c r="M24" s="13"/>
      <c r="N24" s="16">
        <f t="shared" si="4"/>
        <v>27.823333333333334</v>
      </c>
      <c r="O24" s="16">
        <f t="shared" si="20"/>
        <v>0</v>
      </c>
      <c r="P24" s="16">
        <f t="shared" si="21"/>
        <v>27.823333333333334</v>
      </c>
      <c r="Q24" s="16">
        <f t="shared" si="22"/>
        <v>0.48560877554655563</v>
      </c>
      <c r="R24" s="16">
        <f t="shared" si="5"/>
        <v>197.8021539704016</v>
      </c>
      <c r="S24" s="16">
        <f t="shared" si="6"/>
        <v>374.79512029794671</v>
      </c>
      <c r="T24" s="13">
        <f t="shared" si="7"/>
        <v>1519115.1141539703</v>
      </c>
      <c r="U24" s="13">
        <f t="shared" si="8"/>
        <v>3973826.5441202978</v>
      </c>
      <c r="V24" s="16">
        <f t="shared" si="9"/>
        <v>3299.1020964608529</v>
      </c>
      <c r="W24" s="16">
        <f t="shared" si="23"/>
        <v>3299.1020964608529</v>
      </c>
      <c r="X24" s="47">
        <f t="shared" si="10"/>
        <v>1519115.1141539703</v>
      </c>
      <c r="Y24" s="47">
        <f t="shared" si="24"/>
        <v>3973826.5441202978</v>
      </c>
      <c r="Z24" s="47">
        <f t="shared" si="11"/>
        <v>1519116.0962325411</v>
      </c>
      <c r="AA24" s="47">
        <f t="shared" si="12"/>
        <v>3973826.006866103</v>
      </c>
      <c r="AB24" s="47">
        <f t="shared" ref="AB24:AB33" si="29">IF(ISNUMBER(X24),SQRT((X24-Z24)^2+(Y24-AA24)^2),"")</f>
        <v>1.1194285993849717</v>
      </c>
      <c r="AC24" s="47">
        <f t="shared" ref="AC24:AC33" ca="1" si="30">IF(ISNUMBER(Z24),SQRT(($Z24-OFFSET($Z$20,MATCH(CS_Start,$A$21:$A$51,0),0))^2+($AA24-OFFSET($AA$20,MATCH(CS_Start,$A$21:$A$51,0),0))^2),"")</f>
        <v>26.590003467358017</v>
      </c>
      <c r="AD24" s="47">
        <f t="shared" ref="AD24:AD50" si="31">IF(ISNUMBER(X24),W24-$X$14,"")</f>
        <v>10.232096460852972</v>
      </c>
      <c r="AE24" s="47">
        <f t="shared" ref="AE24:AE50" ca="1" si="32">ROUND(AC24,2)</f>
        <v>26.59</v>
      </c>
      <c r="AF24" s="47">
        <f t="shared" si="26"/>
        <v>10.23</v>
      </c>
      <c r="AH24" s="44">
        <v>26.59</v>
      </c>
      <c r="AI24" s="44">
        <f t="shared" ca="1" si="27"/>
        <v>10.23</v>
      </c>
      <c r="AJ24" s="2" t="str">
        <f t="shared" ca="1" si="28"/>
        <v>26.59,10.23</v>
      </c>
    </row>
    <row r="25" spans="1:36" x14ac:dyDescent="0.25">
      <c r="A25" s="44">
        <v>5</v>
      </c>
      <c r="B25" s="48">
        <v>1.1437384259259258</v>
      </c>
      <c r="C25" s="48">
        <v>3.7169675925925927</v>
      </c>
      <c r="D25" s="44">
        <v>295.55599999999998</v>
      </c>
      <c r="E25" s="44">
        <v>4.9062000000000001</v>
      </c>
      <c r="F25" s="44"/>
      <c r="G25" s="43">
        <f t="shared" si="15"/>
        <v>89.207222222222228</v>
      </c>
      <c r="H25" s="43">
        <f t="shared" si="16"/>
        <v>1.5569597443360306</v>
      </c>
      <c r="I25" s="43">
        <f t="shared" si="3"/>
        <v>27.449722222222221</v>
      </c>
      <c r="J25" s="39">
        <f t="shared" si="17"/>
        <v>0.47908803153563234</v>
      </c>
      <c r="K25" s="39">
        <f t="shared" si="18"/>
        <v>295.52770820341101</v>
      </c>
      <c r="L25" s="15">
        <f t="shared" si="19"/>
        <v>4.0893544771210726</v>
      </c>
      <c r="M25" s="13"/>
      <c r="N25" s="16">
        <f t="shared" si="4"/>
        <v>27.449722222222221</v>
      </c>
      <c r="O25" s="16">
        <f t="shared" si="20"/>
        <v>0</v>
      </c>
      <c r="P25" s="16">
        <f t="shared" si="21"/>
        <v>27.449722222222221</v>
      </c>
      <c r="Q25" s="16">
        <f t="shared" si="22"/>
        <v>0.47908803153563234</v>
      </c>
      <c r="R25" s="16">
        <f t="shared" si="5"/>
        <v>136.22942899597425</v>
      </c>
      <c r="S25" s="16">
        <f t="shared" si="6"/>
        <v>262.25592270031052</v>
      </c>
      <c r="T25" s="13">
        <f t="shared" si="7"/>
        <v>1519053.5414289958</v>
      </c>
      <c r="U25" s="13">
        <f t="shared" si="8"/>
        <v>3973714.0049227001</v>
      </c>
      <c r="V25" s="16">
        <f t="shared" si="9"/>
        <v>3297.4382544771211</v>
      </c>
      <c r="W25" s="16">
        <f t="shared" si="23"/>
        <v>3297.4382544771211</v>
      </c>
      <c r="X25" s="47">
        <f t="shared" si="10"/>
        <v>1519053.5414289958</v>
      </c>
      <c r="Y25" s="47">
        <f t="shared" si="24"/>
        <v>3973714.0049227001</v>
      </c>
      <c r="Z25" s="47">
        <f t="shared" si="11"/>
        <v>1519054.5290701517</v>
      </c>
      <c r="AA25" s="47">
        <f t="shared" si="12"/>
        <v>3973713.4646254471</v>
      </c>
      <c r="AB25" s="47">
        <f t="shared" si="29"/>
        <v>1.1257691480017977</v>
      </c>
      <c r="AC25" s="47">
        <f t="shared" ca="1" si="30"/>
        <v>154.8720030485606</v>
      </c>
      <c r="AD25" s="47">
        <f t="shared" si="31"/>
        <v>8.5682544771211724</v>
      </c>
      <c r="AE25" s="47">
        <f t="shared" ca="1" si="32"/>
        <v>154.87</v>
      </c>
      <c r="AF25" s="47">
        <f t="shared" si="26"/>
        <v>8.57</v>
      </c>
      <c r="AH25" s="44">
        <v>154.87</v>
      </c>
      <c r="AI25" s="44">
        <f t="shared" ca="1" si="27"/>
        <v>8.57</v>
      </c>
      <c r="AJ25" s="2" t="str">
        <f t="shared" ca="1" si="28"/>
        <v>154.87,8.57</v>
      </c>
    </row>
    <row r="26" spans="1:36" x14ac:dyDescent="0.25">
      <c r="A26" s="44">
        <v>6</v>
      </c>
      <c r="B26" s="48">
        <v>1.1897916666666666</v>
      </c>
      <c r="C26" s="48">
        <v>3.7201620370370372</v>
      </c>
      <c r="D26" s="44">
        <v>271.49400000000003</v>
      </c>
      <c r="E26" s="44">
        <v>4.9062000000000001</v>
      </c>
      <c r="F26" s="44"/>
      <c r="G26" s="43">
        <f t="shared" si="15"/>
        <v>89.283888888888896</v>
      </c>
      <c r="H26" s="43">
        <f t="shared" si="16"/>
        <v>1.558297830095893</v>
      </c>
      <c r="I26" s="43">
        <f t="shared" si="3"/>
        <v>28.555</v>
      </c>
      <c r="J26" s="39">
        <f t="shared" si="17"/>
        <v>0.49837876790698082</v>
      </c>
      <c r="K26" s="39">
        <f t="shared" si="18"/>
        <v>271.47279490870199</v>
      </c>
      <c r="L26" s="15">
        <f t="shared" si="19"/>
        <v>3.3931785184180874</v>
      </c>
      <c r="M26" s="13"/>
      <c r="N26" s="16">
        <f t="shared" si="4"/>
        <v>28.555</v>
      </c>
      <c r="O26" s="16">
        <f t="shared" si="20"/>
        <v>0</v>
      </c>
      <c r="P26" s="16">
        <f t="shared" si="21"/>
        <v>28.555</v>
      </c>
      <c r="Q26" s="16">
        <f t="shared" si="22"/>
        <v>0.49837876790698082</v>
      </c>
      <c r="R26" s="16">
        <f t="shared" si="5"/>
        <v>129.76457804597712</v>
      </c>
      <c r="S26" s="16">
        <f t="shared" si="6"/>
        <v>238.45048261660466</v>
      </c>
      <c r="T26" s="13">
        <f t="shared" si="7"/>
        <v>1519047.076578046</v>
      </c>
      <c r="U26" s="13">
        <f t="shared" si="8"/>
        <v>3973690.1994826165</v>
      </c>
      <c r="V26" s="16">
        <f t="shared" si="9"/>
        <v>3296.7420785184181</v>
      </c>
      <c r="W26" s="16">
        <f t="shared" si="23"/>
        <v>3296.7420785184181</v>
      </c>
      <c r="X26" s="47">
        <f t="shared" si="10"/>
        <v>1519047.076578046</v>
      </c>
      <c r="Y26" s="47">
        <f t="shared" si="24"/>
        <v>3973690.1994826165</v>
      </c>
      <c r="Z26" s="47">
        <f t="shared" si="11"/>
        <v>1519043.0166941625</v>
      </c>
      <c r="AA26" s="47">
        <f t="shared" si="12"/>
        <v>3973692.4204756306</v>
      </c>
      <c r="AB26" s="47">
        <f t="shared" si="29"/>
        <v>4.6276848548290257</v>
      </c>
      <c r="AC26" s="47">
        <f ca="1">IF(ISNUMBER(Z26),SQRT(($Z26-OFFSET($Z$20,MATCH(CS_Start,$A$21:$A$51,0),0))^2+($AA26-OFFSET($AA$20,MATCH(CS_Start,$A$21:$A$51,0),0))^2),"")</f>
        <v>178.85931307734006</v>
      </c>
      <c r="AD26" s="47">
        <f t="shared" si="31"/>
        <v>7.8720785184182205</v>
      </c>
      <c r="AE26" s="47">
        <f t="shared" ca="1" si="32"/>
        <v>178.86</v>
      </c>
      <c r="AF26" s="47">
        <f t="shared" si="26"/>
        <v>7.87</v>
      </c>
      <c r="AH26" s="44">
        <v>178.86</v>
      </c>
      <c r="AI26" s="44">
        <f t="shared" ca="1" si="27"/>
        <v>7.87</v>
      </c>
      <c r="AJ26" s="2" t="str">
        <f t="shared" ca="1" si="28"/>
        <v>178.86,7.87</v>
      </c>
    </row>
    <row r="27" spans="1:36" x14ac:dyDescent="0.25">
      <c r="A27" s="44">
        <v>7</v>
      </c>
      <c r="B27" s="48">
        <v>1.1852083333333334</v>
      </c>
      <c r="C27" s="48">
        <v>3.7457407407407408</v>
      </c>
      <c r="D27" s="44">
        <v>191.46299999999999</v>
      </c>
      <c r="E27" s="44">
        <v>4.9062000000000001</v>
      </c>
      <c r="F27" s="44"/>
      <c r="G27" s="43">
        <f t="shared" si="15"/>
        <v>89.897777777777776</v>
      </c>
      <c r="H27" s="43">
        <f t="shared" si="16"/>
        <v>1.5690122124484134</v>
      </c>
      <c r="I27" s="43">
        <f t="shared" si="3"/>
        <v>28.445</v>
      </c>
      <c r="J27" s="39">
        <f t="shared" si="17"/>
        <v>0.49645890572978707</v>
      </c>
      <c r="K27" s="39">
        <f t="shared" si="18"/>
        <v>191.46269528058937</v>
      </c>
      <c r="L27" s="15">
        <f t="shared" si="19"/>
        <v>0.34159170390261068</v>
      </c>
      <c r="M27" s="13"/>
      <c r="N27" s="16">
        <f t="shared" si="4"/>
        <v>28.445</v>
      </c>
      <c r="O27" s="16">
        <f t="shared" si="20"/>
        <v>0</v>
      </c>
      <c r="P27" s="16">
        <f t="shared" si="21"/>
        <v>28.445</v>
      </c>
      <c r="Q27" s="16">
        <f t="shared" si="22"/>
        <v>0.49645890572978707</v>
      </c>
      <c r="R27" s="16">
        <f t="shared" si="5"/>
        <v>91.196541578841618</v>
      </c>
      <c r="S27" s="16">
        <f t="shared" si="6"/>
        <v>168.34831299471472</v>
      </c>
      <c r="T27" s="13">
        <f t="shared" si="7"/>
        <v>1519008.5085415787</v>
      </c>
      <c r="U27" s="13">
        <f t="shared" si="8"/>
        <v>3973620.0973129948</v>
      </c>
      <c r="V27" s="16">
        <f t="shared" si="9"/>
        <v>3293.6904917039024</v>
      </c>
      <c r="W27" s="16">
        <f t="shared" si="23"/>
        <v>3293.6904917039024</v>
      </c>
      <c r="X27" s="47">
        <f t="shared" si="10"/>
        <v>1519008.5085415787</v>
      </c>
      <c r="Y27" s="47">
        <f t="shared" si="24"/>
        <v>3973620.0973129948</v>
      </c>
      <c r="Z27" s="47">
        <f t="shared" si="11"/>
        <v>1519004.6164942861</v>
      </c>
      <c r="AA27" s="47">
        <f t="shared" si="12"/>
        <v>3973622.2264896161</v>
      </c>
      <c r="AB27" s="47">
        <f t="shared" si="29"/>
        <v>4.4363752334835871</v>
      </c>
      <c r="AC27" s="47">
        <f t="shared" ca="1" si="30"/>
        <v>258.87038120635629</v>
      </c>
      <c r="AD27" s="47">
        <f t="shared" si="31"/>
        <v>4.8204917039024622</v>
      </c>
      <c r="AE27" s="47">
        <f t="shared" ca="1" si="32"/>
        <v>258.87</v>
      </c>
      <c r="AF27" s="47">
        <f t="shared" si="26"/>
        <v>4.82</v>
      </c>
      <c r="AH27" s="44">
        <v>258.87</v>
      </c>
      <c r="AI27" s="44">
        <f t="shared" ca="1" si="27"/>
        <v>4.82</v>
      </c>
      <c r="AJ27" s="2" t="str">
        <f t="shared" ca="1" si="28"/>
        <v>258.87,4.82</v>
      </c>
    </row>
    <row r="28" spans="1:36" x14ac:dyDescent="0.25">
      <c r="A28" s="44">
        <v>8</v>
      </c>
      <c r="B28" s="48">
        <v>1.1389583333333333</v>
      </c>
      <c r="C28" s="48">
        <v>3.7332638888888887</v>
      </c>
      <c r="D28" s="44">
        <v>145.99700000000001</v>
      </c>
      <c r="E28" s="44">
        <v>4.9062000000000001</v>
      </c>
      <c r="F28" s="44"/>
      <c r="G28" s="43">
        <f t="shared" si="15"/>
        <v>89.598333333333329</v>
      </c>
      <c r="H28" s="43">
        <f t="shared" si="16"/>
        <v>1.5637859209660527</v>
      </c>
      <c r="I28" s="43">
        <f t="shared" si="3"/>
        <v>27.335000000000001</v>
      </c>
      <c r="J28" s="39">
        <f t="shared" si="17"/>
        <v>0.47708575103265</v>
      </c>
      <c r="K28" s="39">
        <f t="shared" si="18"/>
        <v>145.99341244574987</v>
      </c>
      <c r="L28" s="15">
        <f t="shared" si="19"/>
        <v>1.023489836376245</v>
      </c>
      <c r="M28" s="13"/>
      <c r="N28" s="16">
        <f t="shared" si="4"/>
        <v>27.335000000000001</v>
      </c>
      <c r="O28" s="16">
        <f t="shared" si="20"/>
        <v>0</v>
      </c>
      <c r="P28" s="16">
        <f t="shared" si="21"/>
        <v>27.335000000000001</v>
      </c>
      <c r="Q28" s="16">
        <f t="shared" si="22"/>
        <v>0.47708575103265</v>
      </c>
      <c r="R28" s="16">
        <f t="shared" si="5"/>
        <v>67.039050006942546</v>
      </c>
      <c r="S28" s="16">
        <f t="shared" si="6"/>
        <v>129.69133452826171</v>
      </c>
      <c r="T28" s="13">
        <f t="shared" si="7"/>
        <v>1518984.3510500069</v>
      </c>
      <c r="U28" s="13">
        <f t="shared" si="8"/>
        <v>3973581.4403345282</v>
      </c>
      <c r="V28" s="16">
        <f t="shared" si="9"/>
        <v>3294.372389836376</v>
      </c>
      <c r="W28" s="16">
        <f t="shared" si="23"/>
        <v>3294.372389836376</v>
      </c>
      <c r="X28" s="47">
        <f t="shared" si="10"/>
        <v>1518984.3510500069</v>
      </c>
      <c r="Y28" s="47">
        <f t="shared" si="24"/>
        <v>3973581.4403345282</v>
      </c>
      <c r="Z28" s="47">
        <f t="shared" si="11"/>
        <v>1518982.7755849746</v>
      </c>
      <c r="AA28" s="47">
        <f t="shared" si="12"/>
        <v>3973582.3022056883</v>
      </c>
      <c r="AB28" s="47">
        <f t="shared" si="29"/>
        <v>1.795803988418416</v>
      </c>
      <c r="AC28" s="47">
        <f t="shared" ca="1" si="30"/>
        <v>304.3783339915633</v>
      </c>
      <c r="AD28" s="47">
        <f t="shared" si="31"/>
        <v>5.5023898363760964</v>
      </c>
      <c r="AE28" s="47">
        <f t="shared" ca="1" si="32"/>
        <v>304.38</v>
      </c>
      <c r="AF28" s="47">
        <f t="shared" si="26"/>
        <v>5.5</v>
      </c>
      <c r="AH28" s="44">
        <v>304.38</v>
      </c>
      <c r="AI28" s="44">
        <f t="shared" ca="1" si="27"/>
        <v>5.5</v>
      </c>
      <c r="AJ28" s="2" t="str">
        <f t="shared" ca="1" si="28"/>
        <v>304.38,5.5</v>
      </c>
    </row>
    <row r="29" spans="1:36" x14ac:dyDescent="0.25">
      <c r="A29" s="44">
        <v>9</v>
      </c>
      <c r="B29" s="48">
        <v>1.1385185185185185</v>
      </c>
      <c r="C29" s="48">
        <v>3.7455902777777776</v>
      </c>
      <c r="D29" s="44">
        <v>137.24700000000001</v>
      </c>
      <c r="E29" s="44">
        <v>4.9062000000000001</v>
      </c>
      <c r="F29" s="44"/>
      <c r="G29" s="43">
        <f t="shared" si="15"/>
        <v>89.894166666666663</v>
      </c>
      <c r="H29" s="43">
        <f t="shared" si="16"/>
        <v>1.5689491866698693</v>
      </c>
      <c r="I29" s="43">
        <f t="shared" si="3"/>
        <v>27.324444444444445</v>
      </c>
      <c r="J29" s="39">
        <f t="shared" si="17"/>
        <v>0.47690152183382839</v>
      </c>
      <c r="K29" s="39">
        <f t="shared" si="18"/>
        <v>137.2467658617187</v>
      </c>
      <c r="L29" s="15">
        <f t="shared" si="19"/>
        <v>0.25351429657754126</v>
      </c>
      <c r="M29" s="13"/>
      <c r="N29" s="16">
        <f t="shared" si="4"/>
        <v>27.324444444444445</v>
      </c>
      <c r="O29" s="16">
        <f t="shared" si="20"/>
        <v>0</v>
      </c>
      <c r="P29" s="16">
        <f t="shared" si="21"/>
        <v>27.324444444444445</v>
      </c>
      <c r="Q29" s="16">
        <f t="shared" si="22"/>
        <v>0.47690152183382839</v>
      </c>
      <c r="R29" s="16">
        <f t="shared" si="5"/>
        <v>63.000194750095183</v>
      </c>
      <c r="S29" s="16">
        <f t="shared" si="6"/>
        <v>121.93297421514622</v>
      </c>
      <c r="T29" s="13">
        <f t="shared" si="7"/>
        <v>1518980.3121947499</v>
      </c>
      <c r="U29" s="13">
        <f t="shared" si="8"/>
        <v>3973573.681974215</v>
      </c>
      <c r="V29" s="16">
        <f t="shared" si="9"/>
        <v>3293.6024142965775</v>
      </c>
      <c r="W29" s="16">
        <f t="shared" si="23"/>
        <v>3293.6024142965775</v>
      </c>
      <c r="X29" s="47">
        <f t="shared" si="10"/>
        <v>1518980.3121947499</v>
      </c>
      <c r="Y29" s="47">
        <f t="shared" si="24"/>
        <v>3973573.681974215</v>
      </c>
      <c r="Z29" s="47">
        <f t="shared" si="11"/>
        <v>1518978.5786260087</v>
      </c>
      <c r="AA29" s="47">
        <f t="shared" si="12"/>
        <v>3973574.6303373151</v>
      </c>
      <c r="AB29" s="47">
        <f t="shared" si="29"/>
        <v>1.9760195217633316</v>
      </c>
      <c r="AC29" s="47">
        <f t="shared" ca="1" si="30"/>
        <v>313.12316268607634</v>
      </c>
      <c r="AD29" s="47">
        <f t="shared" si="31"/>
        <v>4.7324142965776446</v>
      </c>
      <c r="AE29" s="47">
        <f t="shared" ca="1" si="32"/>
        <v>313.12</v>
      </c>
      <c r="AF29" s="47">
        <f t="shared" si="26"/>
        <v>4.7300000000000004</v>
      </c>
      <c r="AH29" s="44">
        <v>313.12</v>
      </c>
      <c r="AI29" s="44">
        <f t="shared" ca="1" si="27"/>
        <v>4.7300000000000004</v>
      </c>
      <c r="AJ29" s="2" t="str">
        <f t="shared" ca="1" si="28"/>
        <v>313.12,4.73</v>
      </c>
    </row>
    <row r="30" spans="1:36" x14ac:dyDescent="0.25">
      <c r="A30" s="44">
        <v>10</v>
      </c>
      <c r="B30" s="48">
        <v>1.1520254629629629</v>
      </c>
      <c r="C30" s="48">
        <v>3.7358564814814819</v>
      </c>
      <c r="D30" s="44">
        <v>124.244</v>
      </c>
      <c r="E30" s="44">
        <v>4.9062000000000001</v>
      </c>
      <c r="F30" s="44"/>
      <c r="G30" s="43">
        <f t="shared" si="15"/>
        <v>89.660555555555561</v>
      </c>
      <c r="H30" s="43">
        <f t="shared" si="16"/>
        <v>1.5648719036117382</v>
      </c>
      <c r="I30" s="43">
        <f t="shared" si="3"/>
        <v>27.648611111111109</v>
      </c>
      <c r="J30" s="39">
        <f t="shared" si="17"/>
        <v>0.48255929749237658</v>
      </c>
      <c r="K30" s="39">
        <f t="shared" si="18"/>
        <v>124.24181959934178</v>
      </c>
      <c r="L30" s="15">
        <f t="shared" si="19"/>
        <v>0.73606972809122451</v>
      </c>
      <c r="M30" s="13"/>
      <c r="N30" s="16">
        <f t="shared" si="4"/>
        <v>27.648611111111109</v>
      </c>
      <c r="O30" s="16">
        <f t="shared" si="20"/>
        <v>0</v>
      </c>
      <c r="P30" s="16">
        <f t="shared" si="21"/>
        <v>27.648611111111109</v>
      </c>
      <c r="Q30" s="16">
        <f t="shared" si="22"/>
        <v>0.48255929749237658</v>
      </c>
      <c r="R30" s="16">
        <f t="shared" si="5"/>
        <v>57.65413617232452</v>
      </c>
      <c r="S30" s="16">
        <f t="shared" si="6"/>
        <v>110.05466968547245</v>
      </c>
      <c r="T30" s="13">
        <f t="shared" si="7"/>
        <v>1518974.9661361722</v>
      </c>
      <c r="U30" s="13">
        <f t="shared" si="8"/>
        <v>3973561.8036696855</v>
      </c>
      <c r="V30" s="16">
        <f t="shared" si="9"/>
        <v>3294.084969728091</v>
      </c>
      <c r="W30" s="16">
        <f t="shared" si="23"/>
        <v>3294.084969728091</v>
      </c>
      <c r="X30" s="47">
        <f t="shared" si="10"/>
        <v>1518974.9661361722</v>
      </c>
      <c r="Y30" s="47">
        <f t="shared" si="24"/>
        <v>3973561.8036696855</v>
      </c>
      <c r="Z30" s="47">
        <f t="shared" si="11"/>
        <v>1518972.3458667416</v>
      </c>
      <c r="AA30" s="47">
        <f t="shared" si="12"/>
        <v>3973563.2371097216</v>
      </c>
      <c r="AB30" s="47">
        <f t="shared" si="29"/>
        <v>2.9867310267216243</v>
      </c>
      <c r="AC30" s="47">
        <f t="shared" ca="1" si="30"/>
        <v>326.10980671288257</v>
      </c>
      <c r="AD30" s="47">
        <f t="shared" si="31"/>
        <v>5.2149697280910914</v>
      </c>
      <c r="AE30" s="47">
        <f t="shared" ca="1" si="32"/>
        <v>326.11</v>
      </c>
      <c r="AF30" s="47">
        <f t="shared" si="26"/>
        <v>5.21</v>
      </c>
      <c r="AH30" s="44">
        <v>326.11</v>
      </c>
      <c r="AI30" s="44">
        <f t="shared" ca="1" si="27"/>
        <v>5.21</v>
      </c>
      <c r="AJ30" s="2" t="str">
        <f t="shared" ca="1" si="28"/>
        <v>326.11,5.21</v>
      </c>
    </row>
    <row r="31" spans="1:36" x14ac:dyDescent="0.25">
      <c r="A31" s="44">
        <v>11</v>
      </c>
      <c r="B31" s="48">
        <v>1.1421643518518518</v>
      </c>
      <c r="C31" s="48">
        <v>3.7007175925925928</v>
      </c>
      <c r="D31" s="44">
        <v>92.122</v>
      </c>
      <c r="E31" s="44">
        <v>4.9062000000000001</v>
      </c>
      <c r="F31" s="44"/>
      <c r="G31" s="43">
        <f t="shared" si="15"/>
        <v>88.817222222222227</v>
      </c>
      <c r="H31" s="43">
        <f t="shared" si="16"/>
        <v>1.5501529602532527</v>
      </c>
      <c r="I31" s="43">
        <f t="shared" si="3"/>
        <v>27.411944444444444</v>
      </c>
      <c r="J31" s="39">
        <f t="shared" si="17"/>
        <v>0.47842868492932339</v>
      </c>
      <c r="K31" s="39">
        <f t="shared" si="18"/>
        <v>92.102371867213137</v>
      </c>
      <c r="L31" s="15">
        <f t="shared" si="19"/>
        <v>1.901573147050841</v>
      </c>
      <c r="M31" s="13"/>
      <c r="N31" s="16">
        <f t="shared" si="4"/>
        <v>27.411944444444444</v>
      </c>
      <c r="O31" s="16">
        <f t="shared" si="20"/>
        <v>0</v>
      </c>
      <c r="P31" s="16">
        <f t="shared" si="21"/>
        <v>27.411944444444444</v>
      </c>
      <c r="Q31" s="16">
        <f t="shared" si="22"/>
        <v>0.47842868492932339</v>
      </c>
      <c r="R31" s="16">
        <f t="shared" si="5"/>
        <v>42.402537352269505</v>
      </c>
      <c r="S31" s="16">
        <f t="shared" si="6"/>
        <v>81.761064875989746</v>
      </c>
      <c r="T31" s="13">
        <f t="shared" si="7"/>
        <v>1518959.7145373521</v>
      </c>
      <c r="U31" s="13">
        <f t="shared" si="8"/>
        <v>3973533.5100648757</v>
      </c>
      <c r="V31" s="16">
        <f t="shared" si="9"/>
        <v>3295.2504731470508</v>
      </c>
      <c r="W31" s="16">
        <f t="shared" si="23"/>
        <v>3295.2504731470508</v>
      </c>
      <c r="X31" s="47">
        <f t="shared" si="10"/>
        <v>1518959.7145373521</v>
      </c>
      <c r="Y31" s="47">
        <f t="shared" si="24"/>
        <v>3973533.5100648757</v>
      </c>
      <c r="Z31" s="47">
        <f t="shared" si="11"/>
        <v>1518956.9198230961</v>
      </c>
      <c r="AA31" s="47">
        <f t="shared" si="12"/>
        <v>3973535.0389363947</v>
      </c>
      <c r="AB31" s="47">
        <f t="shared" si="29"/>
        <v>3.1855730872381494</v>
      </c>
      <c r="AC31" s="47">
        <f t="shared" ca="1" si="30"/>
        <v>358.25167662622829</v>
      </c>
      <c r="AD31" s="47">
        <f t="shared" si="31"/>
        <v>6.3804731470509068</v>
      </c>
      <c r="AE31" s="47">
        <f t="shared" ca="1" si="32"/>
        <v>358.25</v>
      </c>
      <c r="AF31" s="47">
        <f t="shared" si="26"/>
        <v>6.38</v>
      </c>
      <c r="AH31" s="44">
        <v>358.25</v>
      </c>
      <c r="AI31" s="44">
        <f t="shared" ca="1" si="27"/>
        <v>6.38</v>
      </c>
      <c r="AJ31" s="2" t="str">
        <f t="shared" ca="1" si="28"/>
        <v>358.25,6.38</v>
      </c>
    </row>
    <row r="32" spans="1:36" x14ac:dyDescent="0.25">
      <c r="A32" s="44">
        <v>12</v>
      </c>
      <c r="B32" s="48">
        <v>1.1217939814814815</v>
      </c>
      <c r="C32" s="48">
        <v>3.7492476851851855</v>
      </c>
      <c r="D32" s="44">
        <v>69.253</v>
      </c>
      <c r="E32" s="44">
        <v>4.9062000000000001</v>
      </c>
      <c r="F32" s="44"/>
      <c r="G32" s="43">
        <f t="shared" si="15"/>
        <v>89.981944444444451</v>
      </c>
      <c r="H32" s="43">
        <f t="shared" si="16"/>
        <v>1.5704811979021756</v>
      </c>
      <c r="I32" s="43">
        <f t="shared" si="3"/>
        <v>26.923055555555557</v>
      </c>
      <c r="J32" s="39">
        <f t="shared" si="17"/>
        <v>0.46989596414179557</v>
      </c>
      <c r="K32" s="39">
        <f t="shared" si="18"/>
        <v>69.252996561373237</v>
      </c>
      <c r="L32" s="15">
        <f t="shared" si="19"/>
        <v>2.1823620846408529E-2</v>
      </c>
      <c r="M32" s="13"/>
      <c r="N32" s="16">
        <f t="shared" si="4"/>
        <v>26.923055555555557</v>
      </c>
      <c r="O32" s="16">
        <f t="shared" si="20"/>
        <v>0</v>
      </c>
      <c r="P32" s="16">
        <f t="shared" si="21"/>
        <v>26.923055555555557</v>
      </c>
      <c r="Q32" s="16">
        <f t="shared" si="22"/>
        <v>0.46989596414179557</v>
      </c>
      <c r="R32" s="16">
        <f t="shared" si="5"/>
        <v>31.357308627646276</v>
      </c>
      <c r="S32" s="16">
        <f t="shared" si="6"/>
        <v>61.747038215287006</v>
      </c>
      <c r="T32" s="13">
        <f t="shared" si="7"/>
        <v>1518948.6693086275</v>
      </c>
      <c r="U32" s="13">
        <f t="shared" si="8"/>
        <v>3973513.4960382152</v>
      </c>
      <c r="V32" s="16">
        <f t="shared" si="9"/>
        <v>3293.3707236208465</v>
      </c>
      <c r="W32" s="16">
        <f t="shared" si="23"/>
        <v>3293.3707236208465</v>
      </c>
      <c r="X32" s="47">
        <f t="shared" si="10"/>
        <v>1518948.6693086275</v>
      </c>
      <c r="Y32" s="47">
        <f t="shared" si="24"/>
        <v>3973513.4960382152</v>
      </c>
      <c r="Z32" s="47">
        <f t="shared" si="11"/>
        <v>1518945.9487821183</v>
      </c>
      <c r="AA32" s="47">
        <f t="shared" si="12"/>
        <v>3973514.9843247142</v>
      </c>
      <c r="AB32" s="47">
        <f t="shared" si="29"/>
        <v>3.1010097049633494</v>
      </c>
      <c r="AC32" s="47">
        <f t="shared" ca="1" si="30"/>
        <v>381.11105522224784</v>
      </c>
      <c r="AD32" s="47">
        <f t="shared" si="31"/>
        <v>4.5007236208466566</v>
      </c>
      <c r="AE32" s="47">
        <f t="shared" ca="1" si="32"/>
        <v>381.11</v>
      </c>
      <c r="AF32" s="47">
        <f t="shared" si="26"/>
        <v>4.5</v>
      </c>
      <c r="AH32" s="44">
        <v>381.11</v>
      </c>
      <c r="AI32" s="44">
        <f t="shared" ca="1" si="27"/>
        <v>4.5</v>
      </c>
      <c r="AJ32" s="44" t="str">
        <f t="shared" ca="1" si="28"/>
        <v>381.11,4.5</v>
      </c>
    </row>
    <row r="33" spans="1:36" x14ac:dyDescent="0.25">
      <c r="A33" s="44">
        <v>13</v>
      </c>
      <c r="B33" s="48">
        <v>1.0847337962962962</v>
      </c>
      <c r="C33" s="48">
        <v>3.8065740740740743</v>
      </c>
      <c r="D33" s="44">
        <v>63.848999999999997</v>
      </c>
      <c r="E33" s="44">
        <v>4.9062000000000001</v>
      </c>
      <c r="F33" s="44"/>
      <c r="G33" s="43">
        <f t="shared" si="15"/>
        <v>91.357777777777784</v>
      </c>
      <c r="H33" s="43">
        <f t="shared" si="16"/>
        <v>1.5944940195275308</v>
      </c>
      <c r="I33" s="43">
        <f t="shared" si="3"/>
        <v>26.033611111111107</v>
      </c>
      <c r="J33" s="39">
        <f t="shared" si="17"/>
        <v>0.45437223007266814</v>
      </c>
      <c r="K33" s="39">
        <f t="shared" si="18"/>
        <v>63.831072657825416</v>
      </c>
      <c r="L33" s="15">
        <f t="shared" si="19"/>
        <v>-1.5129323684195608</v>
      </c>
      <c r="M33" s="13"/>
      <c r="N33" s="16">
        <f t="shared" si="4"/>
        <v>26.033611111111107</v>
      </c>
      <c r="O33" s="16">
        <f t="shared" si="20"/>
        <v>0</v>
      </c>
      <c r="P33" s="16">
        <f t="shared" si="21"/>
        <v>26.033611111111107</v>
      </c>
      <c r="Q33" s="16">
        <f t="shared" si="22"/>
        <v>0.45437223007266814</v>
      </c>
      <c r="R33" s="16">
        <f t="shared" si="5"/>
        <v>28.015350935508714</v>
      </c>
      <c r="S33" s="16">
        <f t="shared" si="6"/>
        <v>57.354563450599805</v>
      </c>
      <c r="T33" s="13">
        <f t="shared" si="7"/>
        <v>1518945.3273509354</v>
      </c>
      <c r="U33" s="13">
        <f t="shared" si="8"/>
        <v>3973509.1035634503</v>
      </c>
      <c r="V33" s="16">
        <f t="shared" si="9"/>
        <v>3291.8359676315804</v>
      </c>
      <c r="W33" s="16">
        <f t="shared" si="23"/>
        <v>3291.8359676315804</v>
      </c>
      <c r="X33" s="47">
        <f t="shared" si="10"/>
        <v>1518945.3273509354</v>
      </c>
      <c r="Y33" s="47">
        <f t="shared" si="24"/>
        <v>3973509.1035634503</v>
      </c>
      <c r="Z33" s="47">
        <f t="shared" si="11"/>
        <v>1518943.329550348</v>
      </c>
      <c r="AA33" s="47">
        <f t="shared" si="12"/>
        <v>3973510.1964767645</v>
      </c>
      <c r="AB33" s="47">
        <f t="shared" si="29"/>
        <v>2.2772058975027041</v>
      </c>
      <c r="AC33" s="47">
        <f t="shared" ca="1" si="30"/>
        <v>386.56851461792718</v>
      </c>
      <c r="AD33" s="47">
        <f t="shared" si="31"/>
        <v>2.9659676315804973</v>
      </c>
      <c r="AE33" s="47">
        <f t="shared" ca="1" si="32"/>
        <v>386.57</v>
      </c>
      <c r="AF33" s="47">
        <f t="shared" si="26"/>
        <v>2.97</v>
      </c>
      <c r="AH33" s="44">
        <v>386.57</v>
      </c>
      <c r="AI33" s="44">
        <f t="shared" ca="1" si="27"/>
        <v>2.97</v>
      </c>
      <c r="AJ33" s="44" t="str">
        <f t="shared" ca="1" si="28"/>
        <v>386.57,2.97</v>
      </c>
    </row>
    <row r="34" spans="1:36" x14ac:dyDescent="0.25">
      <c r="A34" s="44">
        <v>14</v>
      </c>
      <c r="B34" s="48">
        <v>14.859641203703703</v>
      </c>
      <c r="C34" s="48">
        <v>3.970439814814815</v>
      </c>
      <c r="D34" s="44">
        <v>24.263000000000002</v>
      </c>
      <c r="E34" s="44">
        <v>4.9062000000000001</v>
      </c>
      <c r="F34" s="44"/>
      <c r="G34" s="43">
        <f t="shared" ref="G34:G35" si="33">C34*24</f>
        <v>95.290555555555557</v>
      </c>
      <c r="H34" s="43">
        <f t="shared" ref="H34:H35" si="34">RADIANS(G34)</f>
        <v>1.6631339404990189</v>
      </c>
      <c r="I34" s="43">
        <f t="shared" ref="I34:I35" si="35">B34*24</f>
        <v>356.63138888888886</v>
      </c>
      <c r="J34" s="49">
        <f t="shared" ref="J34:J35" si="36">RADIANS(I34)</f>
        <v>6.2243919520714321</v>
      </c>
      <c r="K34" s="49">
        <f t="shared" ref="K34:K35" si="37">D34*SIN(H34)</f>
        <v>24.159637453687111</v>
      </c>
      <c r="L34" s="46">
        <f t="shared" ref="L34:L35" si="38">D34*COS(H34)</f>
        <v>-2.2372051998864597</v>
      </c>
      <c r="M34" s="45"/>
      <c r="N34" s="47">
        <f t="shared" ref="N34:N35" si="39">I34+M34</f>
        <v>356.63138888888886</v>
      </c>
      <c r="O34" s="47">
        <f t="shared" si="20"/>
        <v>0</v>
      </c>
      <c r="P34" s="47">
        <f t="shared" ref="P34:P35" si="40">SUM(N34,O34)</f>
        <v>356.63138888888886</v>
      </c>
      <c r="Q34" s="47">
        <f t="shared" ref="Q34:Q35" si="41">RADIANS(P34)</f>
        <v>6.2243919520714321</v>
      </c>
      <c r="R34" s="47">
        <f t="shared" ref="R34:R35" si="42">K34*SIN(Q34)</f>
        <v>-1.4196079641445358</v>
      </c>
      <c r="S34" s="47">
        <f t="shared" ref="S34:S35" si="43">K34*COS(Q34)</f>
        <v>24.117893670918662</v>
      </c>
      <c r="T34" s="45">
        <f t="shared" ref="T34:T35" si="44">Old_X0+R34</f>
        <v>1518915.8923920358</v>
      </c>
      <c r="U34" s="45">
        <f t="shared" ref="U34:U35" si="45">Old_Y0+S34</f>
        <v>3973475.866893671</v>
      </c>
      <c r="V34" s="47">
        <f t="shared" ref="V34:V35" si="46">Old_Z0+HI+L34-E34</f>
        <v>3291.1116948001136</v>
      </c>
      <c r="W34" s="47">
        <f t="shared" ref="W34:W35" si="47">IF(ISNUMBER(T34),V34+dZ,"")</f>
        <v>3291.1116948001136</v>
      </c>
      <c r="X34" s="47">
        <f t="shared" si="10"/>
        <v>1518915.8923920358</v>
      </c>
      <c r="Y34" s="47">
        <f t="shared" si="24"/>
        <v>3973475.866893671</v>
      </c>
      <c r="Z34" s="47">
        <f t="shared" si="11"/>
        <v>1518922.5552550654</v>
      </c>
      <c r="AA34" s="47">
        <f t="shared" si="12"/>
        <v>3973472.2219194127</v>
      </c>
      <c r="AB34" s="47">
        <f t="shared" ref="AB34:AB35" si="48">IF(ISNUMBER(X34),SQRT((X34-Z34)^2+(Y34-AA34)^2),"")</f>
        <v>7.5947074397269532</v>
      </c>
      <c r="AC34" s="47">
        <f t="shared" ref="AC34:AC35" ca="1" si="49">IF(ISNUMBER(Z34),SQRT(($Z34-OFFSET($Z$20,MATCH(CS_Start,$A$21:$A$51,0),0))^2+($AA34-OFFSET($AA$20,MATCH(CS_Start,$A$21:$A$51,0),0))^2),"")</f>
        <v>429.85405897803332</v>
      </c>
      <c r="AD34" s="47">
        <f t="shared" si="31"/>
        <v>2.2416948001136916</v>
      </c>
      <c r="AE34" s="47">
        <f t="shared" ca="1" si="32"/>
        <v>429.85</v>
      </c>
      <c r="AF34" s="47">
        <f t="shared" si="26"/>
        <v>2.2400000000000002</v>
      </c>
      <c r="AH34" s="44">
        <v>429.85</v>
      </c>
      <c r="AI34" s="44">
        <f t="shared" ca="1" si="27"/>
        <v>2.2400000000000002</v>
      </c>
      <c r="AJ34" s="44" t="str">
        <f t="shared" ca="1" si="28"/>
        <v>429.85,2.24</v>
      </c>
    </row>
    <row r="35" spans="1:36" x14ac:dyDescent="0.25">
      <c r="A35" s="44">
        <v>15</v>
      </c>
      <c r="B35" s="48">
        <v>13.964965277777779</v>
      </c>
      <c r="C35" s="48">
        <v>3.8759837962962962</v>
      </c>
      <c r="D35" s="44">
        <v>19.364000000000001</v>
      </c>
      <c r="E35" s="44">
        <v>4.9062000000000001</v>
      </c>
      <c r="F35" s="44"/>
      <c r="G35" s="43">
        <f t="shared" si="33"/>
        <v>93.023611111111109</v>
      </c>
      <c r="H35" s="43">
        <f t="shared" si="34"/>
        <v>1.6235682959836695</v>
      </c>
      <c r="I35" s="43">
        <f t="shared" si="35"/>
        <v>335.15916666666669</v>
      </c>
      <c r="J35" s="49">
        <f t="shared" si="36"/>
        <v>5.8496309765737617</v>
      </c>
      <c r="K35" s="49">
        <f t="shared" si="37"/>
        <v>19.337043041616226</v>
      </c>
      <c r="L35" s="46">
        <f t="shared" si="38"/>
        <v>-1.0214021767557937</v>
      </c>
      <c r="M35" s="45"/>
      <c r="N35" s="47">
        <f t="shared" si="39"/>
        <v>335.15916666666669</v>
      </c>
      <c r="O35" s="47">
        <f t="shared" si="20"/>
        <v>0</v>
      </c>
      <c r="P35" s="47">
        <f t="shared" si="40"/>
        <v>335.15916666666669</v>
      </c>
      <c r="Q35" s="47">
        <f t="shared" si="41"/>
        <v>5.8496309765737617</v>
      </c>
      <c r="R35" s="47">
        <f t="shared" si="42"/>
        <v>-8.1234710368737524</v>
      </c>
      <c r="S35" s="47">
        <f t="shared" si="43"/>
        <v>17.547947227707056</v>
      </c>
      <c r="T35" s="45">
        <f t="shared" si="44"/>
        <v>1518909.1885289631</v>
      </c>
      <c r="U35" s="45">
        <f t="shared" si="45"/>
        <v>3973469.2969472273</v>
      </c>
      <c r="V35" s="47">
        <f t="shared" si="46"/>
        <v>3292.3274978232444</v>
      </c>
      <c r="W35" s="47">
        <f t="shared" si="47"/>
        <v>3292.3274978232444</v>
      </c>
      <c r="X35" s="47">
        <f t="shared" si="10"/>
        <v>1518909.1885289631</v>
      </c>
      <c r="Y35" s="47">
        <f t="shared" si="24"/>
        <v>3973469.2969472273</v>
      </c>
      <c r="Z35" s="47">
        <f t="shared" si="11"/>
        <v>1518918.2448229517</v>
      </c>
      <c r="AA35" s="47">
        <f t="shared" si="12"/>
        <v>3973464.3426267924</v>
      </c>
      <c r="AB35" s="47">
        <f t="shared" si="48"/>
        <v>10.322875170226965</v>
      </c>
      <c r="AC35" s="47">
        <f t="shared" ca="1" si="49"/>
        <v>438.83532153982918</v>
      </c>
      <c r="AD35" s="47">
        <f t="shared" si="31"/>
        <v>3.4574978232444664</v>
      </c>
      <c r="AE35" s="47">
        <f t="shared" ca="1" si="32"/>
        <v>438.84</v>
      </c>
      <c r="AF35" s="47">
        <f t="shared" si="26"/>
        <v>3.46</v>
      </c>
      <c r="AH35" s="44">
        <v>438.84</v>
      </c>
      <c r="AI35" s="44">
        <f t="shared" ca="1" si="27"/>
        <v>3.46</v>
      </c>
      <c r="AJ35" s="44" t="str">
        <f t="shared" ca="1" si="28"/>
        <v>438.84,3.46</v>
      </c>
    </row>
    <row r="36" spans="1:36" x14ac:dyDescent="0.25">
      <c r="A36" s="44">
        <v>16</v>
      </c>
      <c r="B36" s="48">
        <v>10.80224537037037</v>
      </c>
      <c r="C36" s="48">
        <v>4.2249421296296292</v>
      </c>
      <c r="D36" s="44">
        <v>13.368</v>
      </c>
      <c r="E36" s="44">
        <v>4.9062000000000001</v>
      </c>
      <c r="F36" s="44"/>
      <c r="G36" s="43">
        <f t="shared" ref="G36:G37" si="50">C36*24</f>
        <v>101.39861111111111</v>
      </c>
      <c r="H36" s="43">
        <f t="shared" ref="H36:H37" si="51">RADIANS(G36)</f>
        <v>1.7697396208381946</v>
      </c>
      <c r="I36" s="43">
        <f t="shared" ref="I36:I37" si="52">B36*24</f>
        <v>259.25388888888887</v>
      </c>
      <c r="J36" s="49">
        <f t="shared" ref="J36:J37" si="53">RADIANS(I36)</f>
        <v>4.5248339597106542</v>
      </c>
      <c r="K36" s="49">
        <f t="shared" ref="K36:K37" si="54">D36*SIN(H36)</f>
        <v>13.104329109248363</v>
      </c>
      <c r="L36" s="46">
        <f t="shared" ref="L36:L37" si="55">D36*COS(H36)</f>
        <v>-2.6419656690627153</v>
      </c>
      <c r="M36" s="45"/>
      <c r="N36" s="47">
        <f t="shared" ref="N36:N37" si="56">I36+M36</f>
        <v>259.25388888888887</v>
      </c>
      <c r="O36" s="47">
        <f t="shared" si="20"/>
        <v>0</v>
      </c>
      <c r="P36" s="47">
        <f t="shared" ref="P36:P37" si="57">SUM(N36,O36)</f>
        <v>259.25388888888887</v>
      </c>
      <c r="Q36" s="47">
        <f t="shared" ref="Q36:Q37" si="58">RADIANS(P36)</f>
        <v>4.5248339597106542</v>
      </c>
      <c r="R36" s="47">
        <f t="shared" ref="R36:R37" si="59">K36*SIN(Q36)</f>
        <v>-12.874519217986579</v>
      </c>
      <c r="S36" s="47">
        <f t="shared" ref="S36:S37" si="60">K36*COS(Q36)</f>
        <v>-2.4433985162449954</v>
      </c>
      <c r="T36" s="45">
        <f t="shared" ref="T36:T37" si="61">Old_X0+R36</f>
        <v>1518904.4374807819</v>
      </c>
      <c r="U36" s="45">
        <f t="shared" ref="U36:U37" si="62">Old_Y0+S36</f>
        <v>3973449.3056014837</v>
      </c>
      <c r="V36" s="47">
        <f t="shared" ref="V36:V37" si="63">Old_Z0+HI+L36-E36</f>
        <v>3290.7069343309372</v>
      </c>
      <c r="W36" s="47">
        <f t="shared" ref="W36:W37" si="64">IF(ISNUMBER(T36),V36+dZ,"")</f>
        <v>3290.7069343309372</v>
      </c>
      <c r="X36" s="47">
        <f t="shared" si="10"/>
        <v>1518904.4374807819</v>
      </c>
      <c r="Y36" s="47">
        <f t="shared" ref="Y36:Y37" si="65">IF(ISNUMBER(X36),U36,"")</f>
        <v>3973449.3056014837</v>
      </c>
      <c r="Z36" s="47">
        <f t="shared" si="11"/>
        <v>1518908.7331248685</v>
      </c>
      <c r="AA36" s="47">
        <f t="shared" si="12"/>
        <v>3973446.955633902</v>
      </c>
      <c r="AB36" s="47">
        <f t="shared" ref="AB36:AB37" si="66">IF(ISNUMBER(X36),SQRT((X36-Z36)^2+(Y36-AA36)^2),"")</f>
        <v>4.8964176449021712</v>
      </c>
      <c r="AC36" s="47">
        <f t="shared" ref="AC36:AC37" ca="1" si="67">IF(ISNUMBER(Z36),SQRT(($Z36-OFFSET($Z$20,MATCH(CS_Start,$A$21:$A$51,0),0))^2+($AA36-OFFSET($AA$20,MATCH(CS_Start,$A$21:$A$51,0),0))^2),"")</f>
        <v>458.65399763580905</v>
      </c>
      <c r="AD36" s="47">
        <f t="shared" si="31"/>
        <v>1.8369343309373107</v>
      </c>
      <c r="AE36" s="47">
        <f t="shared" ca="1" si="32"/>
        <v>458.65</v>
      </c>
      <c r="AF36" s="47">
        <f t="shared" si="26"/>
        <v>1.84</v>
      </c>
      <c r="AH36" s="44">
        <v>458.65</v>
      </c>
      <c r="AI36" s="44">
        <f t="shared" ca="1" si="27"/>
        <v>1.84</v>
      </c>
      <c r="AJ36" s="44" t="str">
        <f t="shared" ca="1" si="28"/>
        <v>458.65,1.84</v>
      </c>
    </row>
    <row r="37" spans="1:36" x14ac:dyDescent="0.25">
      <c r="A37" s="44">
        <v>17</v>
      </c>
      <c r="B37" s="48">
        <v>10.495474537037037</v>
      </c>
      <c r="C37" s="48">
        <v>4.3547569444444445</v>
      </c>
      <c r="D37" s="44">
        <v>14.579000000000001</v>
      </c>
      <c r="E37" s="44">
        <v>4.9062000000000001</v>
      </c>
      <c r="F37" s="49" t="s">
        <v>83</v>
      </c>
      <c r="G37" s="43">
        <f t="shared" si="50"/>
        <v>104.51416666666667</v>
      </c>
      <c r="H37" s="43">
        <f t="shared" si="51"/>
        <v>1.8241163233114404</v>
      </c>
      <c r="I37" s="43">
        <f t="shared" si="52"/>
        <v>251.89138888888888</v>
      </c>
      <c r="J37" s="49">
        <f t="shared" si="53"/>
        <v>4.3963340935325723</v>
      </c>
      <c r="K37" s="49">
        <f t="shared" si="54"/>
        <v>14.113721465241792</v>
      </c>
      <c r="L37" s="46">
        <f t="shared" si="55"/>
        <v>-3.6537798786425411</v>
      </c>
      <c r="M37" s="45"/>
      <c r="N37" s="47">
        <f t="shared" si="56"/>
        <v>251.89138888888888</v>
      </c>
      <c r="O37" s="47">
        <f t="shared" si="20"/>
        <v>0</v>
      </c>
      <c r="P37" s="47">
        <f t="shared" si="57"/>
        <v>251.89138888888888</v>
      </c>
      <c r="Q37" s="47">
        <f t="shared" si="58"/>
        <v>4.3963340935325723</v>
      </c>
      <c r="R37" s="47">
        <f t="shared" si="59"/>
        <v>-13.41465513150842</v>
      </c>
      <c r="S37" s="47">
        <f t="shared" si="60"/>
        <v>-4.3868167617444138</v>
      </c>
      <c r="T37" s="45">
        <f t="shared" si="61"/>
        <v>1518903.8973448684</v>
      </c>
      <c r="U37" s="45">
        <f t="shared" si="62"/>
        <v>3973447.3621832379</v>
      </c>
      <c r="V37" s="47">
        <f t="shared" si="63"/>
        <v>3289.6951201213574</v>
      </c>
      <c r="W37" s="47">
        <f t="shared" si="64"/>
        <v>3289.6951201213574</v>
      </c>
      <c r="X37" s="47">
        <f t="shared" si="10"/>
        <v>1518903.8973448684</v>
      </c>
      <c r="Y37" s="47">
        <f t="shared" si="65"/>
        <v>3973447.3621832379</v>
      </c>
      <c r="Z37" s="47">
        <f t="shared" si="11"/>
        <v>1518907.7904352224</v>
      </c>
      <c r="AA37" s="47">
        <f t="shared" si="12"/>
        <v>3973445.2324360008</v>
      </c>
      <c r="AB37" s="47">
        <f t="shared" si="66"/>
        <v>4.4375641740272158</v>
      </c>
      <c r="AC37" s="47">
        <f t="shared" ca="1" si="67"/>
        <v>460.61819588835135</v>
      </c>
      <c r="AD37" s="47">
        <f t="shared" si="31"/>
        <v>0.82512012135748591</v>
      </c>
      <c r="AE37" s="47">
        <f t="shared" ca="1" si="32"/>
        <v>460.62</v>
      </c>
      <c r="AF37" s="47">
        <f t="shared" si="26"/>
        <v>0.83</v>
      </c>
      <c r="AH37" s="44">
        <v>460.62</v>
      </c>
      <c r="AI37" s="44">
        <f t="shared" ca="1" si="27"/>
        <v>0.83</v>
      </c>
      <c r="AJ37" s="44" t="str">
        <f t="shared" ca="1" si="28"/>
        <v>460.62,0.83</v>
      </c>
    </row>
    <row r="38" spans="1:36" x14ac:dyDescent="0.25">
      <c r="A38" s="44">
        <v>18</v>
      </c>
      <c r="B38" s="48">
        <v>10.147175925925927</v>
      </c>
      <c r="C38" s="48">
        <v>4.2593749999999995</v>
      </c>
      <c r="D38" s="44">
        <v>18.611999999999998</v>
      </c>
      <c r="E38" s="44">
        <v>4.9062000000000001</v>
      </c>
      <c r="F38" s="49" t="s">
        <v>87</v>
      </c>
      <c r="G38" s="43">
        <f t="shared" ref="G38:G41" si="68">C38*24</f>
        <v>102.22499999999999</v>
      </c>
      <c r="H38" s="43">
        <f t="shared" ref="H38:H41" si="69">RADIANS(G38)</f>
        <v>1.7841628278512032</v>
      </c>
      <c r="I38" s="43">
        <f t="shared" ref="I38:I41" si="70">B38*24</f>
        <v>243.53222222222223</v>
      </c>
      <c r="J38" s="49">
        <f t="shared" ref="J38:J41" si="71">RADIANS(I38)</f>
        <v>4.2504391124762799</v>
      </c>
      <c r="K38" s="49">
        <f t="shared" ref="K38:K41" si="72">D38*SIN(H38)</f>
        <v>18.189946720522645</v>
      </c>
      <c r="L38" s="46">
        <f t="shared" ref="L38:L41" si="73">D38*COS(H38)</f>
        <v>-3.9411143480680009</v>
      </c>
      <c r="M38" s="45"/>
      <c r="N38" s="47">
        <f t="shared" ref="N38:N41" si="74">I38+M38</f>
        <v>243.53222222222223</v>
      </c>
      <c r="O38" s="47">
        <f t="shared" si="20"/>
        <v>0</v>
      </c>
      <c r="P38" s="47">
        <f t="shared" ref="P38:P41" si="75">SUM(N38,O38)</f>
        <v>243.53222222222223</v>
      </c>
      <c r="Q38" s="47">
        <f t="shared" ref="Q38:Q41" si="76">RADIANS(P38)</f>
        <v>4.2504391124762799</v>
      </c>
      <c r="R38" s="47">
        <f t="shared" ref="R38:R41" si="77">K38*SIN(Q38)</f>
        <v>-16.283370265699872</v>
      </c>
      <c r="S38" s="47">
        <f t="shared" ref="S38:S41" si="78">K38*COS(Q38)</f>
        <v>-8.1071582250239711</v>
      </c>
      <c r="T38" s="45">
        <f t="shared" ref="T38:T41" si="79">Old_X0+R38</f>
        <v>1518901.0286297342</v>
      </c>
      <c r="U38" s="45">
        <f t="shared" ref="U38:U41" si="80">Old_Y0+S38</f>
        <v>3973443.6418417748</v>
      </c>
      <c r="V38" s="47">
        <f t="shared" ref="V38:V41" si="81">Old_Z0+HI+L38-E38</f>
        <v>3289.407785651932</v>
      </c>
      <c r="W38" s="47">
        <f t="shared" ref="W38:W41" si="82">IF(ISNUMBER(T38),V38+dZ,"")</f>
        <v>3289.407785651932</v>
      </c>
      <c r="X38" s="47">
        <f t="shared" si="10"/>
        <v>1518901.0286297342</v>
      </c>
      <c r="Y38" s="47">
        <f t="shared" ref="Y38:Y41" si="83">IF(ISNUMBER(X38),U38,"")</f>
        <v>3973443.6418417748</v>
      </c>
      <c r="Z38" s="47">
        <f t="shared" si="11"/>
        <v>1518905.5632109621</v>
      </c>
      <c r="AA38" s="47">
        <f t="shared" si="12"/>
        <v>3973441.1611616565</v>
      </c>
      <c r="AB38" s="47">
        <f t="shared" ref="AB38:AB41" si="84">IF(ISNUMBER(X38),SQRT((X38-Z38)^2+(Y38-AA38)^2),"")</f>
        <v>5.1687716879416019</v>
      </c>
      <c r="AC38" s="47">
        <f t="shared" ref="AC38:AC41" ca="1" si="85">IF(ISNUMBER(Z38),SQRT(($Z38-OFFSET($Z$20,MATCH(CS_Start,$A$21:$A$51,0),0))^2+($AA38-OFFSET($AA$20,MATCH(CS_Start,$A$21:$A$51,0),0))^2),"")</f>
        <v>465.25886423383128</v>
      </c>
      <c r="AD38" s="47">
        <f t="shared" si="31"/>
        <v>0.537785651932154</v>
      </c>
      <c r="AE38" s="47">
        <f t="shared" ca="1" si="32"/>
        <v>465.26</v>
      </c>
      <c r="AF38" s="47">
        <f t="shared" si="26"/>
        <v>0.54</v>
      </c>
      <c r="AH38" s="44">
        <v>465.26</v>
      </c>
      <c r="AI38" s="44">
        <f t="shared" ca="1" si="27"/>
        <v>0.54</v>
      </c>
      <c r="AJ38" s="44" t="str">
        <f t="shared" ca="1" si="28"/>
        <v>465.26,0.54</v>
      </c>
    </row>
    <row r="39" spans="1:36" x14ac:dyDescent="0.25">
      <c r="A39" s="44">
        <v>19</v>
      </c>
      <c r="B39" s="48">
        <v>9.1480439814814805</v>
      </c>
      <c r="C39" s="48">
        <v>4.0039699074074075</v>
      </c>
      <c r="D39" s="44">
        <v>42.183999999999997</v>
      </c>
      <c r="E39" s="44">
        <v>4.9062000000000001</v>
      </c>
      <c r="F39" s="49" t="s">
        <v>87</v>
      </c>
      <c r="G39" s="43">
        <f t="shared" si="68"/>
        <v>96.095277777777781</v>
      </c>
      <c r="H39" s="43">
        <f t="shared" si="69"/>
        <v>1.6771789928407621</v>
      </c>
      <c r="I39" s="43">
        <f t="shared" si="70"/>
        <v>219.55305555555555</v>
      </c>
      <c r="J39" s="49">
        <f t="shared" si="71"/>
        <v>3.8319237022584725</v>
      </c>
      <c r="K39" s="49">
        <f t="shared" si="72"/>
        <v>41.945521144831986</v>
      </c>
      <c r="L39" s="46">
        <f t="shared" si="73"/>
        <v>-4.4791865208375521</v>
      </c>
      <c r="M39" s="45"/>
      <c r="N39" s="47">
        <f t="shared" si="74"/>
        <v>219.55305555555555</v>
      </c>
      <c r="O39" s="47">
        <f t="shared" si="20"/>
        <v>0</v>
      </c>
      <c r="P39" s="47">
        <f t="shared" si="75"/>
        <v>219.55305555555555</v>
      </c>
      <c r="Q39" s="47">
        <f t="shared" si="76"/>
        <v>3.8319237022584725</v>
      </c>
      <c r="R39" s="47">
        <f t="shared" si="77"/>
        <v>-26.710591902157653</v>
      </c>
      <c r="S39" s="47">
        <f t="shared" si="78"/>
        <v>-32.341475296404418</v>
      </c>
      <c r="T39" s="45">
        <f t="shared" si="79"/>
        <v>1518890.6014080977</v>
      </c>
      <c r="U39" s="45">
        <f t="shared" si="80"/>
        <v>3973419.4075247035</v>
      </c>
      <c r="V39" s="47">
        <f t="shared" si="81"/>
        <v>3288.8697134791623</v>
      </c>
      <c r="W39" s="47">
        <f t="shared" si="82"/>
        <v>3288.8697134791623</v>
      </c>
      <c r="X39" s="47">
        <f t="shared" si="10"/>
        <v>1518890.6014080977</v>
      </c>
      <c r="Y39" s="47">
        <f t="shared" si="83"/>
        <v>3973419.4075247035</v>
      </c>
      <c r="Z39" s="47">
        <f t="shared" si="11"/>
        <v>1518892.9575693421</v>
      </c>
      <c r="AA39" s="47">
        <f t="shared" si="12"/>
        <v>3973418.118567232</v>
      </c>
      <c r="AB39" s="47">
        <f t="shared" si="84"/>
        <v>2.6856856057905438</v>
      </c>
      <c r="AC39" s="47">
        <f t="shared" ca="1" si="85"/>
        <v>491.5241142509459</v>
      </c>
      <c r="AD39" s="47">
        <f t="shared" si="31"/>
        <v>-2.8652083756242064E-4</v>
      </c>
      <c r="AE39" s="47">
        <f t="shared" ca="1" si="32"/>
        <v>491.52</v>
      </c>
      <c r="AF39" s="47">
        <f t="shared" si="26"/>
        <v>0</v>
      </c>
      <c r="AH39" s="44">
        <v>491.52</v>
      </c>
      <c r="AI39" s="44">
        <f t="shared" ca="1" si="27"/>
        <v>0</v>
      </c>
      <c r="AJ39" s="44" t="str">
        <f t="shared" ca="1" si="28"/>
        <v>491.52,0</v>
      </c>
    </row>
    <row r="40" spans="1:36" x14ac:dyDescent="0.25">
      <c r="A40" s="44">
        <v>20</v>
      </c>
      <c r="B40" s="48">
        <v>8.8022222222222215</v>
      </c>
      <c r="C40" s="48">
        <v>3.8775694444444446</v>
      </c>
      <c r="D40" s="44">
        <v>78.105000000000004</v>
      </c>
      <c r="E40" s="44">
        <v>4.9062000000000001</v>
      </c>
      <c r="F40" s="49" t="s">
        <v>87</v>
      </c>
      <c r="G40" s="43">
        <f t="shared" si="68"/>
        <v>93.061666666666667</v>
      </c>
      <c r="H40" s="43">
        <f t="shared" si="69"/>
        <v>1.6242324907267898</v>
      </c>
      <c r="I40" s="43">
        <f t="shared" si="70"/>
        <v>211.25333333333333</v>
      </c>
      <c r="J40" s="49">
        <f t="shared" si="71"/>
        <v>3.6870662224797544</v>
      </c>
      <c r="K40" s="49">
        <f t="shared" si="72"/>
        <v>77.993515101084654</v>
      </c>
      <c r="L40" s="46">
        <f t="shared" si="73"/>
        <v>-4.1716456197621428</v>
      </c>
      <c r="M40" s="45"/>
      <c r="N40" s="47">
        <f t="shared" si="74"/>
        <v>211.25333333333333</v>
      </c>
      <c r="O40" s="47">
        <f t="shared" si="20"/>
        <v>0</v>
      </c>
      <c r="P40" s="47">
        <f t="shared" si="75"/>
        <v>211.25333333333333</v>
      </c>
      <c r="Q40" s="47">
        <f t="shared" si="76"/>
        <v>3.6870662224797544</v>
      </c>
      <c r="R40" s="47">
        <f t="shared" si="77"/>
        <v>-40.464829020377636</v>
      </c>
      <c r="S40" s="47">
        <f t="shared" si="78"/>
        <v>-66.675227859938531</v>
      </c>
      <c r="T40" s="45">
        <f t="shared" si="79"/>
        <v>1518876.8471709795</v>
      </c>
      <c r="U40" s="45">
        <f t="shared" si="80"/>
        <v>3973385.0737721398</v>
      </c>
      <c r="V40" s="47">
        <f t="shared" si="81"/>
        <v>3289.1772543802376</v>
      </c>
      <c r="W40" s="47">
        <f t="shared" si="82"/>
        <v>3289.1772543802376</v>
      </c>
      <c r="X40" s="47">
        <f t="shared" si="10"/>
        <v>1518876.8471709795</v>
      </c>
      <c r="Y40" s="47">
        <f t="shared" si="83"/>
        <v>3973385.0737721398</v>
      </c>
      <c r="Z40" s="47">
        <f t="shared" si="11"/>
        <v>1518875.3332242202</v>
      </c>
      <c r="AA40" s="47">
        <f t="shared" si="12"/>
        <v>3973385.9019892197</v>
      </c>
      <c r="AB40" s="47">
        <f t="shared" si="84"/>
        <v>1.7256819873071101</v>
      </c>
      <c r="AC40" s="47">
        <f t="shared" ca="1" si="85"/>
        <v>528.246388687597</v>
      </c>
      <c r="AD40" s="47">
        <f t="shared" si="31"/>
        <v>0.30725438023773677</v>
      </c>
      <c r="AE40" s="47">
        <f t="shared" ca="1" si="32"/>
        <v>528.25</v>
      </c>
      <c r="AF40" s="47">
        <f t="shared" si="26"/>
        <v>0.31</v>
      </c>
      <c r="AH40" s="44">
        <v>528.25</v>
      </c>
      <c r="AI40" s="44">
        <f t="shared" ca="1" si="27"/>
        <v>0.31</v>
      </c>
      <c r="AJ40" s="44" t="str">
        <f t="shared" ca="1" si="28"/>
        <v>528.25,0.31</v>
      </c>
    </row>
    <row r="41" spans="1:36" x14ac:dyDescent="0.25">
      <c r="A41" s="44">
        <v>21</v>
      </c>
      <c r="B41" s="48">
        <v>8.8062615740740746</v>
      </c>
      <c r="C41" s="48">
        <v>3.8562499999999997</v>
      </c>
      <c r="D41" s="44">
        <v>81.23</v>
      </c>
      <c r="E41" s="44">
        <v>4.9062000000000001</v>
      </c>
      <c r="F41" s="49" t="s">
        <v>83</v>
      </c>
      <c r="G41" s="43">
        <f t="shared" si="68"/>
        <v>92.55</v>
      </c>
      <c r="H41" s="43">
        <f t="shared" si="69"/>
        <v>1.6153022227207519</v>
      </c>
      <c r="I41" s="43">
        <f t="shared" si="70"/>
        <v>211.35027777777779</v>
      </c>
      <c r="J41" s="49">
        <f t="shared" si="71"/>
        <v>3.6887582222268267</v>
      </c>
      <c r="K41" s="49">
        <f t="shared" si="72"/>
        <v>81.149564111058623</v>
      </c>
      <c r="L41" s="46">
        <f t="shared" si="73"/>
        <v>-3.6140205568296846</v>
      </c>
      <c r="M41" s="45"/>
      <c r="N41" s="47">
        <f t="shared" si="74"/>
        <v>211.35027777777779</v>
      </c>
      <c r="O41" s="47">
        <f t="shared" si="20"/>
        <v>0</v>
      </c>
      <c r="P41" s="47">
        <f t="shared" si="75"/>
        <v>211.35027777777779</v>
      </c>
      <c r="Q41" s="47">
        <f t="shared" si="76"/>
        <v>3.6887582222268267</v>
      </c>
      <c r="R41" s="47">
        <f t="shared" si="77"/>
        <v>-42.219579060634267</v>
      </c>
      <c r="S41" s="47">
        <f t="shared" si="78"/>
        <v>-69.30194008364893</v>
      </c>
      <c r="T41" s="45">
        <f t="shared" si="79"/>
        <v>1518875.0924209394</v>
      </c>
      <c r="U41" s="45">
        <f t="shared" si="80"/>
        <v>3973382.4470599163</v>
      </c>
      <c r="V41" s="47">
        <f t="shared" si="81"/>
        <v>3289.7348794431705</v>
      </c>
      <c r="W41" s="47">
        <f t="shared" si="82"/>
        <v>3289.7348794431705</v>
      </c>
      <c r="X41" s="47">
        <f t="shared" si="10"/>
        <v>1518875.0924209394</v>
      </c>
      <c r="Y41" s="47">
        <f t="shared" si="83"/>
        <v>3973382.4470599163</v>
      </c>
      <c r="Z41" s="47">
        <f t="shared" si="11"/>
        <v>1518873.8230613335</v>
      </c>
      <c r="AA41" s="47">
        <f t="shared" si="12"/>
        <v>3973383.1414735741</v>
      </c>
      <c r="AB41" s="47">
        <f t="shared" si="84"/>
        <v>1.4468877416931065</v>
      </c>
      <c r="AC41" s="47">
        <f t="shared" ca="1" si="85"/>
        <v>531.39298026802624</v>
      </c>
      <c r="AD41" s="47">
        <f t="shared" si="31"/>
        <v>0.86487944317059373</v>
      </c>
      <c r="AE41" s="47">
        <f t="shared" ca="1" si="32"/>
        <v>531.39</v>
      </c>
      <c r="AF41" s="47">
        <f t="shared" si="26"/>
        <v>0.86</v>
      </c>
      <c r="AH41" s="2">
        <v>531.39</v>
      </c>
      <c r="AI41" s="44">
        <f t="shared" ca="1" si="27"/>
        <v>0.86</v>
      </c>
      <c r="AJ41" s="44" t="str">
        <f t="shared" ca="1" si="28"/>
        <v>531.39,0.86</v>
      </c>
    </row>
    <row r="42" spans="1:36" x14ac:dyDescent="0.25">
      <c r="A42" s="44">
        <v>22</v>
      </c>
      <c r="B42" s="48">
        <v>8.7927430555555564</v>
      </c>
      <c r="C42" s="48">
        <v>3.8076504629629628</v>
      </c>
      <c r="D42" s="44">
        <v>83.682000000000002</v>
      </c>
      <c r="E42" s="44">
        <v>4.9062000000000001</v>
      </c>
      <c r="F42" s="44"/>
      <c r="G42" s="43">
        <f t="shared" ref="G42:G46" si="86">C42*24</f>
        <v>91.383611111111108</v>
      </c>
      <c r="H42" s="43">
        <f t="shared" ref="H42:H46" si="87">RADIANS(G42)</f>
        <v>1.5949448962509625</v>
      </c>
      <c r="I42" s="43">
        <f t="shared" ref="I42:I46" si="88">B42*24</f>
        <v>211.02583333333337</v>
      </c>
      <c r="J42" s="49">
        <f t="shared" ref="J42:J46" si="89">RADIANS(I42)</f>
        <v>3.6830955984314677</v>
      </c>
      <c r="K42" s="49">
        <f t="shared" ref="K42:K46" si="90">D42*SIN(H42)</f>
        <v>83.657601464015841</v>
      </c>
      <c r="L42" s="46">
        <f t="shared" ref="L42:L46" si="91">D42*COS(H42)</f>
        <v>-2.0206041888244988</v>
      </c>
      <c r="M42" s="45"/>
      <c r="N42" s="47">
        <f t="shared" ref="N42:N46" si="92">I42+M42</f>
        <v>211.02583333333337</v>
      </c>
      <c r="O42" s="47">
        <f t="shared" si="20"/>
        <v>0</v>
      </c>
      <c r="P42" s="47">
        <f t="shared" ref="P42:P46" si="93">SUM(N42,O42)</f>
        <v>211.02583333333337</v>
      </c>
      <c r="Q42" s="47">
        <f t="shared" ref="Q42:Q46" si="94">RADIANS(P42)</f>
        <v>3.6830955984314677</v>
      </c>
      <c r="R42" s="47">
        <f t="shared" ref="R42:R46" si="95">K42*SIN(Q42)</f>
        <v>-43.119177349733668</v>
      </c>
      <c r="S42" s="47">
        <f t="shared" ref="S42:S46" si="96">K42*COS(Q42)</f>
        <v>-71.689126284216357</v>
      </c>
      <c r="T42" s="45">
        <f t="shared" ref="T42:T46" si="97">Old_X0+R42</f>
        <v>1518874.1928226501</v>
      </c>
      <c r="U42" s="45">
        <f t="shared" ref="U42:U46" si="98">Old_Y0+S42</f>
        <v>3973380.0598737155</v>
      </c>
      <c r="V42" s="47">
        <f t="shared" ref="V42:V46" si="99">Old_Z0+HI+L42-E42</f>
        <v>3291.3282958111754</v>
      </c>
      <c r="W42" s="47">
        <f t="shared" ref="W42:W46" si="100">IF(ISNUMBER(T42),V42+dZ,"")</f>
        <v>3291.3282958111754</v>
      </c>
      <c r="X42" s="47">
        <f t="shared" si="10"/>
        <v>1518874.1928226501</v>
      </c>
      <c r="Y42" s="47">
        <f t="shared" ref="Y42:Y46" si="101">IF(ISNUMBER(X42),U42,"")</f>
        <v>3973380.0598737155</v>
      </c>
      <c r="Z42" s="47">
        <f t="shared" si="11"/>
        <v>1518872.6107252883</v>
      </c>
      <c r="AA42" s="47">
        <f t="shared" si="12"/>
        <v>3973380.9253731454</v>
      </c>
      <c r="AB42" s="47">
        <f t="shared" ref="AB42:AB46" si="102">IF(ISNUMBER(X42),SQRT((X42-Z42)^2+(Y42-AA42)^2),"")</f>
        <v>1.8033638915389743</v>
      </c>
      <c r="AC42" s="47">
        <f t="shared" ref="AC42:AC46" ca="1" si="103">IF(ISNUMBER(Z42),SQRT(($Z42-OFFSET($Z$20,MATCH(CS_Start,$A$21:$A$51,0),0))^2+($AA42-OFFSET($AA$20,MATCH(CS_Start,$A$21:$A$51,0),0))^2),"")</f>
        <v>533.91901664874581</v>
      </c>
      <c r="AD42" s="47">
        <f t="shared" si="31"/>
        <v>2.4582958111755033</v>
      </c>
      <c r="AE42" s="47">
        <f t="shared" ca="1" si="32"/>
        <v>533.91999999999996</v>
      </c>
      <c r="AF42" s="47">
        <f t="shared" si="26"/>
        <v>2.46</v>
      </c>
      <c r="AH42" s="2">
        <v>533.91999999999996</v>
      </c>
      <c r="AI42" s="44">
        <f t="shared" ca="1" si="27"/>
        <v>2.46</v>
      </c>
      <c r="AJ42" s="44" t="str">
        <f t="shared" ca="1" si="28"/>
        <v>533.92,2.46</v>
      </c>
    </row>
    <row r="43" spans="1:36" x14ac:dyDescent="0.25">
      <c r="A43" s="44">
        <v>23</v>
      </c>
      <c r="B43" s="48">
        <v>8.7795949074074073</v>
      </c>
      <c r="C43" s="48">
        <v>3.7139583333333337</v>
      </c>
      <c r="D43" s="44">
        <v>91.028000000000006</v>
      </c>
      <c r="E43" s="44">
        <v>4.9062000000000001</v>
      </c>
      <c r="F43" s="44"/>
      <c r="G43" s="43">
        <f t="shared" si="86"/>
        <v>89.135000000000005</v>
      </c>
      <c r="H43" s="43">
        <f t="shared" si="87"/>
        <v>1.5556992287651457</v>
      </c>
      <c r="I43" s="43">
        <f t="shared" si="88"/>
        <v>210.71027777777778</v>
      </c>
      <c r="J43" s="49">
        <f t="shared" si="89"/>
        <v>3.6775881150140628</v>
      </c>
      <c r="K43" s="49">
        <f t="shared" si="90"/>
        <v>91.017626538331896</v>
      </c>
      <c r="L43" s="46">
        <f t="shared" si="91"/>
        <v>1.3742064359996553</v>
      </c>
      <c r="M43" s="45"/>
      <c r="N43" s="47">
        <f t="shared" si="92"/>
        <v>210.71027777777778</v>
      </c>
      <c r="O43" s="47">
        <f t="shared" si="20"/>
        <v>0</v>
      </c>
      <c r="P43" s="47">
        <f t="shared" si="93"/>
        <v>210.71027777777778</v>
      </c>
      <c r="Q43" s="47">
        <f t="shared" si="94"/>
        <v>3.6775881150140628</v>
      </c>
      <c r="R43" s="47">
        <f t="shared" si="95"/>
        <v>-46.482442555754332</v>
      </c>
      <c r="S43" s="47">
        <f t="shared" si="96"/>
        <v>-78.253376123476343</v>
      </c>
      <c r="T43" s="45">
        <f t="shared" si="97"/>
        <v>1518870.8295574442</v>
      </c>
      <c r="U43" s="45">
        <f t="shared" si="98"/>
        <v>3973373.4956238763</v>
      </c>
      <c r="V43" s="47">
        <f t="shared" si="99"/>
        <v>3294.7231064359994</v>
      </c>
      <c r="W43" s="47">
        <f t="shared" si="100"/>
        <v>3294.7231064359994</v>
      </c>
      <c r="X43" s="47">
        <f t="shared" si="10"/>
        <v>1518870.8295574442</v>
      </c>
      <c r="Y43" s="47">
        <f t="shared" si="101"/>
        <v>3973373.4956238763</v>
      </c>
      <c r="Z43" s="47">
        <f t="shared" si="11"/>
        <v>1518869.0721605597</v>
      </c>
      <c r="AA43" s="47">
        <f t="shared" si="12"/>
        <v>3973374.4570223591</v>
      </c>
      <c r="AB43" s="47">
        <f t="shared" si="102"/>
        <v>2.0031801846917965</v>
      </c>
      <c r="AC43" s="47">
        <f t="shared" ca="1" si="103"/>
        <v>541.29200805198798</v>
      </c>
      <c r="AD43" s="47">
        <f t="shared" si="31"/>
        <v>5.8531064359995071</v>
      </c>
      <c r="AE43" s="47">
        <f t="shared" ca="1" si="32"/>
        <v>541.29</v>
      </c>
      <c r="AF43" s="47">
        <f t="shared" si="26"/>
        <v>5.85</v>
      </c>
      <c r="AH43" s="2">
        <v>541.29</v>
      </c>
      <c r="AI43" s="44">
        <f t="shared" ca="1" si="27"/>
        <v>5.85</v>
      </c>
      <c r="AJ43" s="44" t="str">
        <f t="shared" ca="1" si="28"/>
        <v>541.29,5.85</v>
      </c>
    </row>
    <row r="44" spans="1:36" x14ac:dyDescent="0.25">
      <c r="A44" s="44">
        <v>24</v>
      </c>
      <c r="B44" s="48">
        <v>8.7146527777777774</v>
      </c>
      <c r="C44" s="48">
        <v>3.7281944444444446</v>
      </c>
      <c r="D44" s="44">
        <v>143.27000000000001</v>
      </c>
      <c r="E44" s="44">
        <v>4.9062000000000001</v>
      </c>
      <c r="F44" s="44"/>
      <c r="G44" s="43">
        <f t="shared" si="86"/>
        <v>89.476666666666674</v>
      </c>
      <c r="H44" s="43">
        <f t="shared" si="87"/>
        <v>1.561662437042793</v>
      </c>
      <c r="I44" s="43">
        <f t="shared" si="88"/>
        <v>209.15166666666664</v>
      </c>
      <c r="J44" s="49">
        <f t="shared" si="89"/>
        <v>3.6503852193670063</v>
      </c>
      <c r="K44" s="49">
        <f t="shared" si="90"/>
        <v>143.26402368092408</v>
      </c>
      <c r="L44" s="46">
        <f t="shared" si="91"/>
        <v>1.3085941890534374</v>
      </c>
      <c r="M44" s="45"/>
      <c r="N44" s="47">
        <f t="shared" si="92"/>
        <v>209.15166666666664</v>
      </c>
      <c r="O44" s="47">
        <f t="shared" si="20"/>
        <v>0</v>
      </c>
      <c r="P44" s="47">
        <f t="shared" si="93"/>
        <v>209.15166666666664</v>
      </c>
      <c r="Q44" s="47">
        <f t="shared" si="94"/>
        <v>3.6503852193670063</v>
      </c>
      <c r="R44" s="47">
        <f t="shared" si="95"/>
        <v>-69.78721672309203</v>
      </c>
      <c r="S44" s="47">
        <f t="shared" si="96"/>
        <v>-125.11724446810904</v>
      </c>
      <c r="T44" s="45">
        <f t="shared" si="97"/>
        <v>1518847.5247832767</v>
      </c>
      <c r="U44" s="45">
        <f t="shared" si="98"/>
        <v>3973326.6317555318</v>
      </c>
      <c r="V44" s="47">
        <f t="shared" si="99"/>
        <v>3294.6574941890535</v>
      </c>
      <c r="W44" s="47">
        <f t="shared" si="100"/>
        <v>3294.6574941890535</v>
      </c>
      <c r="X44" s="47">
        <f t="shared" si="10"/>
        <v>1518847.5247832767</v>
      </c>
      <c r="Y44" s="47">
        <f t="shared" si="101"/>
        <v>3973326.6317555318</v>
      </c>
      <c r="Z44" s="47">
        <f t="shared" si="11"/>
        <v>1518843.9721573761</v>
      </c>
      <c r="AA44" s="47">
        <f t="shared" si="12"/>
        <v>3973328.5752488761</v>
      </c>
      <c r="AB44" s="47">
        <f t="shared" si="102"/>
        <v>4.0494835682057468</v>
      </c>
      <c r="AC44" s="47">
        <f t="shared" ca="1" si="103"/>
        <v>593.59064376805736</v>
      </c>
      <c r="AD44" s="47">
        <f t="shared" si="31"/>
        <v>5.787494189053632</v>
      </c>
      <c r="AE44" s="47">
        <f t="shared" ca="1" si="32"/>
        <v>593.59</v>
      </c>
      <c r="AF44" s="47">
        <f t="shared" si="26"/>
        <v>5.79</v>
      </c>
      <c r="AH44" s="2">
        <v>593.59</v>
      </c>
      <c r="AI44" s="44">
        <f t="shared" ref="AI44:AI48" ca="1" si="104">OFFSET($AF$22,MATCH(AH44,$AE$23:$AE$59,0),0)</f>
        <v>5.79</v>
      </c>
      <c r="AJ44" s="44" t="str">
        <f t="shared" ref="AJ44:AJ48" ca="1" si="105">CONCATENATE(AH44,",",AI44)</f>
        <v>593.59,5.79</v>
      </c>
    </row>
    <row r="45" spans="1:36" x14ac:dyDescent="0.25">
      <c r="A45" s="44">
        <v>25</v>
      </c>
      <c r="B45" s="48">
        <v>8.6990740740740744</v>
      </c>
      <c r="C45" s="48">
        <v>3.7089814814814814</v>
      </c>
      <c r="D45" s="44">
        <v>202.875</v>
      </c>
      <c r="E45" s="44">
        <v>8.7395999999999994</v>
      </c>
      <c r="F45" s="44"/>
      <c r="G45" s="43">
        <f t="shared" si="86"/>
        <v>89.015555555555551</v>
      </c>
      <c r="H45" s="43">
        <f t="shared" si="87"/>
        <v>1.5536145299363746</v>
      </c>
      <c r="I45" s="43">
        <f t="shared" si="88"/>
        <v>208.77777777777777</v>
      </c>
      <c r="J45" s="49">
        <f t="shared" si="89"/>
        <v>3.6438596272192725</v>
      </c>
      <c r="K45" s="49">
        <f t="shared" si="90"/>
        <v>202.84505495203462</v>
      </c>
      <c r="L45" s="46">
        <f t="shared" si="91"/>
        <v>3.4855855327412755</v>
      </c>
      <c r="M45" s="45"/>
      <c r="N45" s="47">
        <f t="shared" si="92"/>
        <v>208.77777777777777</v>
      </c>
      <c r="O45" s="47">
        <f t="shared" si="20"/>
        <v>0</v>
      </c>
      <c r="P45" s="47">
        <f t="shared" si="93"/>
        <v>208.77777777777777</v>
      </c>
      <c r="Q45" s="47">
        <f t="shared" si="94"/>
        <v>3.6438596272192725</v>
      </c>
      <c r="R45" s="47">
        <f t="shared" si="95"/>
        <v>-97.652400906470731</v>
      </c>
      <c r="S45" s="47">
        <f t="shared" si="96"/>
        <v>-177.79236461585143</v>
      </c>
      <c r="T45" s="45">
        <f t="shared" si="97"/>
        <v>1518819.6595990935</v>
      </c>
      <c r="U45" s="45">
        <f t="shared" si="98"/>
        <v>3973273.9566353839</v>
      </c>
      <c r="V45" s="47">
        <f t="shared" si="99"/>
        <v>3293.0010855327414</v>
      </c>
      <c r="W45" s="47">
        <f t="shared" si="100"/>
        <v>3293.0010855327414</v>
      </c>
      <c r="X45" s="47">
        <f t="shared" si="10"/>
        <v>1518819.6595990935</v>
      </c>
      <c r="Y45" s="47">
        <f t="shared" si="101"/>
        <v>3973273.9566353839</v>
      </c>
      <c r="Z45" s="47">
        <f t="shared" si="11"/>
        <v>1518815.374890252</v>
      </c>
      <c r="AA45" s="47">
        <f t="shared" si="12"/>
        <v>3973276.3006207487</v>
      </c>
      <c r="AB45" s="47">
        <f t="shared" si="102"/>
        <v>4.8839530348322224</v>
      </c>
      <c r="AC45" s="47">
        <f t="shared" ca="1" si="103"/>
        <v>653.17621612270955</v>
      </c>
      <c r="AD45" s="47">
        <f t="shared" si="31"/>
        <v>4.1310855327415084</v>
      </c>
      <c r="AE45" s="47">
        <f t="shared" ca="1" si="32"/>
        <v>653.17999999999995</v>
      </c>
      <c r="AF45" s="47">
        <f t="shared" si="26"/>
        <v>4.13</v>
      </c>
      <c r="AH45" s="2">
        <v>653.17999999999995</v>
      </c>
      <c r="AI45" s="44">
        <f t="shared" ca="1" si="104"/>
        <v>4.13</v>
      </c>
      <c r="AJ45" s="44" t="str">
        <f t="shared" ca="1" si="105"/>
        <v>653.18,4.13</v>
      </c>
    </row>
    <row r="46" spans="1:36" x14ac:dyDescent="0.25">
      <c r="A46" s="44">
        <v>26</v>
      </c>
      <c r="B46" s="48">
        <v>8.7426041666666663</v>
      </c>
      <c r="C46" s="48">
        <v>3.7212962962962965</v>
      </c>
      <c r="D46" s="44">
        <v>243.60400000000001</v>
      </c>
      <c r="E46" s="44">
        <v>8.7395999999999994</v>
      </c>
      <c r="F46" s="44"/>
      <c r="G46" s="43">
        <f t="shared" si="86"/>
        <v>89.311111111111117</v>
      </c>
      <c r="H46" s="43">
        <f t="shared" si="87"/>
        <v>1.5587729475033802</v>
      </c>
      <c r="I46" s="43">
        <f t="shared" si="88"/>
        <v>209.82249999999999</v>
      </c>
      <c r="J46" s="49">
        <f t="shared" si="89"/>
        <v>3.6620934697658019</v>
      </c>
      <c r="K46" s="49">
        <f t="shared" si="90"/>
        <v>243.5863923140748</v>
      </c>
      <c r="L46" s="46">
        <f t="shared" si="91"/>
        <v>2.9288727206283975</v>
      </c>
      <c r="M46" s="45"/>
      <c r="N46" s="47">
        <f t="shared" si="92"/>
        <v>209.82249999999999</v>
      </c>
      <c r="O46" s="47">
        <f t="shared" si="20"/>
        <v>0</v>
      </c>
      <c r="P46" s="47">
        <f t="shared" si="93"/>
        <v>209.82249999999999</v>
      </c>
      <c r="Q46" s="47">
        <f t="shared" si="94"/>
        <v>3.6620934697658019</v>
      </c>
      <c r="R46" s="47">
        <f t="shared" si="95"/>
        <v>-121.13909200902646</v>
      </c>
      <c r="S46" s="47">
        <f t="shared" si="96"/>
        <v>-211.32830124669763</v>
      </c>
      <c r="T46" s="45">
        <f t="shared" si="97"/>
        <v>1518796.1729079909</v>
      </c>
      <c r="U46" s="45">
        <f t="shared" si="98"/>
        <v>3973240.4206987531</v>
      </c>
      <c r="V46" s="47">
        <f t="shared" si="99"/>
        <v>3292.4443727206285</v>
      </c>
      <c r="W46" s="47">
        <f t="shared" si="100"/>
        <v>3292.4443727206285</v>
      </c>
      <c r="X46" s="47">
        <f t="shared" si="10"/>
        <v>1518796.1729079909</v>
      </c>
      <c r="Y46" s="47">
        <f t="shared" si="101"/>
        <v>3973240.4206987531</v>
      </c>
      <c r="Z46" s="47">
        <f t="shared" si="11"/>
        <v>1518795.8447048091</v>
      </c>
      <c r="AA46" s="47">
        <f t="shared" si="12"/>
        <v>3973240.6002450148</v>
      </c>
      <c r="AB46" s="47">
        <f t="shared" si="102"/>
        <v>0.37410451558636876</v>
      </c>
      <c r="AC46" s="47">
        <f t="shared" ca="1" si="103"/>
        <v>693.86951988358464</v>
      </c>
      <c r="AD46" s="47">
        <f t="shared" si="31"/>
        <v>3.5743727206286167</v>
      </c>
      <c r="AE46" s="47">
        <f t="shared" ca="1" si="32"/>
        <v>693.87</v>
      </c>
      <c r="AF46" s="47">
        <f t="shared" si="26"/>
        <v>3.57</v>
      </c>
      <c r="AH46" s="2">
        <v>693.87</v>
      </c>
      <c r="AI46" s="44">
        <f t="shared" ca="1" si="104"/>
        <v>3.57</v>
      </c>
      <c r="AJ46" s="44" t="str">
        <f t="shared" ca="1" si="105"/>
        <v>693.87,3.57</v>
      </c>
    </row>
    <row r="47" spans="1:36" x14ac:dyDescent="0.25">
      <c r="A47" s="44">
        <v>27</v>
      </c>
      <c r="B47" s="48">
        <v>8.7424999999999997</v>
      </c>
      <c r="C47" s="48">
        <v>3.7260763888888886</v>
      </c>
      <c r="D47" s="44">
        <v>283.79599999999999</v>
      </c>
      <c r="E47" s="44">
        <v>8.7395999999999994</v>
      </c>
      <c r="F47" s="44"/>
      <c r="G47" s="43">
        <f t="shared" ref="G47:G50" si="106">C47*24</f>
        <v>89.42583333333333</v>
      </c>
      <c r="H47" s="43">
        <f t="shared" ref="H47:H50" si="107">RADIANS(G47)</f>
        <v>1.5607752280063625</v>
      </c>
      <c r="I47" s="43">
        <f t="shared" ref="I47:I50" si="108">B47*24</f>
        <v>209.82</v>
      </c>
      <c r="J47" s="49">
        <f t="shared" ref="J47:J50" si="109">RADIANS(I47)</f>
        <v>3.6620498365345022</v>
      </c>
      <c r="K47" s="49">
        <f t="shared" ref="K47:K50" si="110">D47*SIN(H47)</f>
        <v>283.78175037856397</v>
      </c>
      <c r="L47" s="46">
        <f t="shared" ref="L47:L50" si="111">D47*COS(H47)</f>
        <v>2.8439001526767975</v>
      </c>
      <c r="M47" s="45"/>
      <c r="N47" s="47">
        <f t="shared" ref="N47:N50" si="112">I47+M47</f>
        <v>209.82</v>
      </c>
      <c r="O47" s="47">
        <f t="shared" si="20"/>
        <v>0</v>
      </c>
      <c r="P47" s="47">
        <f t="shared" ref="P47:P50" si="113">SUM(N47,O47)</f>
        <v>209.82</v>
      </c>
      <c r="Q47" s="47">
        <f t="shared" ref="Q47:Q50" si="114">RADIANS(P47)</f>
        <v>3.6620498365345022</v>
      </c>
      <c r="R47" s="47">
        <f t="shared" ref="R47:R50" si="115">K47*SIN(Q47)</f>
        <v>-141.11809151885572</v>
      </c>
      <c r="S47" s="47">
        <f t="shared" ref="S47:S50" si="116">K47*COS(Q47)</f>
        <v>-246.20675476923344</v>
      </c>
      <c r="T47" s="45">
        <f t="shared" ref="T47:T50" si="117">Old_X0+R47</f>
        <v>1518776.1939084812</v>
      </c>
      <c r="U47" s="45">
        <f t="shared" ref="U47:U50" si="118">Old_Y0+S47</f>
        <v>3973205.5422452306</v>
      </c>
      <c r="V47" s="47">
        <f t="shared" ref="V47:V50" si="119">Old_Z0+HI+L47-E47</f>
        <v>3292.3594001526767</v>
      </c>
      <c r="W47" s="47">
        <f t="shared" ref="W47:W50" si="120">IF(ISNUMBER(T47),V47+dZ,"")</f>
        <v>3292.3594001526767</v>
      </c>
      <c r="X47" s="47">
        <f t="shared" si="10"/>
        <v>1518776.1939084812</v>
      </c>
      <c r="Y47" s="47">
        <f t="shared" ref="Y47:Y50" si="121">IF(ISNUMBER(X47),U47,"")</f>
        <v>3973205.5422452306</v>
      </c>
      <c r="Z47" s="47">
        <f t="shared" si="11"/>
        <v>1518776.5572101497</v>
      </c>
      <c r="AA47" s="47">
        <f t="shared" si="12"/>
        <v>3973205.3434980516</v>
      </c>
      <c r="AB47" s="47">
        <f t="shared" ref="AB47:AB50" si="122">IF(ISNUMBER(X47),SQRT((X47-Z47)^2+(Y47-AA47)^2),"")</f>
        <v>0.41411175246908732</v>
      </c>
      <c r="AC47" s="47">
        <f t="shared" ref="AC47:AC50" ca="1" si="123">IF(ISNUMBER(Z47),SQRT(($Z47-OFFSET($Z$20,MATCH(CS_Start,$A$21:$A$51,0),0))^2+($AA47-OFFSET($AA$20,MATCH(CS_Start,$A$21:$A$51,0),0))^2),"")</f>
        <v>734.05715052610481</v>
      </c>
      <c r="AD47" s="47">
        <f t="shared" si="31"/>
        <v>3.4894001526768079</v>
      </c>
      <c r="AE47" s="47">
        <f t="shared" ca="1" si="32"/>
        <v>734.06</v>
      </c>
      <c r="AF47" s="47">
        <f t="shared" ref="AF47:AF50" si="124">ROUND(AD47,2)</f>
        <v>3.49</v>
      </c>
      <c r="AH47" s="2">
        <v>734.06</v>
      </c>
      <c r="AI47" s="44">
        <f t="shared" ca="1" si="104"/>
        <v>3.49</v>
      </c>
      <c r="AJ47" s="44" t="str">
        <f t="shared" ca="1" si="105"/>
        <v>734.06,3.49</v>
      </c>
    </row>
    <row r="48" spans="1:36" x14ac:dyDescent="0.25">
      <c r="A48" s="44">
        <v>28</v>
      </c>
      <c r="B48" s="48">
        <v>8.7318402777777777</v>
      </c>
      <c r="C48" s="48">
        <v>3.6578124999999999</v>
      </c>
      <c r="D48" s="44">
        <v>328.67599999999999</v>
      </c>
      <c r="E48" s="44">
        <v>4.9062000000000001</v>
      </c>
      <c r="F48" s="44"/>
      <c r="G48" s="43">
        <f t="shared" si="106"/>
        <v>87.787499999999994</v>
      </c>
      <c r="H48" s="43">
        <f t="shared" si="107"/>
        <v>1.532180917094522</v>
      </c>
      <c r="I48" s="43">
        <f t="shared" si="108"/>
        <v>209.56416666666667</v>
      </c>
      <c r="J48" s="49">
        <f t="shared" si="109"/>
        <v>3.6575847025314836</v>
      </c>
      <c r="K48" s="49">
        <f t="shared" si="110"/>
        <v>328.43097786259824</v>
      </c>
      <c r="L48" s="46">
        <f t="shared" si="111"/>
        <v>12.688804365168082</v>
      </c>
      <c r="M48" s="45"/>
      <c r="N48" s="47">
        <f t="shared" si="112"/>
        <v>209.56416666666667</v>
      </c>
      <c r="O48" s="47">
        <f t="shared" si="20"/>
        <v>0</v>
      </c>
      <c r="P48" s="47">
        <f t="shared" si="113"/>
        <v>209.56416666666667</v>
      </c>
      <c r="Q48" s="47">
        <f t="shared" si="114"/>
        <v>3.6575847025314836</v>
      </c>
      <c r="R48" s="47">
        <f t="shared" si="115"/>
        <v>-162.04718088320922</v>
      </c>
      <c r="S48" s="47">
        <f t="shared" si="116"/>
        <v>-285.67047167599765</v>
      </c>
      <c r="T48" s="45">
        <f t="shared" si="117"/>
        <v>1518755.2648191168</v>
      </c>
      <c r="U48" s="45">
        <f t="shared" si="118"/>
        <v>3973166.0785283237</v>
      </c>
      <c r="V48" s="47">
        <f t="shared" si="119"/>
        <v>3306.0377043651679</v>
      </c>
      <c r="W48" s="47">
        <f t="shared" si="120"/>
        <v>3306.0377043651679</v>
      </c>
      <c r="X48" s="47">
        <f t="shared" si="10"/>
        <v>1518755.2648191168</v>
      </c>
      <c r="Y48" s="47">
        <f t="shared" si="121"/>
        <v>3973166.0785283237</v>
      </c>
      <c r="Z48" s="47">
        <f t="shared" si="11"/>
        <v>1518755.1202497792</v>
      </c>
      <c r="AA48" s="47">
        <f t="shared" si="12"/>
        <v>3973166.1576161738</v>
      </c>
      <c r="AB48" s="47">
        <f t="shared" si="122"/>
        <v>0.16478829272489739</v>
      </c>
      <c r="AC48" s="47">
        <f t="shared" ca="1" si="123"/>
        <v>778.72343096746852</v>
      </c>
      <c r="AD48" s="47">
        <f t="shared" si="31"/>
        <v>17.167704365167992</v>
      </c>
      <c r="AE48" s="47">
        <f t="shared" ca="1" si="32"/>
        <v>778.72</v>
      </c>
      <c r="AF48" s="47">
        <f t="shared" si="124"/>
        <v>17.170000000000002</v>
      </c>
      <c r="AH48" s="2">
        <v>778.72</v>
      </c>
      <c r="AI48" s="44">
        <f t="shared" ca="1" si="104"/>
        <v>17.170000000000002</v>
      </c>
      <c r="AJ48" s="44" t="str">
        <f t="shared" ca="1" si="105"/>
        <v>778.72,17.17</v>
      </c>
    </row>
    <row r="49" spans="1:36" x14ac:dyDescent="0.25">
      <c r="A49" s="44">
        <v>29</v>
      </c>
      <c r="B49" s="48">
        <v>14.999166666666667</v>
      </c>
      <c r="C49" s="48">
        <v>3.7110879629629632</v>
      </c>
      <c r="D49" s="44">
        <v>205.977</v>
      </c>
      <c r="E49" s="44">
        <v>4.9062000000000001</v>
      </c>
      <c r="F49" s="43" t="s">
        <v>69</v>
      </c>
      <c r="G49" s="43">
        <f t="shared" si="106"/>
        <v>89.066111111111113</v>
      </c>
      <c r="H49" s="43">
        <f t="shared" si="107"/>
        <v>1.554496890835994</v>
      </c>
      <c r="I49" s="43">
        <f t="shared" si="108"/>
        <v>359.98</v>
      </c>
      <c r="J49" s="49">
        <f t="shared" si="109"/>
        <v>6.2828362413291874</v>
      </c>
      <c r="K49" s="49">
        <f t="shared" si="110"/>
        <v>205.9496394848787</v>
      </c>
      <c r="L49" s="46">
        <f t="shared" si="111"/>
        <v>3.3571602655357715</v>
      </c>
      <c r="M49" s="45"/>
      <c r="N49" s="47">
        <f t="shared" si="112"/>
        <v>359.98</v>
      </c>
      <c r="O49" s="47">
        <f t="shared" si="20"/>
        <v>0</v>
      </c>
      <c r="P49" s="47">
        <f t="shared" si="113"/>
        <v>359.98</v>
      </c>
      <c r="Q49" s="47">
        <f t="shared" si="114"/>
        <v>6.2828362413291874</v>
      </c>
      <c r="R49" s="47">
        <f t="shared" si="115"/>
        <v>-7.188998458624557E-2</v>
      </c>
      <c r="S49" s="47">
        <f t="shared" si="116"/>
        <v>205.94962693770927</v>
      </c>
      <c r="T49" s="45">
        <f t="shared" si="117"/>
        <v>1518917.2401100153</v>
      </c>
      <c r="U49" s="45">
        <f t="shared" si="118"/>
        <v>3973657.6986269373</v>
      </c>
      <c r="V49" s="47">
        <f t="shared" si="119"/>
        <v>3296.7060602655356</v>
      </c>
      <c r="W49" s="47">
        <f t="shared" si="120"/>
        <v>3296.7060602655356</v>
      </c>
      <c r="X49" s="47" t="str">
        <f t="shared" si="10"/>
        <v/>
      </c>
      <c r="Y49" s="47" t="str">
        <f t="shared" si="121"/>
        <v/>
      </c>
      <c r="Z49" s="47" t="e">
        <f t="shared" si="11"/>
        <v>#N/A</v>
      </c>
      <c r="AA49" s="47" t="e">
        <f t="shared" si="12"/>
        <v>#N/A</v>
      </c>
      <c r="AB49" s="47" t="str">
        <f t="shared" si="122"/>
        <v/>
      </c>
      <c r="AC49" s="47" t="str">
        <f t="shared" ca="1" si="123"/>
        <v/>
      </c>
      <c r="AD49" s="47" t="str">
        <f t="shared" si="31"/>
        <v/>
      </c>
      <c r="AE49" s="47" t="e">
        <f t="shared" ca="1" si="32"/>
        <v>#VALUE!</v>
      </c>
      <c r="AF49" s="47" t="e">
        <f t="shared" si="124"/>
        <v>#VALUE!</v>
      </c>
    </row>
    <row r="50" spans="1:36" x14ac:dyDescent="0.25">
      <c r="A50" s="44">
        <v>30</v>
      </c>
      <c r="B50" s="48">
        <v>3.7166435185185183</v>
      </c>
      <c r="C50" s="48">
        <v>4.0959143518518522</v>
      </c>
      <c r="D50" s="44">
        <v>89.006</v>
      </c>
      <c r="E50" s="44">
        <v>4.9062000000000001</v>
      </c>
      <c r="F50" s="43" t="s">
        <v>70</v>
      </c>
      <c r="G50" s="43">
        <f t="shared" si="106"/>
        <v>98.301944444444445</v>
      </c>
      <c r="H50" s="43">
        <f t="shared" si="107"/>
        <v>1.7156925916681036</v>
      </c>
      <c r="I50" s="43">
        <f t="shared" si="108"/>
        <v>89.199444444444438</v>
      </c>
      <c r="J50" s="49">
        <f t="shared" si="109"/>
        <v>1.5568239965053197</v>
      </c>
      <c r="K50" s="49">
        <f t="shared" si="110"/>
        <v>88.073296289845445</v>
      </c>
      <c r="L50" s="46">
        <f t="shared" si="111"/>
        <v>-12.851556973421447</v>
      </c>
      <c r="M50" s="45"/>
      <c r="N50" s="47">
        <f t="shared" si="112"/>
        <v>89.199444444444438</v>
      </c>
      <c r="O50" s="47">
        <f t="shared" si="20"/>
        <v>0</v>
      </c>
      <c r="P50" s="47">
        <f t="shared" si="113"/>
        <v>89.199444444444438</v>
      </c>
      <c r="Q50" s="47">
        <f t="shared" si="114"/>
        <v>1.5568239965053197</v>
      </c>
      <c r="R50" s="47">
        <f t="shared" si="115"/>
        <v>88.064699330434351</v>
      </c>
      <c r="S50" s="47">
        <f t="shared" si="116"/>
        <v>1.2305491453408048</v>
      </c>
      <c r="T50" s="45">
        <f t="shared" si="117"/>
        <v>1519005.3766993303</v>
      </c>
      <c r="U50" s="45">
        <f t="shared" si="118"/>
        <v>3973452.9795491453</v>
      </c>
      <c r="V50" s="47">
        <f t="shared" si="119"/>
        <v>3280.4973430265786</v>
      </c>
      <c r="W50" s="47">
        <f t="shared" si="120"/>
        <v>3280.4973430265786</v>
      </c>
      <c r="X50" s="47" t="str">
        <f t="shared" si="10"/>
        <v/>
      </c>
      <c r="Y50" s="47" t="str">
        <f t="shared" si="121"/>
        <v/>
      </c>
      <c r="Z50" s="47" t="e">
        <f t="shared" si="11"/>
        <v>#N/A</v>
      </c>
      <c r="AA50" s="47" t="e">
        <f t="shared" si="12"/>
        <v>#N/A</v>
      </c>
      <c r="AB50" s="47" t="str">
        <f t="shared" si="122"/>
        <v/>
      </c>
      <c r="AC50" s="47" t="str">
        <f t="shared" ca="1" si="123"/>
        <v/>
      </c>
      <c r="AD50" s="47" t="str">
        <f t="shared" si="31"/>
        <v/>
      </c>
      <c r="AE50" s="47" t="e">
        <f t="shared" ca="1" si="32"/>
        <v>#VALUE!</v>
      </c>
      <c r="AF50" s="47" t="e">
        <f t="shared" si="124"/>
        <v>#VALUE!</v>
      </c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48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1518917.3119999999</v>
      </c>
      <c r="C2" s="33">
        <f>IF(ISNUMBER(Calculations!O4),CONVERT(Calculations!O4,Units_In,Units_Out),"")</f>
        <v>3973451.7489999998</v>
      </c>
      <c r="D2" s="33" t="s">
        <v>60</v>
      </c>
      <c r="E2" s="10" t="str">
        <f>CONCATENATE("0503 ",B2,"EUSft ",C2,"NUSft")</f>
        <v>0503 1518917.312EUSft 3973451.749NUSft</v>
      </c>
      <c r="F2" s="34">
        <v>98</v>
      </c>
      <c r="G2" s="10" t="str">
        <f>IF(F2=98,"Lime",IF(F2=94,"Yellow",""))</f>
        <v>Lime</v>
      </c>
      <c r="H2" s="10" t="str">
        <f>Calculations!$A$1</f>
        <v>CSS17</v>
      </c>
    </row>
    <row r="3" spans="1:8" s="10" customFormat="1" x14ac:dyDescent="0.25">
      <c r="A3" s="10" t="str">
        <f>IF(ISNUMBER(Calculations!M5),CONCATENATE("GPS",Calculations!M5),"")</f>
        <v>GPS1</v>
      </c>
      <c r="B3" s="33" t="str">
        <f>IF(ISNUMBER(Calculations!N5),CONVERT(Calculations!N5,Units_In,Units_Out),"")</f>
        <v/>
      </c>
      <c r="C3" s="33" t="str">
        <f>IF(ISNUMBER(Calculations!O5),CONVERT(Calculations!O5,Units_In,Units_Out),"")</f>
        <v/>
      </c>
      <c r="D3" s="33" t="s">
        <v>60</v>
      </c>
      <c r="E3" s="10" t="str">
        <f t="shared" ref="E3:E4" si="0">CONCATENATE("0503 ",B3,"EUSft ",C3,"NUSft")</f>
        <v>0503 EUSft 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CSS17</v>
      </c>
    </row>
    <row r="4" spans="1:8" s="10" customFormat="1" x14ac:dyDescent="0.25">
      <c r="A4" s="10" t="str">
        <f>IF(ISNUMBER(Calculations!M6),CONCATENATE("GPS",Calculations!M6),"")</f>
        <v>GPS2</v>
      </c>
      <c r="B4" s="33" t="str">
        <f>IF(ISNUMBER(Calculations!N6),CONVERT(Calculations!N6,Units_In,Units_Out),"")</f>
        <v/>
      </c>
      <c r="C4" s="33" t="str">
        <f>IF(ISNUMBER(Calculations!O6),CONVERT(Calculations!O6,Units_In,Units_Out),"")</f>
        <v/>
      </c>
      <c r="D4" s="33" t="s">
        <v>60</v>
      </c>
      <c r="E4" s="10" t="str">
        <f t="shared" si="0"/>
        <v>0503 EUSft NUSft</v>
      </c>
      <c r="F4" s="34">
        <v>98</v>
      </c>
      <c r="G4" s="10" t="str">
        <f t="shared" si="1"/>
        <v>Lime</v>
      </c>
      <c r="H4" s="10" t="str">
        <f>Calculations!$A$1</f>
        <v>CSS17</v>
      </c>
    </row>
    <row r="5" spans="1:8" x14ac:dyDescent="0.25">
      <c r="A5">
        <f>IF(ISNUMBER(Calculations!A21),Calculations!A21,"")</f>
        <v>1</v>
      </c>
      <c r="B5" s="33">
        <f>IF(ISNUMBER(A5),CONVERT(Calculations!T21,Units_In,Units_Out),"")</f>
        <v>1518917.3119999999</v>
      </c>
      <c r="C5" s="33">
        <f>IF(ISNUMBER(A5),CONVERT(Calculations!U21,Units_In,Units_Out),"")</f>
        <v>3973657.6921587498</v>
      </c>
      <c r="D5" s="33" t="str">
        <f>IF(ISTEXT(Calculations!F21),Calculations!F21,"")</f>
        <v>BS/ZERO</v>
      </c>
      <c r="E5" t="str">
        <f>IF(ISNUMBER(A5),CONCATENATE("0503 ",B5,"EUSft ",C5,"NUSft"),"")</f>
        <v>0503 1518917.312EUSft 3973657.69215875NUSft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CSS17</v>
      </c>
    </row>
    <row r="6" spans="1:8" x14ac:dyDescent="0.25">
      <c r="A6" s="10">
        <f>IF(ISNUMBER(Calculations!A22),Calculations!A22,"")</f>
        <v>2</v>
      </c>
      <c r="B6" s="33">
        <f>IF(ISNUMBER(A6),CONVERT(Calculations!T22,Units_In,Units_Out),"")</f>
        <v>1519005.5845105289</v>
      </c>
      <c r="C6" s="33">
        <f>IF(ISNUMBER(A6),CONVERT(Calculations!U22,Units_In,Units_Out),"")</f>
        <v>3973439.0261158408</v>
      </c>
      <c r="D6" s="33" t="str">
        <f>IF(ISTEXT(Calculations!F22),Calculations!F22,"")</f>
        <v xml:space="preserve">BS </v>
      </c>
      <c r="E6" s="10" t="str">
        <f t="shared" ref="E6:E65" si="2">IF(ISNUMBER(A6),CONCATENATE("0503 ",B6,"EUSft ",C6,"NUSft"),"")</f>
        <v>0503 1519005.58451053EUSft 3973439.02611584NUSft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CSS17</v>
      </c>
    </row>
    <row r="7" spans="1:8" x14ac:dyDescent="0.25">
      <c r="A7" s="10">
        <f>IF(ISNUMBER(Calculations!A23),Calculations!A23,"")</f>
        <v>3</v>
      </c>
      <c r="B7" s="33">
        <f>IF(ISNUMBER(A7),CONVERT(Calculations!T23,Units_In,Units_Out),"")</f>
        <v>1519126.1622067825</v>
      </c>
      <c r="C7" s="33">
        <f>IF(ISNUMBER(A7),CONVERT(Calculations!U23,Units_In,Units_Out),"")</f>
        <v>3973850.8089788621</v>
      </c>
      <c r="D7" s="33" t="str">
        <f>IF(ISTEXT(Calculations!F23),Calculations!F23,"")</f>
        <v/>
      </c>
      <c r="E7" s="10" t="str">
        <f t="shared" si="2"/>
        <v>0503 1519126.16220678EUSft 3973850.80897886NUSft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CSS17</v>
      </c>
    </row>
    <row r="8" spans="1:8" x14ac:dyDescent="0.25">
      <c r="A8" s="10">
        <f>IF(ISNUMBER(Calculations!A24),Calculations!A24,"")</f>
        <v>4</v>
      </c>
      <c r="B8" s="33">
        <f>IF(ISNUMBER(A8),CONVERT(Calculations!T24,Units_In,Units_Out),"")</f>
        <v>1519115.11415397</v>
      </c>
      <c r="C8" s="33">
        <f>IF(ISNUMBER(A8),CONVERT(Calculations!U24,Units_In,Units_Out),"")</f>
        <v>3973826.5441202978</v>
      </c>
      <c r="D8" s="33" t="str">
        <f>IF(ISTEXT(Calculations!F24),Calculations!F24,"")</f>
        <v/>
      </c>
      <c r="E8" s="10" t="str">
        <f t="shared" si="2"/>
        <v>0503 1519115.11415397EUSft 3973826.5441203NUSft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CSS17</v>
      </c>
    </row>
    <row r="9" spans="1:8" x14ac:dyDescent="0.25">
      <c r="A9" s="10">
        <f>IF(ISNUMBER(Calculations!A25),Calculations!A25,"")</f>
        <v>5</v>
      </c>
      <c r="B9" s="33">
        <f>IF(ISNUMBER(A9),CONVERT(Calculations!T25,Units_In,Units_Out),"")</f>
        <v>1519053.5414289958</v>
      </c>
      <c r="C9" s="33">
        <f>IF(ISNUMBER(A9),CONVERT(Calculations!U25,Units_In,Units_Out),"")</f>
        <v>3973714.0049227001</v>
      </c>
      <c r="D9" s="33" t="str">
        <f>IF(ISTEXT(Calculations!F25),Calculations!F25,"")</f>
        <v/>
      </c>
      <c r="E9" s="10" t="str">
        <f t="shared" si="2"/>
        <v>0503 1519053.541429EUSft 3973714.0049227NUSft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CSS17</v>
      </c>
    </row>
    <row r="10" spans="1:8" x14ac:dyDescent="0.25">
      <c r="A10" s="10">
        <f>IF(ISNUMBER(Calculations!A26),Calculations!A26,"")</f>
        <v>6</v>
      </c>
      <c r="B10" s="33">
        <f>IF(ISNUMBER(A10),CONVERT(Calculations!T26,Units_In,Units_Out),"")</f>
        <v>1519047.076578046</v>
      </c>
      <c r="C10" s="33">
        <f>IF(ISNUMBER(A10),CONVERT(Calculations!U26,Units_In,Units_Out),"")</f>
        <v>3973690.199482617</v>
      </c>
      <c r="D10" s="33" t="str">
        <f>IF(ISTEXT(Calculations!F26),Calculations!F26,"")</f>
        <v/>
      </c>
      <c r="E10" s="10" t="str">
        <f t="shared" si="2"/>
        <v>0503 1519047.07657805EUSft 3973690.19948262NUSft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CSS17</v>
      </c>
    </row>
    <row r="11" spans="1:8" x14ac:dyDescent="0.25">
      <c r="A11" s="10">
        <f>IF(ISNUMBER(Calculations!A27),Calculations!A27,"")</f>
        <v>7</v>
      </c>
      <c r="B11" s="33">
        <f>IF(ISNUMBER(A11),CONVERT(Calculations!T27,Units_In,Units_Out),"")</f>
        <v>1519008.5085415787</v>
      </c>
      <c r="C11" s="33">
        <f>IF(ISNUMBER(A11),CONVERT(Calculations!U27,Units_In,Units_Out),"")</f>
        <v>3973620.0973129948</v>
      </c>
      <c r="D11" s="33" t="str">
        <f>IF(ISTEXT(Calculations!F27),Calculations!F27,"")</f>
        <v/>
      </c>
      <c r="E11" s="10" t="str">
        <f t="shared" si="2"/>
        <v>0503 1519008.50854158EUSft 3973620.09731299NUSft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CSS17</v>
      </c>
    </row>
    <row r="12" spans="1:8" x14ac:dyDescent="0.25">
      <c r="A12" s="10">
        <f>IF(ISNUMBER(Calculations!A28),Calculations!A28,"")</f>
        <v>8</v>
      </c>
      <c r="B12" s="33">
        <f>IF(ISNUMBER(A12),CONVERT(Calculations!T28,Units_In,Units_Out),"")</f>
        <v>1518984.3510500069</v>
      </c>
      <c r="C12" s="33">
        <f>IF(ISNUMBER(A12),CONVERT(Calculations!U28,Units_In,Units_Out),"")</f>
        <v>3973581.4403345282</v>
      </c>
      <c r="D12" s="33" t="str">
        <f>IF(ISTEXT(Calculations!F28),Calculations!F28,"")</f>
        <v/>
      </c>
      <c r="E12" s="10" t="str">
        <f t="shared" si="2"/>
        <v>0503 1518984.35105001EUSft 3973581.44033453NUSft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CSS17</v>
      </c>
    </row>
    <row r="13" spans="1:8" x14ac:dyDescent="0.25">
      <c r="A13" s="10">
        <f>IF(ISNUMBER(Calculations!A29),Calculations!A29,"")</f>
        <v>9</v>
      </c>
      <c r="B13" s="33">
        <f>IF(ISNUMBER(A13),CONVERT(Calculations!T29,Units_In,Units_Out),"")</f>
        <v>1518980.3121947499</v>
      </c>
      <c r="C13" s="33">
        <f>IF(ISNUMBER(A13),CONVERT(Calculations!U29,Units_In,Units_Out),"")</f>
        <v>3973573.6819742154</v>
      </c>
      <c r="D13" s="33" t="str">
        <f>IF(ISTEXT(Calculations!F29),Calculations!F29,"")</f>
        <v/>
      </c>
      <c r="E13" s="10" t="str">
        <f t="shared" si="2"/>
        <v>0503 1518980.31219475EUSft 3973573.68197422NUSft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CSS17</v>
      </c>
    </row>
    <row r="14" spans="1:8" x14ac:dyDescent="0.25">
      <c r="A14" s="10">
        <f>IF(ISNUMBER(Calculations!A30),Calculations!A30,"")</f>
        <v>10</v>
      </c>
      <c r="B14" s="33">
        <f>IF(ISNUMBER(A14),CONVERT(Calculations!T30,Units_In,Units_Out),"")</f>
        <v>1518974.9661361722</v>
      </c>
      <c r="C14" s="33">
        <f>IF(ISNUMBER(A14),CONVERT(Calculations!U30,Units_In,Units_Out),"")</f>
        <v>3973561.8036696855</v>
      </c>
      <c r="D14" s="33" t="str">
        <f>IF(ISTEXT(Calculations!F30),Calculations!F30,"")</f>
        <v/>
      </c>
      <c r="E14" s="10" t="str">
        <f t="shared" si="2"/>
        <v>0503 1518974.96613617EUSft 3973561.80366969NUSft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CSS17</v>
      </c>
    </row>
    <row r="15" spans="1:8" x14ac:dyDescent="0.25">
      <c r="A15" s="10">
        <f>IF(ISNUMBER(Calculations!A31),Calculations!A31,"")</f>
        <v>11</v>
      </c>
      <c r="B15" s="33">
        <f>IF(ISNUMBER(A15),CONVERT(Calculations!T31,Units_In,Units_Out),"")</f>
        <v>1518959.7145373521</v>
      </c>
      <c r="C15" s="33">
        <f>IF(ISNUMBER(A15),CONVERT(Calculations!U31,Units_In,Units_Out),"")</f>
        <v>3973533.5100648762</v>
      </c>
      <c r="D15" s="33" t="str">
        <f>IF(ISTEXT(Calculations!F31),Calculations!F31,"")</f>
        <v/>
      </c>
      <c r="E15" s="10" t="str">
        <f t="shared" si="2"/>
        <v>0503 1518959.71453735EUSft 3973533.51006488NUSft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CSS17</v>
      </c>
    </row>
    <row r="16" spans="1:8" x14ac:dyDescent="0.25">
      <c r="A16" s="10">
        <f>IF(ISNUMBER(Calculations!A32),Calculations!A32,"")</f>
        <v>12</v>
      </c>
      <c r="B16" s="33">
        <f>IF(ISNUMBER(A16),CONVERT(Calculations!T32,Units_In,Units_Out),"")</f>
        <v>1518948.6693086277</v>
      </c>
      <c r="C16" s="33">
        <f>IF(ISNUMBER(A16),CONVERT(Calculations!U32,Units_In,Units_Out),"")</f>
        <v>3973513.4960382152</v>
      </c>
      <c r="D16" s="33" t="str">
        <f>IF(ISTEXT(Calculations!F32),Calculations!F32,"")</f>
        <v/>
      </c>
      <c r="E16" s="10" t="str">
        <f t="shared" si="2"/>
        <v>0503 1518948.66930863EUSft 3973513.49603822NUSft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CSS17</v>
      </c>
    </row>
    <row r="17" spans="1:8" x14ac:dyDescent="0.25">
      <c r="A17" s="10">
        <f>IF(ISNUMBER(Calculations!A33),Calculations!A33,"")</f>
        <v>13</v>
      </c>
      <c r="B17" s="33">
        <f>IF(ISNUMBER(A17),CONVERT(Calculations!T33,Units_In,Units_Out),"")</f>
        <v>1518945.3273509354</v>
      </c>
      <c r="C17" s="33">
        <f>IF(ISNUMBER(A17),CONVERT(Calculations!U33,Units_In,Units_Out),"")</f>
        <v>3973509.1035634503</v>
      </c>
      <c r="D17" s="33" t="str">
        <f>IF(ISTEXT(Calculations!F33),Calculations!F33,"")</f>
        <v/>
      </c>
      <c r="E17" s="10" t="str">
        <f t="shared" si="2"/>
        <v>0503 1518945.32735094EUSft 3973509.10356345NUSft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CSS17</v>
      </c>
    </row>
    <row r="18" spans="1:8" x14ac:dyDescent="0.25">
      <c r="A18" s="10">
        <f>IF(ISNUMBER(Calculations!A34),Calculations!A34,"")</f>
        <v>14</v>
      </c>
      <c r="B18" s="33">
        <f>IF(ISNUMBER(A18),CONVERT(Calculations!T34,Units_In,Units_Out),"")</f>
        <v>1518915.8923920358</v>
      </c>
      <c r="C18" s="33">
        <f>IF(ISNUMBER(A18),CONVERT(Calculations!U34,Units_In,Units_Out),"")</f>
        <v>3973475.8668936715</v>
      </c>
      <c r="D18" s="33" t="str">
        <f>IF(ISTEXT(Calculations!F34),Calculations!F34,"")</f>
        <v/>
      </c>
      <c r="E18" s="10" t="str">
        <f t="shared" si="2"/>
        <v>0503 1518915.89239204EUSft 3973475.86689367NUSft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CSS17</v>
      </c>
    </row>
    <row r="19" spans="1:8" x14ac:dyDescent="0.25">
      <c r="A19" s="10">
        <f>IF(ISNUMBER(Calculations!A35),Calculations!A35,"")</f>
        <v>15</v>
      </c>
      <c r="B19" s="33">
        <f>IF(ISNUMBER(A19),CONVERT(Calculations!T35,Units_In,Units_Out),"")</f>
        <v>1518909.1885289634</v>
      </c>
      <c r="C19" s="33">
        <f>IF(ISNUMBER(A19),CONVERT(Calculations!U35,Units_In,Units_Out),"")</f>
        <v>3973469.2969472269</v>
      </c>
      <c r="D19" s="33" t="str">
        <f>IF(ISTEXT(Calculations!F35),Calculations!F35,"")</f>
        <v/>
      </c>
      <c r="E19" s="10" t="str">
        <f t="shared" si="2"/>
        <v>0503 1518909.18852896EUSft 3973469.29694723NUSft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CSS17</v>
      </c>
    </row>
    <row r="20" spans="1:8" x14ac:dyDescent="0.25">
      <c r="A20" s="10">
        <f>IF(ISNUMBER(Calculations!A36),Calculations!A36,"")</f>
        <v>16</v>
      </c>
      <c r="B20" s="33">
        <f>IF(ISNUMBER(A20),CONVERT(Calculations!T36,Units_In,Units_Out),"")</f>
        <v>1518904.4374807819</v>
      </c>
      <c r="C20" s="33">
        <f>IF(ISNUMBER(A20),CONVERT(Calculations!U36,Units_In,Units_Out),"")</f>
        <v>3973449.3056014837</v>
      </c>
      <c r="D20" s="33" t="str">
        <f>IF(ISTEXT(Calculations!F36),Calculations!F36,"")</f>
        <v/>
      </c>
      <c r="E20" s="10" t="str">
        <f t="shared" si="2"/>
        <v>0503 1518904.43748078EUSft 3973449.30560148NUSft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CSS17</v>
      </c>
    </row>
    <row r="21" spans="1:8" x14ac:dyDescent="0.25">
      <c r="A21" s="10">
        <f>IF(ISNUMBER(Calculations!A37),Calculations!A37,"")</f>
        <v>17</v>
      </c>
      <c r="B21" s="33">
        <f>IF(ISNUMBER(A21),CONVERT(Calculations!T37,Units_In,Units_Out),"")</f>
        <v>1518903.8973448684</v>
      </c>
      <c r="C21" s="33">
        <f>IF(ISNUMBER(A21),CONVERT(Calculations!U37,Units_In,Units_Out),"")</f>
        <v>3973447.3621832384</v>
      </c>
      <c r="D21" s="33" t="str">
        <f>IF(ISTEXT(Calculations!F37),Calculations!F37,"")</f>
        <v>WS</v>
      </c>
      <c r="E21" s="10" t="str">
        <f t="shared" si="2"/>
        <v>0503 1518903.89734487EUSft 3973447.36218324NUSft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CSS17</v>
      </c>
    </row>
    <row r="22" spans="1:8" x14ac:dyDescent="0.25">
      <c r="A22" s="10">
        <f>IF(ISNUMBER(Calculations!A38),Calculations!A38,"")</f>
        <v>18</v>
      </c>
      <c r="B22" s="33">
        <f>IF(ISNUMBER(A22),CONVERT(Calculations!T38,Units_In,Units_Out),"")</f>
        <v>1518901.0286297342</v>
      </c>
      <c r="C22" s="33">
        <f>IF(ISNUMBER(A22),CONVERT(Calculations!U38,Units_In,Units_Out),"")</f>
        <v>3973443.6418417748</v>
      </c>
      <c r="D22" s="33" t="str">
        <f>IF(ISTEXT(Calculations!F38),Calculations!F38,"")</f>
        <v>RIVER</v>
      </c>
      <c r="E22" s="10" t="str">
        <f t="shared" si="2"/>
        <v>0503 1518901.02862973EUSft 3973443.64184177NUSft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CSS17</v>
      </c>
    </row>
    <row r="23" spans="1:8" x14ac:dyDescent="0.25">
      <c r="A23" s="10">
        <f>IF(ISNUMBER(Calculations!A39),Calculations!A39,"")</f>
        <v>19</v>
      </c>
      <c r="B23" s="33">
        <f>IF(ISNUMBER(A23),CONVERT(Calculations!T39,Units_In,Units_Out),"")</f>
        <v>1518890.6014080977</v>
      </c>
      <c r="C23" s="33">
        <f>IF(ISNUMBER(A23),CONVERT(Calculations!U39,Units_In,Units_Out),"")</f>
        <v>3973419.4075247035</v>
      </c>
      <c r="D23" s="33" t="str">
        <f>IF(ISTEXT(Calculations!F39),Calculations!F39,"")</f>
        <v>RIVER</v>
      </c>
      <c r="E23" s="10" t="str">
        <f t="shared" si="2"/>
        <v>0503 1518890.6014081EUSft 3973419.4075247NUSft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CSS17</v>
      </c>
    </row>
    <row r="24" spans="1:8" x14ac:dyDescent="0.25">
      <c r="A24" s="10">
        <f>IF(ISNUMBER(Calculations!A40),Calculations!A40,"")</f>
        <v>20</v>
      </c>
      <c r="B24" s="33">
        <f>IF(ISNUMBER(A24),CONVERT(Calculations!T40,Units_In,Units_Out),"")</f>
        <v>1518876.8471709793</v>
      </c>
      <c r="C24" s="33">
        <f>IF(ISNUMBER(A24),CONVERT(Calculations!U40,Units_In,Units_Out),"")</f>
        <v>3973385.0737721398</v>
      </c>
      <c r="D24" s="33" t="str">
        <f>IF(ISTEXT(Calculations!F40),Calculations!F40,"")</f>
        <v>RIVER</v>
      </c>
      <c r="E24" s="10" t="str">
        <f t="shared" si="2"/>
        <v>0503 1518876.84717098EUSft 3973385.07377214NUSft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CSS17</v>
      </c>
    </row>
    <row r="25" spans="1:8" x14ac:dyDescent="0.25">
      <c r="A25" s="10">
        <f>IF(ISNUMBER(Calculations!A41),Calculations!A41,"")</f>
        <v>21</v>
      </c>
      <c r="B25" s="33">
        <f>IF(ISNUMBER(A25),CONVERT(Calculations!T41,Units_In,Units_Out),"")</f>
        <v>1518875.0924209394</v>
      </c>
      <c r="C25" s="33">
        <f>IF(ISNUMBER(A25),CONVERT(Calculations!U41,Units_In,Units_Out),"")</f>
        <v>3973382.4470599159</v>
      </c>
      <c r="D25" s="33" t="str">
        <f>IF(ISTEXT(Calculations!F41),Calculations!F41,"")</f>
        <v>WS</v>
      </c>
      <c r="E25" s="10" t="str">
        <f t="shared" si="2"/>
        <v>0503 1518875.09242094EUSft 3973382.44705992NUSft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CSS17</v>
      </c>
    </row>
    <row r="26" spans="1:8" x14ac:dyDescent="0.25">
      <c r="A26" s="10">
        <f>IF(ISNUMBER(Calculations!A42),Calculations!A42,"")</f>
        <v>22</v>
      </c>
      <c r="B26" s="33">
        <f>IF(ISNUMBER(A26),CONVERT(Calculations!T42,Units_In,Units_Out),"")</f>
        <v>1518874.1928226498</v>
      </c>
      <c r="C26" s="33">
        <f>IF(ISNUMBER(A26),CONVERT(Calculations!U42,Units_In,Units_Out),"")</f>
        <v>3973380.059873715</v>
      </c>
      <c r="D26" s="33" t="str">
        <f>IF(ISTEXT(Calculations!F42),Calculations!F42,"")</f>
        <v/>
      </c>
      <c r="E26" s="10" t="str">
        <f t="shared" si="2"/>
        <v>0503 1518874.19282265EUSft 3973380.05987372NUSft</v>
      </c>
      <c r="F26" s="34">
        <f t="shared" si="3"/>
        <v>94</v>
      </c>
      <c r="G26" s="10" t="str">
        <f t="shared" si="1"/>
        <v>Yellow</v>
      </c>
      <c r="H26" s="10" t="str">
        <f>IF(ISNUMBER(A26),Calculations!$A$1,"")</f>
        <v>CSS17</v>
      </c>
    </row>
    <row r="27" spans="1:8" x14ac:dyDescent="0.25">
      <c r="A27" s="10">
        <f>IF(ISNUMBER(Calculations!A43),Calculations!A43,"")</f>
        <v>23</v>
      </c>
      <c r="B27" s="33">
        <f>IF(ISNUMBER(A27),CONVERT(Calculations!T43,Units_In,Units_Out),"")</f>
        <v>1518870.8295574442</v>
      </c>
      <c r="C27" s="33">
        <f>IF(ISNUMBER(A27),CONVERT(Calculations!U43,Units_In,Units_Out),"")</f>
        <v>3973373.4956238768</v>
      </c>
      <c r="D27" s="33" t="str">
        <f>IF(ISTEXT(Calculations!F43),Calculations!F43,"")</f>
        <v/>
      </c>
      <c r="E27" s="10" t="str">
        <f t="shared" si="2"/>
        <v>0503 1518870.82955744EUSft 3973373.49562388NUSft</v>
      </c>
      <c r="F27" s="34">
        <f t="shared" si="3"/>
        <v>94</v>
      </c>
      <c r="G27" s="10" t="str">
        <f t="shared" si="1"/>
        <v>Yellow</v>
      </c>
      <c r="H27" s="10" t="str">
        <f>IF(ISNUMBER(A27),Calculations!$A$1,"")</f>
        <v>CSS17</v>
      </c>
    </row>
    <row r="28" spans="1:8" x14ac:dyDescent="0.25">
      <c r="A28" s="10">
        <f>IF(ISNUMBER(Calculations!A44),Calculations!A44,"")</f>
        <v>24</v>
      </c>
      <c r="B28" s="33">
        <f>IF(ISNUMBER(A28),CONVERT(Calculations!T44,Units_In,Units_Out),"")</f>
        <v>1518847.5247832765</v>
      </c>
      <c r="C28" s="33">
        <f>IF(ISNUMBER(A28),CONVERT(Calculations!U44,Units_In,Units_Out),"")</f>
        <v>3973326.6317555313</v>
      </c>
      <c r="D28" s="33" t="str">
        <f>IF(ISTEXT(Calculations!F44),Calculations!F44,"")</f>
        <v/>
      </c>
      <c r="E28" s="10" t="str">
        <f t="shared" si="2"/>
        <v>0503 1518847.52478328EUSft 3973326.63175553NUSft</v>
      </c>
      <c r="F28" s="34">
        <f t="shared" si="3"/>
        <v>94</v>
      </c>
      <c r="G28" s="10" t="str">
        <f t="shared" si="1"/>
        <v>Yellow</v>
      </c>
      <c r="H28" s="10" t="str">
        <f>IF(ISNUMBER(A28),Calculations!$A$1,"")</f>
        <v>CSS17</v>
      </c>
    </row>
    <row r="29" spans="1:8" x14ac:dyDescent="0.25">
      <c r="A29" s="10">
        <f>IF(ISNUMBER(Calculations!A45),Calculations!A45,"")</f>
        <v>25</v>
      </c>
      <c r="B29" s="33">
        <f>IF(ISNUMBER(A29),CONVERT(Calculations!T45,Units_In,Units_Out),"")</f>
        <v>1518819.6595990935</v>
      </c>
      <c r="C29" s="33">
        <f>IF(ISNUMBER(A29),CONVERT(Calculations!U45,Units_In,Units_Out),"")</f>
        <v>3973273.9566353839</v>
      </c>
      <c r="D29" s="33" t="str">
        <f>IF(ISTEXT(Calculations!F45),Calculations!F45,"")</f>
        <v/>
      </c>
      <c r="E29" s="10" t="str">
        <f t="shared" si="2"/>
        <v>0503 1518819.65959909EUSft 3973273.95663538NUSft</v>
      </c>
      <c r="F29" s="34">
        <f t="shared" si="3"/>
        <v>94</v>
      </c>
      <c r="G29" s="10" t="str">
        <f t="shared" si="1"/>
        <v>Yellow</v>
      </c>
      <c r="H29" s="10" t="str">
        <f>IF(ISNUMBER(A29),Calculations!$A$1,"")</f>
        <v>CSS17</v>
      </c>
    </row>
    <row r="30" spans="1:8" x14ac:dyDescent="0.25">
      <c r="A30" s="10">
        <f>IF(ISNUMBER(Calculations!A46),Calculations!A46,"")</f>
        <v>26</v>
      </c>
      <c r="B30" s="33">
        <f>IF(ISNUMBER(A30),CONVERT(Calculations!T46,Units_In,Units_Out),"")</f>
        <v>1518796.1729079909</v>
      </c>
      <c r="C30" s="33">
        <f>IF(ISNUMBER(A30),CONVERT(Calculations!U46,Units_In,Units_Out),"")</f>
        <v>3973240.4206987531</v>
      </c>
      <c r="D30" s="33" t="str">
        <f>IF(ISTEXT(Calculations!F46),Calculations!F46,"")</f>
        <v/>
      </c>
      <c r="E30" s="10" t="str">
        <f t="shared" si="2"/>
        <v>0503 1518796.17290799EUSft 3973240.42069875NUSft</v>
      </c>
      <c r="F30" s="34">
        <f t="shared" si="3"/>
        <v>94</v>
      </c>
      <c r="G30" s="10" t="str">
        <f t="shared" si="1"/>
        <v>Yellow</v>
      </c>
      <c r="H30" s="10" t="str">
        <f>IF(ISNUMBER(A30),Calculations!$A$1,"")</f>
        <v>CSS17</v>
      </c>
    </row>
    <row r="31" spans="1:8" x14ac:dyDescent="0.25">
      <c r="A31" s="10">
        <f>IF(ISNUMBER(Calculations!A47),Calculations!A47,"")</f>
        <v>27</v>
      </c>
      <c r="B31" s="33">
        <f>IF(ISNUMBER(A31),CONVERT(Calculations!T47,Units_In,Units_Out),"")</f>
        <v>1518776.1939084814</v>
      </c>
      <c r="C31" s="33">
        <f>IF(ISNUMBER(A31),CONVERT(Calculations!U47,Units_In,Units_Out),"")</f>
        <v>3973205.5422452302</v>
      </c>
      <c r="D31" s="33" t="str">
        <f>IF(ISTEXT(Calculations!F47),Calculations!F47,"")</f>
        <v/>
      </c>
      <c r="E31" s="10" t="str">
        <f t="shared" si="2"/>
        <v>0503 1518776.19390848EUSft 3973205.54224523NUSft</v>
      </c>
      <c r="F31" s="34">
        <f t="shared" si="3"/>
        <v>94</v>
      </c>
      <c r="G31" s="10" t="str">
        <f t="shared" si="1"/>
        <v>Yellow</v>
      </c>
      <c r="H31" s="10" t="str">
        <f>IF(ISNUMBER(A31),Calculations!$A$1,"")</f>
        <v>CSS17</v>
      </c>
    </row>
    <row r="32" spans="1:8" x14ac:dyDescent="0.25">
      <c r="A32" s="10">
        <f>IF(ISNUMBER(Calculations!A48),Calculations!A48,"")</f>
        <v>28</v>
      </c>
      <c r="B32" s="33">
        <f>IF(ISNUMBER(A32),CONVERT(Calculations!T48,Units_In,Units_Out),"")</f>
        <v>1518755.2648191168</v>
      </c>
      <c r="C32" s="33">
        <f>IF(ISNUMBER(A32),CONVERT(Calculations!U48,Units_In,Units_Out),"")</f>
        <v>3973166.0785283237</v>
      </c>
      <c r="D32" s="33" t="str">
        <f>IF(ISTEXT(Calculations!F48),Calculations!F48,"")</f>
        <v/>
      </c>
      <c r="E32" s="10" t="str">
        <f t="shared" si="2"/>
        <v>0503 1518755.26481912EUSft 3973166.07852832NUSft</v>
      </c>
      <c r="F32" s="34">
        <f t="shared" si="3"/>
        <v>94</v>
      </c>
      <c r="G32" s="10" t="str">
        <f t="shared" si="1"/>
        <v>Yellow</v>
      </c>
      <c r="H32" s="10" t="str">
        <f>IF(ISNUMBER(A32),Calculations!$A$1,"")</f>
        <v>CSS17</v>
      </c>
    </row>
    <row r="33" spans="1:8" x14ac:dyDescent="0.25">
      <c r="A33" s="10">
        <f>IF(ISNUMBER(Calculations!A49),Calculations!A49,"")</f>
        <v>29</v>
      </c>
      <c r="B33" s="33">
        <f>IF(ISNUMBER(A33),CONVERT(Calculations!T49,Units_In,Units_Out),"")</f>
        <v>1518917.2401100155</v>
      </c>
      <c r="C33" s="33">
        <f>IF(ISNUMBER(A33),CONVERT(Calculations!U49,Units_In,Units_Out),"")</f>
        <v>3973657.6986269378</v>
      </c>
      <c r="D33" s="33" t="str">
        <f>IF(ISTEXT(Calculations!F49),Calculations!F49,"")</f>
        <v>PT1</v>
      </c>
      <c r="E33" s="10" t="str">
        <f t="shared" si="2"/>
        <v>0503 1518917.24011002EUSft 3973657.69862694NUSft</v>
      </c>
      <c r="F33" s="34">
        <f t="shared" si="3"/>
        <v>94</v>
      </c>
      <c r="G33" s="10" t="str">
        <f t="shared" si="1"/>
        <v>Yellow</v>
      </c>
      <c r="H33" s="10" t="str">
        <f>IF(ISNUMBER(A33),Calculations!$A$1,"")</f>
        <v>CSS17</v>
      </c>
    </row>
    <row r="34" spans="1:8" x14ac:dyDescent="0.25">
      <c r="A34" s="10">
        <f>IF(ISNUMBER(Calculations!A50),Calculations!A50,"")</f>
        <v>30</v>
      </c>
      <c r="B34" s="33">
        <f>IF(ISNUMBER(A34),CONVERT(Calculations!T50,Units_In,Units_Out),"")</f>
        <v>1519005.3766993303</v>
      </c>
      <c r="C34" s="33">
        <f>IF(ISNUMBER(A34),CONVERT(Calculations!U50,Units_In,Units_Out),"")</f>
        <v>3973452.9795491449</v>
      </c>
      <c r="D34" s="33" t="str">
        <f>IF(ISTEXT(Calculations!F50),Calculations!F50,"")</f>
        <v>PT2</v>
      </c>
      <c r="E34" s="10" t="str">
        <f t="shared" si="2"/>
        <v>0503 1519005.37669933EUSft 3973452.97954914NUSft</v>
      </c>
      <c r="F34" s="34">
        <f t="shared" si="3"/>
        <v>94</v>
      </c>
      <c r="G34" s="10" t="str">
        <f t="shared" si="1"/>
        <v>Yellow</v>
      </c>
      <c r="H34" s="10" t="str">
        <f>IF(ISNUMBER(A34),Calculations!$A$1,"")</f>
        <v>CSS17</v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2013-09-16T18:20:18Z</dcterms:modified>
</cp:coreProperties>
</file>