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Calculations!$AB$21:$AB$44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Calculations!$X$21:$X$60</definedName>
    <definedName name="yB">Calculations!$Y$21:$Y$60</definedName>
    <definedName name="Zs">Calculations!$W$21:$W$43</definedName>
  </definedNames>
  <calcPr calcId="145621"/>
</workbook>
</file>

<file path=xl/calcChain.xml><?xml version="1.0" encoding="utf-8"?>
<calcChain xmlns="http://schemas.openxmlformats.org/spreadsheetml/2006/main">
  <c r="I39" i="1" l="1"/>
  <c r="J39" i="1" s="1"/>
  <c r="G39" i="1"/>
  <c r="H39" i="1" s="1"/>
  <c r="I38" i="1"/>
  <c r="J38" i="1" s="1"/>
  <c r="G38" i="1"/>
  <c r="H38" i="1" s="1"/>
  <c r="L39" i="1" l="1"/>
  <c r="K39" i="1"/>
  <c r="N39" i="1"/>
  <c r="L38" i="1"/>
  <c r="K38" i="1"/>
  <c r="N38" i="1"/>
  <c r="G36" i="1"/>
  <c r="H36" i="1" s="1"/>
  <c r="I36" i="1"/>
  <c r="J36" i="1" s="1"/>
  <c r="G37" i="1"/>
  <c r="H37" i="1" s="1"/>
  <c r="I37" i="1"/>
  <c r="J37" i="1" s="1"/>
  <c r="N36" i="1" l="1"/>
  <c r="K37" i="1"/>
  <c r="L37" i="1"/>
  <c r="N37" i="1"/>
  <c r="K36" i="1"/>
  <c r="L36" i="1"/>
  <c r="X22" i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 l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39" i="1" l="1"/>
  <c r="V38" i="1"/>
  <c r="V36" i="1"/>
  <c r="V37" i="1"/>
  <c r="V34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38" i="1" l="1"/>
  <c r="P38" i="1" s="1"/>
  <c r="Q38" i="1" s="1"/>
  <c r="R38" i="1" s="1"/>
  <c r="T38" i="1" s="1"/>
  <c r="O39" i="1"/>
  <c r="P39" i="1" s="1"/>
  <c r="Q39" i="1" s="1"/>
  <c r="O37" i="1"/>
  <c r="P37" i="1" s="1"/>
  <c r="Q37" i="1" s="1"/>
  <c r="O36" i="1"/>
  <c r="P36" i="1" s="1"/>
  <c r="Q36" i="1" s="1"/>
  <c r="O35" i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S38" i="1" l="1"/>
  <c r="U38" i="1" s="1"/>
  <c r="S39" i="1"/>
  <c r="U39" i="1" s="1"/>
  <c r="R39" i="1"/>
  <c r="T39" i="1" s="1"/>
  <c r="X38" i="1"/>
  <c r="R36" i="1"/>
  <c r="T36" i="1" s="1"/>
  <c r="X36" i="1" s="1"/>
  <c r="S36" i="1"/>
  <c r="U36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X39" i="1" l="1"/>
  <c r="Y38" i="1"/>
  <c r="Y36" i="1"/>
  <c r="X37" i="1"/>
  <c r="Y35" i="1"/>
  <c r="Y34" i="1"/>
  <c r="Y5" i="1"/>
  <c r="Y8" i="1" s="1"/>
  <c r="X9" i="1"/>
  <c r="Y9" i="1"/>
  <c r="Y39" i="1" l="1"/>
  <c r="Y37" i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38" i="1" l="1"/>
  <c r="W39" i="1"/>
  <c r="W37" i="1"/>
  <c r="W36" i="1"/>
  <c r="W35" i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E7" i="2" l="1"/>
  <c r="E19" i="2"/>
  <c r="Y28" i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38" i="1" l="1"/>
  <c r="AF38" i="1" s="1"/>
  <c r="AD39" i="1"/>
  <c r="AF39" i="1" s="1"/>
  <c r="AD36" i="1"/>
  <c r="AF36" i="1" s="1"/>
  <c r="AD37" i="1"/>
  <c r="AF37" i="1" s="1"/>
  <c r="AD34" i="1"/>
  <c r="AF34" i="1" s="1"/>
  <c r="AD35" i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39" i="1" l="1"/>
  <c r="Z38" i="1"/>
  <c r="Z36" i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AA31" i="1" s="1"/>
  <c r="Z29" i="1"/>
  <c r="AA29" i="1" s="1"/>
  <c r="Z33" i="1"/>
  <c r="AA33" i="1" s="1"/>
  <c r="Z27" i="1"/>
  <c r="AA27" i="1" s="1"/>
  <c r="Z26" i="1"/>
  <c r="AA26" i="1" s="1"/>
  <c r="Z30" i="1"/>
  <c r="AA30" i="1" s="1"/>
  <c r="AA39" i="1" l="1"/>
  <c r="AB39" i="1" s="1"/>
  <c r="AA38" i="1"/>
  <c r="AA36" i="1"/>
  <c r="AB36" i="1" s="1"/>
  <c r="AA37" i="1"/>
  <c r="AB37" i="1" s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6" i="1"/>
  <c r="AB24" i="1"/>
  <c r="AB31" i="1"/>
  <c r="AB25" i="1"/>
  <c r="AB30" i="1"/>
  <c r="AC38" i="1" l="1"/>
  <c r="AE38" i="1" s="1"/>
  <c r="AB38" i="1"/>
  <c r="AC39" i="1"/>
  <c r="AE39" i="1" s="1"/>
  <c r="AC36" i="1"/>
  <c r="AE36" i="1" s="1"/>
  <c r="AC37" i="1"/>
  <c r="AE37" i="1" s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26" i="1"/>
  <c r="AE26" i="1" s="1"/>
  <c r="AC32" i="1"/>
  <c r="AE32" i="1" s="1"/>
  <c r="AC29" i="1"/>
  <c r="AE29" i="1" s="1"/>
  <c r="AC30" i="1"/>
  <c r="AE30" i="1" s="1"/>
  <c r="AC28" i="1"/>
  <c r="AE28" i="1" s="1"/>
  <c r="AB23" i="1"/>
  <c r="AC9" i="1" s="1"/>
  <c r="AI36" i="1" l="1"/>
  <c r="AJ36" i="1" s="1"/>
  <c r="AI37" i="1"/>
  <c r="AJ37" i="1" s="1"/>
  <c r="AI34" i="1"/>
  <c r="AJ34" i="1" s="1"/>
  <c r="AI35" i="1"/>
  <c r="AJ35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<sst xmlns="http://schemas.openxmlformats.org/spreadsheetml/2006/main" count="103" uniqueCount="90">
  <si>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</si>
  <si>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</si>
  <si>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</si>
  <si>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</si>
  <si>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</si>
  <si>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</si>
  <si>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</si>
  <si>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</si>
  <si>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</si>
  <si>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</si>
  <si>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</si>
  <si>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</si>
  <si>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</si>
  <si>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</si>
  <si>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</si>
  <si>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</si>
  <si>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</si>
  <si>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</si>
  <si>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</si>
  <si>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</si>
  <si>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</si>
  <si>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</si>
  <si>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</si>
  <si>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</si>
  <si>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</si>
  <si>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</si>
  <si>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</si>
  <si>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</si>
  <si>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</si>
  <si>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</si>
  <si>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</si>
  <si>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</si>
  <si>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</si>
  <si>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</si>
  <si>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</si>
  <si>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</si>
  <si>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</si>
  <si>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</si>
  <si>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</si>
  <si>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</si>
  <si>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</si>
  <si>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</si>
  <si>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</si>
  <si>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</si>
  <si>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</si>
  <si>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</si>
  <si>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</si>
  <si>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</si>
  <si>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</si>
  <si>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</si>
  <si>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</si>
  <si>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</si>
  <si>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</si>
  <si>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</si>
  <si>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</si>
  <si>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</si>
  <si>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</si>
  <si>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</si>
  <si>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</si>
  <si>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</si>
  <si>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</si>
  <si>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</si>
  <si>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</si>
  <si>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</si>
  <si>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</si>
  <si>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</si>
  <si>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</si>
  <si>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</si>
  <si>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</si>
  <si>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</si>
  <si>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</si>
  <si>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</si>
  <si>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</si>
  <si>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</si>
  <si>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</si>
  <si>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</si>
  <si>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</si>
  <si>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</si>
  <si>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</si>
  <si>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</si>
  <si>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</si>
  <si>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</si>
  <si>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</si>
  <si>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</si>
  <si>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</si>
  <si>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 xml:space="preserve">BS </t>
  </si>
  <si>
    <t>DSS1</t>
  </si>
  <si>
    <t>1,1536943.270,3828813.799,3524.064,3524.064,</t>
  </si>
  <si>
    <t>2,1537013.268,3828778.186,3532.152,3532.152,</t>
  </si>
  <si>
    <t>3,1536905.782,3828879.383,3534.253,3534.253,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</si>
</sst>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Calculations!$AH$23:$AH$59</c:f>
              <c:numCache>
                <c:formatCode>General</c:formatCode>
                <c:ptCount val="37"/>
                <c:pt idx="0">
                  <c:v>0</c:v>
                </c:pt>
                <c:pt idx="1">
                  <c:v>3.95</c:v>
                </c:pt>
                <c:pt idx="2">
                  <c:v>7.22</c:v>
                </c:pt>
                <c:pt idx="3">
                  <c:v>11.97</c:v>
                </c:pt>
                <c:pt idx="4">
                  <c:v>16.86</c:v>
                </c:pt>
                <c:pt idx="5">
                  <c:v>26.34</c:v>
                </c:pt>
                <c:pt idx="6">
                  <c:v>31.88</c:v>
                </c:pt>
                <c:pt idx="7">
                  <c:v>33.46</c:v>
                </c:pt>
                <c:pt idx="8">
                  <c:v>37.96</c:v>
                </c:pt>
                <c:pt idx="9">
                  <c:v>52.14</c:v>
                </c:pt>
                <c:pt idx="10">
                  <c:v>62.63</c:v>
                </c:pt>
                <c:pt idx="11">
                  <c:v>65.41</c:v>
                </c:pt>
                <c:pt idx="12">
                  <c:v>74.41</c:v>
                </c:pt>
                <c:pt idx="13">
                  <c:v>78.900000000000006</c:v>
                </c:pt>
                <c:pt idx="14">
                  <c:v>87.31</c:v>
                </c:pt>
              </c:numCache>
            </c:numRef>
          </c:xVal>
          <c:yVal>
            <c:numRef>
              <c:f>Calculations!$AI$23:$AI$59</c:f>
              <c:numCache>
                <c:formatCode>General</c:formatCode>
                <c:ptCount val="37"/>
                <c:pt idx="0">
                  <c:v>6.79</c:v>
                </c:pt>
                <c:pt idx="1">
                  <c:v>4.29</c:v>
                </c:pt>
                <c:pt idx="2">
                  <c:v>3.22</c:v>
                </c:pt>
                <c:pt idx="3">
                  <c:v>2.1800000000000002</c:v>
                </c:pt>
                <c:pt idx="4">
                  <c:v>0.81</c:v>
                </c:pt>
                <c:pt idx="5">
                  <c:v>1.32</c:v>
                </c:pt>
                <c:pt idx="6">
                  <c:v>1.07</c:v>
                </c:pt>
                <c:pt idx="7">
                  <c:v>0.37</c:v>
                </c:pt>
                <c:pt idx="8">
                  <c:v>0</c:v>
                </c:pt>
                <c:pt idx="9">
                  <c:v>0.22</c:v>
                </c:pt>
                <c:pt idx="10">
                  <c:v>0.34</c:v>
                </c:pt>
                <c:pt idx="11">
                  <c:v>0.5</c:v>
                </c:pt>
                <c:pt idx="12">
                  <c:v>1.59</c:v>
                </c:pt>
                <c:pt idx="13">
                  <c:v>3.09</c:v>
                </c:pt>
                <c:pt idx="14">
                  <c:v>4.58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7008"/>
        <c:axId val="106268544"/>
      </c:scatterChart>
      <c:valAx>
        <c:axId val="1062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68544"/>
        <c:crosses val="autoZero"/>
        <c:crossBetween val="midCat"/>
      </c:valAx>
      <c:valAx>
        <c:axId val="1062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67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Calculations!$R$23:$R$37</c:f>
              <c:numCache>
                <c:formatCode>0.00</c:formatCode>
                <c:ptCount val="15"/>
                <c:pt idx="0">
                  <c:v>19.026437593647639</c:v>
                </c:pt>
                <c:pt idx="1">
                  <c:v>22.359549412606288</c:v>
                </c:pt>
                <c:pt idx="2">
                  <c:v>25.302656677000364</c:v>
                </c:pt>
                <c:pt idx="3">
                  <c:v>29.650153060082118</c:v>
                </c:pt>
                <c:pt idx="4">
                  <c:v>33.61925950246242</c:v>
                </c:pt>
                <c:pt idx="5">
                  <c:v>42.615094290047587</c:v>
                </c:pt>
                <c:pt idx="6">
                  <c:v>47.495424232889143</c:v>
                </c:pt>
                <c:pt idx="7">
                  <c:v>49.049619378391149</c:v>
                </c:pt>
                <c:pt idx="8">
                  <c:v>53.258836432188382</c:v>
                </c:pt>
                <c:pt idx="9">
                  <c:v>66.147614796593871</c:v>
                </c:pt>
                <c:pt idx="10">
                  <c:v>76.039946451180839</c:v>
                </c:pt>
                <c:pt idx="11">
                  <c:v>78.470129554741078</c:v>
                </c:pt>
                <c:pt idx="12">
                  <c:v>90.531324552380681</c:v>
                </c:pt>
                <c:pt idx="13">
                  <c:v>94.641076285085191</c:v>
                </c:pt>
                <c:pt idx="14">
                  <c:v>101.71267160568854</c:v>
                </c:pt>
              </c:numCache>
            </c:numRef>
          </c:xVal>
          <c:yVal>
            <c:numRef>
              <c:f>Calculations!$S$23:$S$37</c:f>
              <c:numCache>
                <c:formatCode>0.00</c:formatCode>
                <c:ptCount val="15"/>
                <c:pt idx="0">
                  <c:v>8.8926241025794948</c:v>
                </c:pt>
                <c:pt idx="1">
                  <c:v>6.3296942310994817</c:v>
                </c:pt>
                <c:pt idx="2">
                  <c:v>4.8008132428361661</c:v>
                </c:pt>
                <c:pt idx="3">
                  <c:v>2.8095858159285512</c:v>
                </c:pt>
                <c:pt idx="4">
                  <c:v>-0.83745169724751822</c:v>
                </c:pt>
                <c:pt idx="5">
                  <c:v>-3.8395275467734113</c:v>
                </c:pt>
                <c:pt idx="6">
                  <c:v>-6.7624117743726604</c:v>
                </c:pt>
                <c:pt idx="7">
                  <c:v>-7.0788313967340217</c:v>
                </c:pt>
                <c:pt idx="8">
                  <c:v>-8.7211956157785284</c:v>
                </c:pt>
                <c:pt idx="9">
                  <c:v>-14.979466080799428</c:v>
                </c:pt>
                <c:pt idx="10">
                  <c:v>-18.474051073975033</c:v>
                </c:pt>
                <c:pt idx="11">
                  <c:v>-20.000152099605344</c:v>
                </c:pt>
                <c:pt idx="12">
                  <c:v>-11.798569060728379</c:v>
                </c:pt>
                <c:pt idx="13">
                  <c:v>-13.691370343240713</c:v>
                </c:pt>
                <c:pt idx="14">
                  <c:v>-19.194279433882887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4896"/>
        <c:axId val="122015744"/>
      </c:scatterChart>
      <c:valAx>
        <c:axId val="1219848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2015744"/>
        <c:crosses val="autoZero"/>
        <c:crossBetween val="midCat"/>
      </c:valAx>
      <c:valAx>
        <c:axId val="122015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98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Calculations!$Z$21:$Z$39</c:f>
              <c:numCache>
                <c:formatCode>0.00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3828831.6219139104</c:v>
                </c:pt>
                <c:pt idx="3">
                  <c:v>3828835.3891887199</c:v>
                </c:pt>
                <c:pt idx="4">
                  <c:v>3828838.5032602232</c:v>
                </c:pt>
                <c:pt idx="5">
                  <c:v>3828843.0259977933</c:v>
                </c:pt>
                <c:pt idx="6">
                  <c:v>3828847.6842683461</c:v>
                </c:pt>
                <c:pt idx="7">
                  <c:v>3828856.7192187048</c:v>
                </c:pt>
                <c:pt idx="8">
                  <c:v>3828861.9951973045</c:v>
                </c:pt>
                <c:pt idx="9">
                  <c:v>3828863.497639983</c:v>
                </c:pt>
                <c:pt idx="10">
                  <c:v>3828867.7939191386</c:v>
                </c:pt>
                <c:pt idx="11">
                  <c:v>3828881.3049260695</c:v>
                </c:pt>
                <c:pt idx="12">
                  <c:v>3828891.2962034419</c:v>
                </c:pt>
                <c:pt idx="13">
                  <c:v>3828893.9438374033</c:v>
                </c:pt>
                <c:pt idx="14">
                  <c:v>3828902.5202395981</c:v>
                </c:pt>
                <c:pt idx="15">
                  <c:v>3828906.7986769564</c:v>
                </c:pt>
                <c:pt idx="16">
                  <c:v>3828914.8103062301</c:v>
                </c:pt>
                <c:pt idx="17">
                  <c:v>#N/A</c:v>
                </c:pt>
                <c:pt idx="18">
                  <c:v>#N/A</c:v>
                </c:pt>
              </c:numCache>
            </c:numRef>
          </c:xVal>
          <c:yVal>
            <c:numRef>
              <c:f>Calculations!$AA$21:$AA$39</c:f>
              <c:numCache>
                <c:formatCode>0.00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1536948.3861374524</c:v>
                </c:pt>
                <c:pt idx="3">
                  <c:v>1536947.1855494785</c:v>
                </c:pt>
                <c:pt idx="4">
                  <c:v>1536946.1931300282</c:v>
                </c:pt>
                <c:pt idx="5">
                  <c:v>1536944.7517845968</c:v>
                </c:pt>
                <c:pt idx="6">
                  <c:v>1536943.2672463332</c:v>
                </c:pt>
                <c:pt idx="7">
                  <c:v>1536940.3879095998</c:v>
                </c:pt>
                <c:pt idx="8">
                  <c:v>1536938.7065147515</c:v>
                </c:pt>
                <c:pt idx="9">
                  <c:v>1536938.2277032228</c:v>
                </c:pt>
                <c:pt idx="10">
                  <c:v>1536936.8585275328</c:v>
                </c:pt>
                <c:pt idx="11">
                  <c:v>1536932.5527220753</c:v>
                </c:pt>
                <c:pt idx="12">
                  <c:v>1536929.3686147132</c:v>
                </c:pt>
                <c:pt idx="13">
                  <c:v>1536928.5248436444</c:v>
                </c:pt>
                <c:pt idx="14">
                  <c:v>1536925.7916410367</c:v>
                </c:pt>
                <c:pt idx="15">
                  <c:v>1536924.4281513263</c:v>
                </c:pt>
                <c:pt idx="16">
                  <c:v>1536921.8749354761</c:v>
                </c:pt>
                <c:pt idx="17">
                  <c:v>#N/A</c:v>
                </c:pt>
                <c:pt idx="1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9728"/>
        <c:axId val="149880832"/>
      </c:scatterChart>
      <c:valAx>
        <c:axId val="1260097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9880832"/>
        <c:crosses val="autoZero"/>
        <c:crossBetween val="midCat"/>
      </c:valAx>
      <c:valAx>
        <c:axId val="149880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600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Calculations!$L$50:$L$76</c:f>
              <c:numCache>
                <c:formatCode>General</c:formatCode>
                <c:ptCount val="27"/>
              </c:numCache>
            </c:numRef>
          </c:xVal>
          <c:yVal>
            <c:numRef>
              <c:f>Calculations!$M$50:$M$76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(Calculations!$L$48:$L$49,Calculations!$L$77:$L$78)</c:f>
              <c:numCache>
                <c:formatCode>General</c:formatCode>
                <c:ptCount val="4"/>
              </c:numCache>
            </c:numRef>
          </c:xVal>
          <c:yVal>
            <c:numRef>
              <c:f>(Calculations!$M$48:$M$49,Calculations!$M$77:$M$78)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5648"/>
        <c:axId val="158668288"/>
      </c:scatterChart>
      <c:valAx>
        <c:axId val="1583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668288"/>
        <c:crosses val="autoZero"/>
        <c:crossBetween val="midCat"/>
      </c:valAx>
      <c:valAx>
        <c:axId val="158668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831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599262</xdr:colOff>
      <xdr:row>40</xdr:row>
      <xdr:rowOff>123749</xdr:rowOff>
    </xdr:from>
    <xdr:to>
      <xdr:col>34</xdr:col>
      <xdr:colOff>167833</xdr:colOff>
      <xdr:row>55</xdr:row>
      <xdr:rowOff>9449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705971</xdr:colOff>
      <xdr:row>41</xdr:row>
      <xdr:rowOff>8988</xdr:rowOff>
    </xdr:from>
    <xdr:to>
      <xdr:col>20</xdr:col>
      <xdr:colOff>654100</xdr:colOff>
      <xdr:row>55</xdr:row>
      <xdr:rowOff>85188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179294</xdr:colOff>
      <xdr:row>40</xdr:row>
      <xdr:rowOff>129988</xdr:rowOff>
    </xdr:from>
    <xdr:to>
      <xdr:col>27</xdr:col>
      <xdr:colOff>392206</xdr:colOff>
      <xdr:row>55</xdr:row>
      <xdr:rowOff>15688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78"/>
  <sheetViews>
    <sheetView tabSelected="1" topLeftCell="L23" zoomScale="85" zoomScaleNormal="85" workbookViewId="0">
      <selection activeCell="AJ23" sqref="AJ23:AJ37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86</v>
      </c>
      <c r="B1" s="61"/>
      <c r="C1" s="51"/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5.0572999999999997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71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-0.31868871650319647</v>
      </c>
    </row>
    <row r="4" spans="1:29" ht="18" x14ac:dyDescent="0.35">
      <c r="A4" s="60" t="s">
        <v>67</v>
      </c>
      <c r="B4" s="61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3828813.7990000001</v>
      </c>
      <c r="O4" s="20">
        <f>VALUE(MID(C10,FIND(",",C10,1)+1,FIND(",",C10,5)-FIND(",",C10,1)-1))</f>
        <v>1536943.27</v>
      </c>
      <c r="P4" s="20">
        <f>VALUE(MID(C10,FIND(",",C10,17)+1,FIND(",",C10,27)-FIND(",",C10,17)-1))</f>
        <v>3524.0639999999999</v>
      </c>
      <c r="Q4" s="23"/>
      <c r="R4" s="22"/>
      <c r="W4" s="27"/>
      <c r="X4" s="20">
        <f ca="1">VALUE(OFFSET($P$3,MATCH($O$10,$M$4:$M$6,0),0))</f>
        <v>3532.152</v>
      </c>
      <c r="Y4" s="20">
        <f ca="1">OFFSET($P$3,MATCH($Q$10,$M$4:$M$6,0),0)</f>
        <v>3534.2530000000002</v>
      </c>
      <c r="Z4" s="2"/>
      <c r="AA4" s="26" t="s">
        <v>41</v>
      </c>
      <c r="AB4" s="26" t="s">
        <v>54</v>
      </c>
      <c r="AC4" s="28">
        <f ca="1">INTERCEPT(yB,xB)</f>
        <v>2757153.8214320485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3828778.1860000002</v>
      </c>
      <c r="O5" s="20">
        <f t="shared" ref="O5:O6" si="1">VALUE(MID(C11,FIND(",",C11,1)+1,FIND(",",C11,5)-FIND(",",C11,1)-1))</f>
        <v>1537013.2679999999</v>
      </c>
      <c r="P5" s="20">
        <f t="shared" ref="P5:P6" si="2">VALUE(MID(C11,FIND(",",C11,17)+1,FIND(",",C11,27)-FIND(",",C11,17)-1))</f>
        <v>3532.152</v>
      </c>
      <c r="Q5" s="24">
        <f>DEGREES(ATAN2(Old_Y1-Old_Y0,Old_X1-Old_X0))+IF(Old_X1-Old_X0&lt;0,360)</f>
        <v>333.03429697461672</v>
      </c>
      <c r="R5" s="22"/>
      <c r="W5" s="21"/>
      <c r="X5" s="20">
        <f ca="1">VALUE(OFFSET($V$20,MATCH($O11,$A$21:$A$44,0),0))</f>
        <v>3525.7423513306726</v>
      </c>
      <c r="Y5" s="20">
        <f ca="1">OFFSET($V$20,MATCH($Q11,$A$21:$A$44,0),0)</f>
        <v>3525.1584930914596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3828879.3829999999</v>
      </c>
      <c r="O6" s="20">
        <f t="shared" si="1"/>
        <v>1536905.7819999999</v>
      </c>
      <c r="P6" s="20">
        <f t="shared" si="2"/>
        <v>3534.2530000000002</v>
      </c>
      <c r="Q6" s="24">
        <f>DEGREES(ATAN2(Old_Y2-Old_Y0,Old_X2-Old_X0))+IF(Old_X2-Old_X0&lt;0,360)</f>
        <v>119.75240734191848</v>
      </c>
      <c r="R6" s="22"/>
      <c r="W6" s="21"/>
      <c r="X6" s="20">
        <f ca="1">VALUE(OFFSET($V$20,MATCH($O12,$A$21:$A$54,0),0))</f>
        <v>3525.73455307637</v>
      </c>
      <c r="Y6" s="20">
        <f ca="1">VALUE(OFFSET($V$20,MATCH($O12,$A$21:$A$54,0),0))</f>
        <v>3525.73455307637</v>
      </c>
      <c r="Z6" s="5"/>
      <c r="AA6" s="26" t="s">
        <v>42</v>
      </c>
      <c r="AB6" s="21" t="s">
        <v>55</v>
      </c>
      <c r="AC6" s="20">
        <f ca="1">-1/mA</f>
        <v>3.1378581926981086</v>
      </c>
    </row>
    <row r="7" spans="1:29" x14ac:dyDescent="0.25">
      <c r="A7" s="62" t="s">
        <v>18</v>
      </c>
      <c r="B7" s="62"/>
      <c r="C7" s="38">
        <v>17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-6.4096486693274528</v>
      </c>
      <c r="Y8" s="20">
        <f ca="1">Y5-Y4</f>
        <v>-9.0945069085405521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-6.4174469236299956</v>
      </c>
      <c r="Y9" s="20">
        <f ca="1">Y6-Y4</f>
        <v>-8.5184469236301084</v>
      </c>
      <c r="AA9" s="31" t="s">
        <v>49</v>
      </c>
      <c r="AB9" s="31"/>
      <c r="AC9" s="20">
        <f ca="1">AVERAGE(DfromL)</f>
        <v>3.1384684449606133</v>
      </c>
    </row>
    <row r="10" spans="1:29" s="16" customFormat="1" x14ac:dyDescent="0.25">
      <c r="A10" s="53"/>
      <c r="B10" s="48"/>
      <c r="C10" s="35" t="s">
        <v>87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333.03429697461672</v>
      </c>
      <c r="Q10" s="32">
        <v>2</v>
      </c>
      <c r="R10" s="20">
        <f ca="1">OFFSET($Q$3,MATCH($O$10,$M$4:$M$6,0),0)</f>
        <v>333.03429697461672</v>
      </c>
      <c r="W10" s="22"/>
      <c r="X10" s="22"/>
      <c r="Y10" s="22"/>
      <c r="AA10" s="31" t="s">
        <v>50</v>
      </c>
      <c r="AB10" s="31"/>
      <c r="AC10" s="20">
        <f ca="1">_xlfn.STDEV.P(DfromL)</f>
        <v>1.6595700056530445</v>
      </c>
    </row>
    <row r="11" spans="1:29" s="16" customFormat="1" x14ac:dyDescent="0.25">
      <c r="A11" s="14"/>
      <c r="B11" s="48"/>
      <c r="C11" s="35" t="s">
        <v>88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OFFSET($N$20,MATCH($O11,$A$21:$A$44,0),0)</f>
        <v>359.99944444444446</v>
      </c>
      <c r="Q11" s="32">
        <v>2</v>
      </c>
      <c r="R11" s="20">
        <f ca="1">OFFSET($N$20,MATCH($Q11,$A$21:$A$44,0),0)</f>
        <v>142.28305555555556</v>
      </c>
      <c r="W11" s="21" t="s">
        <v>37</v>
      </c>
      <c r="X11" s="20">
        <f ca="1">AVERAGE(X8:Y9)</f>
        <v>-7.6100123562820272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89</v>
      </c>
      <c r="D12" s="36"/>
      <c r="E12" s="37"/>
      <c r="F12" s="47"/>
      <c r="M12" s="55" t="s">
        <v>30</v>
      </c>
      <c r="N12" s="55"/>
      <c r="O12" s="32">
        <v>19</v>
      </c>
      <c r="P12" s="20">
        <f ca="1">OFFSET($N$20,MATCH($O12,$A$21:$A$54,0),0)</f>
        <v>1.8888888888888889E-2</v>
      </c>
      <c r="Q12" s="32">
        <v>18</v>
      </c>
      <c r="R12" s="20">
        <f ca="1">OFFSET($N$20,MATCH($Q12,$A$21:$A$44,0),0)</f>
        <v>142.23916666666668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3509.3111486798098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333.03485253017226</v>
      </c>
      <c r="Q14" s="20"/>
      <c r="R14" s="20">
        <f ca="1">R10-R11+IF(R11&gt;R10,360)</f>
        <v>190.75124141906116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333.01540808572781</v>
      </c>
      <c r="Q15" s="20"/>
      <c r="R15" s="20">
        <f ca="1">R10-R12+IF(R12&gt;R10,360)</f>
        <v>190.79513030795005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261.89915808572783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82</v>
      </c>
      <c r="H20" s="12" t="s">
        <v>76</v>
      </c>
      <c r="I20" s="12" t="s">
        <v>81</v>
      </c>
      <c r="J20" s="12" t="s">
        <v>80</v>
      </c>
      <c r="K20" s="3" t="s">
        <v>74</v>
      </c>
      <c r="L20" s="3" t="s">
        <v>75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79</v>
      </c>
      <c r="R20" s="19" t="s">
        <v>77</v>
      </c>
      <c r="S20" s="19" t="s">
        <v>78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72</v>
      </c>
      <c r="AF20" s="19" t="s">
        <v>73</v>
      </c>
      <c r="AG20" s="19"/>
      <c r="AH20" s="19"/>
      <c r="AI20" s="19"/>
    </row>
    <row r="21" spans="1:36" x14ac:dyDescent="0.25">
      <c r="A21" s="44">
        <v>1</v>
      </c>
      <c r="B21" s="48">
        <v>14.999976851851853</v>
      </c>
      <c r="C21" s="48">
        <v>3.7047800925925927</v>
      </c>
      <c r="D21" s="44">
        <v>80.634</v>
      </c>
      <c r="E21" s="44">
        <v>4.9062000000000001</v>
      </c>
      <c r="F21" s="49" t="s">
        <v>84</v>
      </c>
      <c r="G21" s="43">
        <f>C21*24</f>
        <v>88.914722222222224</v>
      </c>
      <c r="H21" s="43">
        <f>RADIANS(G21)</f>
        <v>1.551854656273947</v>
      </c>
      <c r="I21" s="43">
        <f t="shared" ref="I21:I33" si="3">B21*24</f>
        <v>359.99944444444446</v>
      </c>
      <c r="J21" s="39">
        <f>RADIANS(I21)</f>
        <v>6.2831756109059649</v>
      </c>
      <c r="K21" s="39">
        <f>D21*SIN(H21)</f>
        <v>80.61953522176222</v>
      </c>
      <c r="L21" s="15">
        <f>D21*COS(H21)</f>
        <v>1.5272513306728004</v>
      </c>
      <c r="M21" s="13"/>
      <c r="N21" s="16">
        <f t="shared" ref="N21:N33" si="4">I21+M21</f>
        <v>359.99944444444446</v>
      </c>
      <c r="O21" s="16">
        <f ca="1">$O$17</f>
        <v>261.89915808572783</v>
      </c>
      <c r="P21" s="16">
        <f ca="1">SUM(N21,O21)</f>
        <v>621.8986025301723</v>
      </c>
      <c r="Q21" s="16">
        <f ca="1">RADIANS(P21)</f>
        <v>10.854178227703045</v>
      </c>
      <c r="R21" s="16">
        <f t="shared" ref="R21:R33" ca="1" si="5">K21*SIN(Q21)</f>
        <v>-79.814970059242128</v>
      </c>
      <c r="S21" s="16">
        <f t="shared" ref="S21:S33" ca="1" si="6">K21*COS(Q21)</f>
        <v>-11.36133855737263</v>
      </c>
      <c r="T21" s="13">
        <f t="shared" ref="T21:T33" ca="1" si="7">Old_X0+R21</f>
        <v>3828733.9840299408</v>
      </c>
      <c r="U21" s="13">
        <f t="shared" ref="U21:U33" ca="1" si="8">Old_Y0+S21</f>
        <v>1536931.9086614426</v>
      </c>
      <c r="V21" s="16">
        <f t="shared" ref="V21:V33" si="9">Old_Z0+HI+L21-E21</f>
        <v>3525.7423513306726</v>
      </c>
      <c r="W21" s="16">
        <f t="shared" ref="W21:W33" ca="1" si="10">IF(ISNUMBER(T21),V21+dZ,"")</f>
        <v>3518.1323389743907</v>
      </c>
      <c r="X21" s="16" t="str">
        <f t="shared" ref="X21:X39" si="11">IF(AND(A21&gt;=CS_Start,A21&lt;=CS_End),IF(OR(LEFT(UPPER(F21))="D"),"",T21),"")</f>
        <v/>
      </c>
      <c r="Y21" s="16" t="str">
        <f>IF(ISNUMBER(X21),U21,"")</f>
        <v/>
      </c>
      <c r="Z21" s="16" t="e">
        <f t="shared" ref="Z21:Z39" si="12">IF(X21="",NA(),VALUE((-mB*X21+Y21-bA)/(mA-mB)))</f>
        <v>#N/A</v>
      </c>
      <c r="AA21" s="16" t="e">
        <f t="shared" ref="AA21:AA39" si="13">IF(ISNA(Z21),NA(),VALUE(mA*Z21+bA))</f>
        <v>#N/A</v>
      </c>
      <c r="AB21" s="16" t="str">
        <f>IF(ISNUMBER(X21),SQRT((X21-Z21)^2+(Y21-AA21)^2),"")</f>
        <v/>
      </c>
      <c r="AC21" s="16" t="str">
        <f ca="1">IF(ISNUMBER(Z21),SQRT(($Z21-OFFSET($Z$20,MATCH(CS_Start,$A$21:$A$44,0),0))^2+($AA21-OFFSET($AA$20,MATCH(CS_Start,$A$21:$A$44,0),0))^2),"")</f>
        <v/>
      </c>
      <c r="AD21" s="16" t="str">
        <f t="shared" ref="AD21:AD23" si="14">IF(ISNUMBER(X21),W21-Min_Z,"")</f>
        <v/>
      </c>
    </row>
    <row r="22" spans="1:36" x14ac:dyDescent="0.25">
      <c r="A22" s="44">
        <v>2</v>
      </c>
      <c r="B22" s="48">
        <v>5.9284606481481488</v>
      </c>
      <c r="C22" s="48">
        <v>3.7197453703703705</v>
      </c>
      <c r="D22" s="44">
        <v>74.442999999999998</v>
      </c>
      <c r="E22" s="44">
        <v>4.9062000000000001</v>
      </c>
      <c r="F22" s="49" t="s">
        <v>85</v>
      </c>
      <c r="G22" s="43">
        <f t="shared" ref="G22:G33" si="15">C22*24</f>
        <v>89.273888888888891</v>
      </c>
      <c r="H22" s="43">
        <f t="shared" ref="H22:H33" si="16">RADIANS(G22)</f>
        <v>1.5581232971706933</v>
      </c>
      <c r="I22" s="43">
        <f t="shared" si="3"/>
        <v>142.28305555555556</v>
      </c>
      <c r="J22" s="39">
        <f t="shared" ref="J22:J33" si="17">RADIANS(I22)</f>
        <v>2.4833077892424544</v>
      </c>
      <c r="K22" s="39">
        <f t="shared" ref="K22:K33" si="18">D22*SIN(H22)</f>
        <v>74.437022095694999</v>
      </c>
      <c r="L22" s="15">
        <f t="shared" ref="L22:L33" si="19">D22*COS(H22)</f>
        <v>0.94339309145992578</v>
      </c>
      <c r="M22" s="13"/>
      <c r="N22" s="16">
        <f t="shared" si="4"/>
        <v>142.28305555555556</v>
      </c>
      <c r="O22" s="16">
        <f t="shared" ref="O22:O39" ca="1" si="20">$O$17</f>
        <v>261.89915808572783</v>
      </c>
      <c r="P22" s="16">
        <f t="shared" ref="P22:P33" ca="1" si="21">SUM(N22,O22)</f>
        <v>404.1822136412834</v>
      </c>
      <c r="Q22" s="16">
        <f t="shared" ref="Q22:Q33" ca="1" si="22">RADIANS(P22)</f>
        <v>7.0543104060395345</v>
      </c>
      <c r="R22" s="16">
        <f t="shared" ca="1" si="5"/>
        <v>51.878325636539074</v>
      </c>
      <c r="S22" s="16">
        <f t="shared" ca="1" si="6"/>
        <v>53.380797929819273</v>
      </c>
      <c r="T22" s="13">
        <f t="shared" ca="1" si="7"/>
        <v>3828865.6773256366</v>
      </c>
      <c r="U22" s="13">
        <f t="shared" ca="1" si="8"/>
        <v>1536996.6507979298</v>
      </c>
      <c r="V22" s="16">
        <f t="shared" si="9"/>
        <v>3525.1584930914596</v>
      </c>
      <c r="W22" s="16">
        <f t="shared" ca="1" si="10"/>
        <v>3517.5484807351777</v>
      </c>
      <c r="X22" s="47" t="str">
        <f t="shared" si="11"/>
        <v/>
      </c>
      <c r="Y22" s="47" t="str">
        <f t="shared" ref="Y22:Y35" si="23">IF(ISNUMBER(X22),U22,"")</f>
        <v/>
      </c>
      <c r="Z22" s="47" t="e">
        <f t="shared" si="12"/>
        <v>#N/A</v>
      </c>
      <c r="AA22" s="47" t="e">
        <f t="shared" si="13"/>
        <v>#N/A</v>
      </c>
      <c r="AB22" s="16" t="str">
        <f t="shared" ref="AB22:AB23" si="24">IF(ISNUMBER(X22),SQRT((X22-Z22)^2+(Y22-AA22)^2),"")</f>
        <v/>
      </c>
      <c r="AC22" s="16" t="str">
        <f ca="1">IF(ISNUMBER(Z22),SQRT(($Z22-OFFSET($Z$20,MATCH(CS_Start,$A$21:$A$44,0),0))^2+($AA22-OFFSET($AA$20,MATCH(CS_Start,$A$21:$A$44,0),0))^2),"")</f>
        <v/>
      </c>
      <c r="AD22" s="16" t="str">
        <f t="shared" si="14"/>
        <v/>
      </c>
    </row>
    <row r="23" spans="1:36" x14ac:dyDescent="0.25">
      <c r="A23" s="44">
        <v>3</v>
      </c>
      <c r="B23" s="48">
        <v>6.7937615740740744</v>
      </c>
      <c r="C23" s="48">
        <v>3.8070486111111115</v>
      </c>
      <c r="D23" s="44">
        <v>21.007999999999999</v>
      </c>
      <c r="E23" s="44">
        <v>4.9062000000000001</v>
      </c>
      <c r="F23" s="44"/>
      <c r="G23" s="43">
        <f t="shared" si="15"/>
        <v>91.369166666666672</v>
      </c>
      <c r="H23" s="43">
        <f t="shared" si="16"/>
        <v>1.5946927931367858</v>
      </c>
      <c r="I23" s="43">
        <f t="shared" si="3"/>
        <v>163.05027777777778</v>
      </c>
      <c r="J23" s="39">
        <f t="shared" si="17"/>
        <v>2.8457641935135656</v>
      </c>
      <c r="K23" s="39">
        <f t="shared" si="18"/>
        <v>21.00200206967769</v>
      </c>
      <c r="L23" s="15">
        <f t="shared" si="19"/>
        <v>-0.50196918755428954</v>
      </c>
      <c r="M23" s="13"/>
      <c r="N23" s="16">
        <f t="shared" si="4"/>
        <v>163.05027777777778</v>
      </c>
      <c r="O23" s="16">
        <f t="shared" ca="1" si="20"/>
        <v>261.89915808572783</v>
      </c>
      <c r="P23" s="16">
        <f t="shared" ca="1" si="21"/>
        <v>424.94943586350564</v>
      </c>
      <c r="Q23" s="16">
        <f t="shared" ca="1" si="22"/>
        <v>7.4167668103106461</v>
      </c>
      <c r="R23" s="16">
        <f t="shared" ca="1" si="5"/>
        <v>19.026437593647639</v>
      </c>
      <c r="S23" s="16">
        <f t="shared" ca="1" si="6"/>
        <v>8.8926241025794948</v>
      </c>
      <c r="T23" s="13">
        <f t="shared" ca="1" si="7"/>
        <v>3828832.8254375937</v>
      </c>
      <c r="U23" s="13">
        <f t="shared" ca="1" si="8"/>
        <v>1536952.1626241026</v>
      </c>
      <c r="V23" s="16">
        <f t="shared" si="9"/>
        <v>3523.7131308124458</v>
      </c>
      <c r="W23" s="16">
        <f t="shared" ca="1" si="10"/>
        <v>3516.1031184561639</v>
      </c>
      <c r="X23" s="47">
        <f t="shared" ca="1" si="11"/>
        <v>3828832.8254375937</v>
      </c>
      <c r="Y23" s="47">
        <f t="shared" ca="1" si="23"/>
        <v>1536952.1626241026</v>
      </c>
      <c r="Z23" s="47">
        <f t="shared" ca="1" si="12"/>
        <v>3828831.6219139104</v>
      </c>
      <c r="AA23" s="47">
        <f t="shared" ca="1" si="13"/>
        <v>1536948.3861374524</v>
      </c>
      <c r="AB23" s="16">
        <f t="shared" ca="1" si="24"/>
        <v>3.963624688951545</v>
      </c>
      <c r="AC23" s="16">
        <f ca="1">IF(ISNUMBER(Z23),SQRT(($Z23-OFFSET($Z$20,MATCH(CS_Start,$A$21:$A$44,0),0))^2+($AA23-OFFSET($AA$20,MATCH(CS_Start,$A$21:$A$44,0),0))^2),"")</f>
        <v>0</v>
      </c>
      <c r="AD23" s="16">
        <f t="shared" ca="1" si="14"/>
        <v>6.791969776354108</v>
      </c>
      <c r="AE23" s="47">
        <f ca="1">ROUND(AC23,2)</f>
        <v>0</v>
      </c>
      <c r="AF23" s="47">
        <f ca="1">ROUND(AD23,2)</f>
        <v>6.79</v>
      </c>
      <c r="AH23" s="44">
        <v>0</v>
      </c>
      <c r="AI23" s="2">
        <f ca="1">OFFSET($AF$22,MATCH(AH23,$AE$23:$AE$52,0),0)</f>
        <v>6.79</v>
      </c>
      <c r="AJ23" s="2" t="str">
        <f t="shared" ref="AJ23:AJ31" ca="1" si="25">CONCATENATE(AH23,",",AI23)</f>
        <v>0,6.79</v>
      </c>
    </row>
    <row r="24" spans="1:36" x14ac:dyDescent="0.25">
      <c r="A24" s="44">
        <v>4</v>
      </c>
      <c r="B24" s="48">
        <v>7.1789467592592588</v>
      </c>
      <c r="C24" s="48">
        <v>4.0572453703703699</v>
      </c>
      <c r="D24" s="44">
        <v>23.431999999999999</v>
      </c>
      <c r="E24" s="44">
        <v>4.9062000000000001</v>
      </c>
      <c r="F24" s="44"/>
      <c r="G24" s="43">
        <f t="shared" si="15"/>
        <v>97.373888888888871</v>
      </c>
      <c r="H24" s="43">
        <f t="shared" si="16"/>
        <v>1.6994949665822336</v>
      </c>
      <c r="I24" s="43">
        <f t="shared" si="3"/>
        <v>172.29472222222222</v>
      </c>
      <c r="J24" s="39">
        <f t="shared" si="17"/>
        <v>3.0071101865868188</v>
      </c>
      <c r="K24" s="39">
        <f t="shared" si="18"/>
        <v>23.238211613504088</v>
      </c>
      <c r="L24" s="15">
        <f t="shared" si="19"/>
        <v>-3.0073485009229577</v>
      </c>
      <c r="M24" s="13"/>
      <c r="N24" s="16">
        <f t="shared" si="4"/>
        <v>172.29472222222222</v>
      </c>
      <c r="O24" s="16">
        <f t="shared" ca="1" si="20"/>
        <v>261.89915808572783</v>
      </c>
      <c r="P24" s="16">
        <f t="shared" ca="1" si="21"/>
        <v>434.19388030795005</v>
      </c>
      <c r="Q24" s="16">
        <f t="shared" ca="1" si="22"/>
        <v>7.5781128033838989</v>
      </c>
      <c r="R24" s="16">
        <f t="shared" ca="1" si="5"/>
        <v>22.359549412606288</v>
      </c>
      <c r="S24" s="16">
        <f t="shared" ca="1" si="6"/>
        <v>6.3296942310994817</v>
      </c>
      <c r="T24" s="13">
        <f t="shared" ca="1" si="7"/>
        <v>3828836.1585494126</v>
      </c>
      <c r="U24" s="13">
        <f t="shared" ca="1" si="8"/>
        <v>1536949.5996942311</v>
      </c>
      <c r="V24" s="16">
        <f t="shared" si="9"/>
        <v>3521.2077514990769</v>
      </c>
      <c r="W24" s="16">
        <f t="shared" ca="1" si="10"/>
        <v>3513.597739142795</v>
      </c>
      <c r="X24" s="47">
        <f t="shared" ca="1" si="11"/>
        <v>3828836.1585494126</v>
      </c>
      <c r="Y24" s="47">
        <f t="shared" ca="1" si="23"/>
        <v>1536949.5996942311</v>
      </c>
      <c r="Z24" s="47">
        <f t="shared" ca="1" si="12"/>
        <v>3828835.3891887199</v>
      </c>
      <c r="AA24" s="47">
        <f t="shared" ca="1" si="13"/>
        <v>1536947.1855494785</v>
      </c>
      <c r="AB24" s="47">
        <f t="shared" ref="AB24:AB33" ca="1" si="26">IF(ISNUMBER(X24),SQRT((X24-Z24)^2+(Y24-AA24)^2),"")</f>
        <v>2.5337740155214927</v>
      </c>
      <c r="AC24" s="47">
        <f ca="1">IF(ISNUMBER(Z24),SQRT(($Z24-OFFSET($Z$20,MATCH(CS_Start,$A$21:$A$44,0),0))^2+($AA24-OFFSET($AA$20,MATCH(CS_Start,$A$21:$A$44,0),0))^2),"")</f>
        <v>3.9539563697272433</v>
      </c>
      <c r="AD24" s="47">
        <f t="shared" ref="AD24:AD33" ca="1" si="27">IF(ISNUMBER(X24),W24-Min_Z,"")</f>
        <v>4.2865904629852594</v>
      </c>
      <c r="AE24" s="47">
        <f t="shared" ref="AE24:AE39" ca="1" si="28">ROUND(AC24,2)</f>
        <v>3.95</v>
      </c>
      <c r="AF24" s="47">
        <f t="shared" ref="AF24:AF39" ca="1" si="29">ROUND(AD24,2)</f>
        <v>4.29</v>
      </c>
      <c r="AH24" s="44">
        <v>3.95</v>
      </c>
      <c r="AI24" s="44">
        <f ca="1">OFFSET($AF$22,MATCH(AH24,$AE$23:$AE$52,0),0)</f>
        <v>4.29</v>
      </c>
      <c r="AJ24" s="2" t="str">
        <f t="shared" ca="1" si="25"/>
        <v>3.95,4.29</v>
      </c>
    </row>
    <row r="25" spans="1:36" x14ac:dyDescent="0.25">
      <c r="A25" s="44">
        <v>5</v>
      </c>
      <c r="B25" s="48">
        <v>7.3898958333333331</v>
      </c>
      <c r="C25" s="48">
        <v>4.1249421296296296</v>
      </c>
      <c r="D25" s="44">
        <v>26.074999999999999</v>
      </c>
      <c r="E25" s="44">
        <v>4.9062000000000001</v>
      </c>
      <c r="F25" s="44"/>
      <c r="G25" s="43">
        <f t="shared" si="15"/>
        <v>98.998611111111103</v>
      </c>
      <c r="H25" s="43">
        <f t="shared" si="16"/>
        <v>1.7278517187903306</v>
      </c>
      <c r="I25" s="43">
        <f t="shared" si="3"/>
        <v>177.35749999999999</v>
      </c>
      <c r="J25" s="39">
        <f t="shared" si="17"/>
        <v>3.0954723281058429</v>
      </c>
      <c r="K25" s="39">
        <f t="shared" si="18"/>
        <v>25.754072351896937</v>
      </c>
      <c r="L25" s="15">
        <f t="shared" si="19"/>
        <v>-4.0784043807913086</v>
      </c>
      <c r="M25" s="13"/>
      <c r="N25" s="16">
        <f t="shared" si="4"/>
        <v>177.35749999999999</v>
      </c>
      <c r="O25" s="16">
        <f t="shared" ca="1" si="20"/>
        <v>261.89915808572783</v>
      </c>
      <c r="P25" s="16">
        <f t="shared" ca="1" si="21"/>
        <v>439.25665808572785</v>
      </c>
      <c r="Q25" s="16">
        <f t="shared" ca="1" si="22"/>
        <v>7.6664749449029239</v>
      </c>
      <c r="R25" s="16">
        <f t="shared" ca="1" si="5"/>
        <v>25.302656677000364</v>
      </c>
      <c r="S25" s="16">
        <f t="shared" ca="1" si="6"/>
        <v>4.8008132428361661</v>
      </c>
      <c r="T25" s="13">
        <f t="shared" ca="1" si="7"/>
        <v>3828839.1016566772</v>
      </c>
      <c r="U25" s="13">
        <f t="shared" ca="1" si="8"/>
        <v>1536948.0708132428</v>
      </c>
      <c r="V25" s="16">
        <f t="shared" si="9"/>
        <v>3520.1366956192087</v>
      </c>
      <c r="W25" s="16">
        <f t="shared" ca="1" si="10"/>
        <v>3512.5266832629268</v>
      </c>
      <c r="X25" s="47">
        <f t="shared" ca="1" si="11"/>
        <v>3828839.1016566772</v>
      </c>
      <c r="Y25" s="47">
        <f t="shared" ca="1" si="23"/>
        <v>1536948.0708132428</v>
      </c>
      <c r="Z25" s="47">
        <f t="shared" ca="1" si="12"/>
        <v>3828838.5032602232</v>
      </c>
      <c r="AA25" s="47">
        <f t="shared" ca="1" si="13"/>
        <v>1536946.1931300282</v>
      </c>
      <c r="AB25" s="47">
        <f t="shared" ca="1" si="26"/>
        <v>1.9707289439690276</v>
      </c>
      <c r="AC25" s="47">
        <f ca="1">IF(ISNUMBER(Z25),SQRT(($Z25-OFFSET($Z$20,MATCH(CS_Start,$A$21:$A$44,0),0))^2+($AA25-OFFSET($AA$20,MATCH(CS_Start,$A$21:$A$44,0),0))^2),"")</f>
        <v>7.2223409390376005</v>
      </c>
      <c r="AD25" s="47">
        <f t="shared" ca="1" si="27"/>
        <v>3.2155345831170052</v>
      </c>
      <c r="AE25" s="47">
        <f t="shared" ca="1" si="28"/>
        <v>7.22</v>
      </c>
      <c r="AF25" s="47">
        <f t="shared" ca="1" si="29"/>
        <v>3.22</v>
      </c>
      <c r="AH25" s="44">
        <v>7.22</v>
      </c>
      <c r="AI25" s="44">
        <f ca="1">OFFSET($AF$22,MATCH(AH25,$AE$23:$AE$52,0),0)</f>
        <v>3.22</v>
      </c>
      <c r="AJ25" s="2" t="str">
        <f t="shared" ca="1" si="25"/>
        <v>7.22,3.22</v>
      </c>
    </row>
    <row r="26" spans="1:36" x14ac:dyDescent="0.25">
      <c r="A26" s="44">
        <v>6</v>
      </c>
      <c r="B26" s="48">
        <v>7.6119907407407403</v>
      </c>
      <c r="C26" s="48">
        <v>4.1555787037037035</v>
      </c>
      <c r="D26" s="44">
        <v>30.218</v>
      </c>
      <c r="E26" s="44">
        <v>4.9062000000000001</v>
      </c>
      <c r="F26" s="44"/>
      <c r="G26" s="43">
        <f t="shared" si="15"/>
        <v>99.733888888888885</v>
      </c>
      <c r="H26" s="43">
        <f t="shared" si="16"/>
        <v>1.7406847369293001</v>
      </c>
      <c r="I26" s="43">
        <f t="shared" si="3"/>
        <v>182.68777777777777</v>
      </c>
      <c r="J26" s="39">
        <f t="shared" si="17"/>
        <v>3.1885032253739518</v>
      </c>
      <c r="K26" s="39">
        <f t="shared" si="18"/>
        <v>29.782970787739828</v>
      </c>
      <c r="L26" s="15">
        <f t="shared" si="19"/>
        <v>-5.1090287782156896</v>
      </c>
      <c r="M26" s="13"/>
      <c r="N26" s="16">
        <f t="shared" si="4"/>
        <v>182.68777777777777</v>
      </c>
      <c r="O26" s="16">
        <f t="shared" ca="1" si="20"/>
        <v>261.89915808572783</v>
      </c>
      <c r="P26" s="16">
        <f t="shared" ca="1" si="21"/>
        <v>444.58693586350557</v>
      </c>
      <c r="Q26" s="16">
        <f t="shared" ca="1" si="22"/>
        <v>7.7595058421710315</v>
      </c>
      <c r="R26" s="16">
        <f t="shared" ca="1" si="5"/>
        <v>29.650153060082118</v>
      </c>
      <c r="S26" s="16">
        <f t="shared" ca="1" si="6"/>
        <v>2.8095858159285512</v>
      </c>
      <c r="T26" s="13">
        <f t="shared" ca="1" si="7"/>
        <v>3828843.4491530601</v>
      </c>
      <c r="U26" s="13">
        <f t="shared" ca="1" si="8"/>
        <v>1536946.079585816</v>
      </c>
      <c r="V26" s="16">
        <f t="shared" si="9"/>
        <v>3519.1060712217841</v>
      </c>
      <c r="W26" s="16">
        <f t="shared" ca="1" si="10"/>
        <v>3511.4960588655022</v>
      </c>
      <c r="X26" s="47">
        <f t="shared" ca="1" si="11"/>
        <v>3828843.4491530601</v>
      </c>
      <c r="Y26" s="47">
        <f t="shared" ca="1" si="23"/>
        <v>1536946.079585816</v>
      </c>
      <c r="Z26" s="47">
        <f t="shared" ca="1" si="12"/>
        <v>3828843.0259977933</v>
      </c>
      <c r="AA26" s="47">
        <f t="shared" ca="1" si="13"/>
        <v>1536944.7517845968</v>
      </c>
      <c r="AB26" s="47">
        <f t="shared" ca="1" si="26"/>
        <v>1.3935983845748876</v>
      </c>
      <c r="AC26" s="47">
        <f ca="1">IF(ISNUMBER(Z26),SQRT(($Z26-OFFSET($Z$20,MATCH(CS_Start,$A$21:$A$44,0),0))^2+($AA26-OFFSET($AA$20,MATCH(CS_Start,$A$21:$A$44,0),0))^2),"")</f>
        <v>11.969195874740439</v>
      </c>
      <c r="AD26" s="47">
        <f t="shared" ca="1" si="27"/>
        <v>2.184910185692388</v>
      </c>
      <c r="AE26" s="47">
        <f t="shared" ca="1" si="28"/>
        <v>11.97</v>
      </c>
      <c r="AF26" s="47">
        <f t="shared" ca="1" si="29"/>
        <v>2.1800000000000002</v>
      </c>
      <c r="AH26" s="44">
        <v>11.97</v>
      </c>
      <c r="AI26" s="44">
        <f ca="1">OFFSET($AF$22,MATCH(AH26,$AE$23:$AE$52,0),0)</f>
        <v>2.1800000000000002</v>
      </c>
      <c r="AJ26" s="2" t="str">
        <f t="shared" ca="1" si="25"/>
        <v>11.97,2.18</v>
      </c>
    </row>
    <row r="27" spans="1:36" x14ac:dyDescent="0.25">
      <c r="A27" s="44">
        <v>7</v>
      </c>
      <c r="B27" s="48">
        <v>7.8969907407407405</v>
      </c>
      <c r="C27" s="48">
        <v>3.9377893518518516</v>
      </c>
      <c r="D27" s="44">
        <v>33.734000000000002</v>
      </c>
      <c r="E27" s="44">
        <v>8.7395999999999994</v>
      </c>
      <c r="F27" s="44"/>
      <c r="G27" s="43">
        <f t="shared" si="15"/>
        <v>94.506944444444443</v>
      </c>
      <c r="H27" s="43">
        <f t="shared" si="16"/>
        <v>1.6494573465549187</v>
      </c>
      <c r="I27" s="43">
        <f t="shared" si="3"/>
        <v>189.52777777777777</v>
      </c>
      <c r="J27" s="39">
        <f t="shared" si="17"/>
        <v>3.3078837462103641</v>
      </c>
      <c r="K27" s="39">
        <f t="shared" si="18"/>
        <v>33.629688295301406</v>
      </c>
      <c r="L27" s="15">
        <f t="shared" si="19"/>
        <v>-2.6508151879879849</v>
      </c>
      <c r="M27" s="13"/>
      <c r="N27" s="16">
        <f t="shared" si="4"/>
        <v>189.52777777777777</v>
      </c>
      <c r="O27" s="16">
        <f t="shared" ca="1" si="20"/>
        <v>261.89915808572783</v>
      </c>
      <c r="P27" s="16">
        <f t="shared" ca="1" si="21"/>
        <v>451.42693586350561</v>
      </c>
      <c r="Q27" s="16">
        <f t="shared" ca="1" si="22"/>
        <v>7.8788863630074442</v>
      </c>
      <c r="R27" s="16">
        <f t="shared" ca="1" si="5"/>
        <v>33.61925950246242</v>
      </c>
      <c r="S27" s="16">
        <f t="shared" ca="1" si="6"/>
        <v>-0.83745169724751822</v>
      </c>
      <c r="T27" s="13">
        <f t="shared" ca="1" si="7"/>
        <v>3828847.4182595024</v>
      </c>
      <c r="U27" s="13">
        <f t="shared" ca="1" si="8"/>
        <v>1536942.4325483027</v>
      </c>
      <c r="V27" s="16">
        <f t="shared" si="9"/>
        <v>3517.7308848120119</v>
      </c>
      <c r="W27" s="16">
        <f t="shared" ca="1" si="10"/>
        <v>3510.12087245573</v>
      </c>
      <c r="X27" s="47">
        <f t="shared" ca="1" si="11"/>
        <v>3828847.4182595024</v>
      </c>
      <c r="Y27" s="47">
        <f t="shared" ca="1" si="23"/>
        <v>1536942.4325483027</v>
      </c>
      <c r="Z27" s="47">
        <f t="shared" ca="1" si="12"/>
        <v>3828847.6842683461</v>
      </c>
      <c r="AA27" s="47">
        <f t="shared" ca="1" si="13"/>
        <v>1536943.2672463332</v>
      </c>
      <c r="AB27" s="47">
        <f t="shared" ca="1" si="26"/>
        <v>0.87606021883041352</v>
      </c>
      <c r="AC27" s="47">
        <f ca="1">IF(ISNUMBER(Z27),SQRT(($Z27-OFFSET($Z$20,MATCH(CS_Start,$A$21:$A$44,0),0))^2+($AA27-OFFSET($AA$20,MATCH(CS_Start,$A$21:$A$44,0),0))^2),"")</f>
        <v>16.858299923426038</v>
      </c>
      <c r="AD27" s="47">
        <f t="shared" ca="1" si="27"/>
        <v>0.80972377592024714</v>
      </c>
      <c r="AE27" s="47">
        <f t="shared" ca="1" si="28"/>
        <v>16.86</v>
      </c>
      <c r="AF27" s="47">
        <f t="shared" ca="1" si="29"/>
        <v>0.81</v>
      </c>
      <c r="AH27" s="44">
        <v>16.86</v>
      </c>
      <c r="AI27" s="44">
        <f ca="1">OFFSET($AF$22,MATCH(AH27,$AE$23:$AE$52,0),0)</f>
        <v>0.81</v>
      </c>
      <c r="AJ27" s="2" t="str">
        <f t="shared" ca="1" si="25"/>
        <v>16.86,0.81</v>
      </c>
    </row>
    <row r="28" spans="1:36" x14ac:dyDescent="0.25">
      <c r="A28" s="44">
        <v>8</v>
      </c>
      <c r="B28" s="48">
        <v>8.0520486111111111</v>
      </c>
      <c r="C28" s="48">
        <v>3.8690856481481481</v>
      </c>
      <c r="D28" s="44">
        <v>42.841000000000001</v>
      </c>
      <c r="E28" s="44">
        <v>8.7395999999999994</v>
      </c>
      <c r="F28" s="44"/>
      <c r="G28" s="43">
        <f t="shared" si="15"/>
        <v>92.858055555555552</v>
      </c>
      <c r="H28" s="43">
        <f t="shared" si="16"/>
        <v>1.6206788064442568</v>
      </c>
      <c r="I28" s="43">
        <f t="shared" si="3"/>
        <v>193.24916666666667</v>
      </c>
      <c r="J28" s="39">
        <f t="shared" si="17"/>
        <v>3.3728342350686087</v>
      </c>
      <c r="K28" s="39">
        <f t="shared" si="18"/>
        <v>42.787711239701501</v>
      </c>
      <c r="L28" s="15">
        <f t="shared" si="19"/>
        <v>-2.136129178659814</v>
      </c>
      <c r="M28" s="13"/>
      <c r="N28" s="16">
        <f t="shared" si="4"/>
        <v>193.24916666666667</v>
      </c>
      <c r="O28" s="16">
        <f t="shared" ca="1" si="20"/>
        <v>261.89915808572783</v>
      </c>
      <c r="P28" s="16">
        <f t="shared" ca="1" si="21"/>
        <v>455.1483247523945</v>
      </c>
      <c r="Q28" s="16">
        <f t="shared" ca="1" si="22"/>
        <v>7.9438368518656892</v>
      </c>
      <c r="R28" s="16">
        <f t="shared" ca="1" si="5"/>
        <v>42.615094290047587</v>
      </c>
      <c r="S28" s="16">
        <f t="shared" ca="1" si="6"/>
        <v>-3.8395275467734113</v>
      </c>
      <c r="T28" s="13">
        <f t="shared" ca="1" si="7"/>
        <v>3828856.4140942902</v>
      </c>
      <c r="U28" s="13">
        <f t="shared" ca="1" si="8"/>
        <v>1536939.4304724534</v>
      </c>
      <c r="V28" s="16">
        <f t="shared" si="9"/>
        <v>3518.2455708213402</v>
      </c>
      <c r="W28" s="16">
        <f t="shared" ca="1" si="10"/>
        <v>3510.6355584650582</v>
      </c>
      <c r="X28" s="47">
        <f t="shared" ca="1" si="11"/>
        <v>3828856.4140942902</v>
      </c>
      <c r="Y28" s="47">
        <f t="shared" ca="1" si="23"/>
        <v>1536939.4304724534</v>
      </c>
      <c r="Z28" s="47">
        <f t="shared" ca="1" si="12"/>
        <v>3828856.7192187048</v>
      </c>
      <c r="AA28" s="47">
        <f t="shared" ca="1" si="13"/>
        <v>1536940.3879095998</v>
      </c>
      <c r="AB28" s="47">
        <f t="shared" ca="1" si="26"/>
        <v>1.0048814844590435</v>
      </c>
      <c r="AC28" s="47">
        <f ca="1">IF(ISNUMBER(Z28),SQRT(($Z28-OFFSET($Z$20,MATCH(CS_Start,$A$21:$A$44,0),0))^2+($AA28-OFFSET($AA$20,MATCH(CS_Start,$A$21:$A$44,0),0))^2),"")</f>
        <v>26.340963473821361</v>
      </c>
      <c r="AD28" s="47">
        <f t="shared" ca="1" si="27"/>
        <v>1.3244097852484629</v>
      </c>
      <c r="AE28" s="47">
        <f t="shared" ca="1" si="28"/>
        <v>26.34</v>
      </c>
      <c r="AF28" s="47">
        <f t="shared" ca="1" si="29"/>
        <v>1.32</v>
      </c>
      <c r="AH28" s="44">
        <v>26.34</v>
      </c>
      <c r="AI28" s="44">
        <f ca="1">OFFSET($AF$22,MATCH(AH28,$AE$23:$AE$52,0),0)</f>
        <v>1.32</v>
      </c>
      <c r="AJ28" s="2" t="str">
        <f t="shared" ca="1" si="25"/>
        <v>26.34,1.32</v>
      </c>
    </row>
    <row r="29" spans="1:36" x14ac:dyDescent="0.25">
      <c r="A29" s="44">
        <v>9</v>
      </c>
      <c r="B29" s="48">
        <v>8.1751736111111111</v>
      </c>
      <c r="C29" s="48">
        <v>3.8689120370370369</v>
      </c>
      <c r="D29" s="44">
        <v>48.033999999999999</v>
      </c>
      <c r="E29" s="44">
        <v>8.7395999999999994</v>
      </c>
      <c r="F29" s="44"/>
      <c r="G29" s="43">
        <f t="shared" si="15"/>
        <v>92.853888888888889</v>
      </c>
      <c r="H29" s="43">
        <f t="shared" si="16"/>
        <v>1.6206060843920904</v>
      </c>
      <c r="I29" s="43">
        <f t="shared" si="3"/>
        <v>196.20416666666665</v>
      </c>
      <c r="J29" s="39">
        <f t="shared" si="17"/>
        <v>3.4244087144650406</v>
      </c>
      <c r="K29" s="39">
        <f t="shared" si="18"/>
        <v>47.974425854493425</v>
      </c>
      <c r="L29" s="15">
        <f t="shared" si="19"/>
        <v>-2.3915726900331133</v>
      </c>
      <c r="M29" s="13"/>
      <c r="N29" s="16">
        <f t="shared" si="4"/>
        <v>196.20416666666665</v>
      </c>
      <c r="O29" s="16">
        <f t="shared" ca="1" si="20"/>
        <v>261.89915808572783</v>
      </c>
      <c r="P29" s="16">
        <f t="shared" ca="1" si="21"/>
        <v>458.10332475239449</v>
      </c>
      <c r="Q29" s="16">
        <f t="shared" ca="1" si="22"/>
        <v>7.9954113312621207</v>
      </c>
      <c r="R29" s="16">
        <f t="shared" ca="1" si="5"/>
        <v>47.495424232889143</v>
      </c>
      <c r="S29" s="16">
        <f t="shared" ca="1" si="6"/>
        <v>-6.7624117743726604</v>
      </c>
      <c r="T29" s="13">
        <f t="shared" ca="1" si="7"/>
        <v>3828861.294424233</v>
      </c>
      <c r="U29" s="13">
        <f t="shared" ca="1" si="8"/>
        <v>1536936.5075882256</v>
      </c>
      <c r="V29" s="16">
        <f t="shared" si="9"/>
        <v>3517.9901273099667</v>
      </c>
      <c r="W29" s="16">
        <f t="shared" ca="1" si="10"/>
        <v>3510.3801149536848</v>
      </c>
      <c r="X29" s="47">
        <f t="shared" ca="1" si="11"/>
        <v>3828861.294424233</v>
      </c>
      <c r="Y29" s="47">
        <f t="shared" ca="1" si="23"/>
        <v>1536936.5075882256</v>
      </c>
      <c r="Z29" s="47">
        <f t="shared" ca="1" si="12"/>
        <v>3828861.9951973045</v>
      </c>
      <c r="AA29" s="47">
        <f t="shared" ca="1" si="13"/>
        <v>1536938.7065147515</v>
      </c>
      <c r="AB29" s="47">
        <f t="shared" ca="1" si="26"/>
        <v>2.3078909774931748</v>
      </c>
      <c r="AC29" s="47">
        <f ca="1">IF(ISNUMBER(Z29),SQRT(($Z29-OFFSET($Z$20,MATCH(CS_Start,$A$21:$A$44,0),0))^2+($AA29-OFFSET($AA$20,MATCH(CS_Start,$A$21:$A$44,0),0))^2),"")</f>
        <v>31.878385150019692</v>
      </c>
      <c r="AD29" s="47">
        <f t="shared" ca="1" si="27"/>
        <v>1.0689662738750485</v>
      </c>
      <c r="AE29" s="47">
        <f t="shared" ca="1" si="28"/>
        <v>31.88</v>
      </c>
      <c r="AF29" s="47">
        <f t="shared" ca="1" si="29"/>
        <v>1.07</v>
      </c>
      <c r="AH29" s="44">
        <v>31.88</v>
      </c>
      <c r="AI29" s="44">
        <f ca="1">OFFSET($AF$22,MATCH(AH29,$AE$23:$AE$52,0),0)</f>
        <v>1.07</v>
      </c>
      <c r="AJ29" s="2" t="str">
        <f t="shared" ca="1" si="25"/>
        <v>31.88,1.07</v>
      </c>
    </row>
    <row r="30" spans="1:36" x14ac:dyDescent="0.25">
      <c r="A30" s="44">
        <v>10</v>
      </c>
      <c r="B30" s="48">
        <v>8.1797106481481485</v>
      </c>
      <c r="C30" s="48">
        <v>3.8986342592592593</v>
      </c>
      <c r="D30" s="44">
        <v>49.654000000000003</v>
      </c>
      <c r="E30" s="44">
        <v>8.7395999999999994</v>
      </c>
      <c r="F30" s="49" t="s">
        <v>83</v>
      </c>
      <c r="G30" s="43">
        <f t="shared" si="15"/>
        <v>93.567222222222227</v>
      </c>
      <c r="H30" s="43">
        <f t="shared" si="16"/>
        <v>1.6330560997229833</v>
      </c>
      <c r="I30" s="43">
        <f t="shared" si="3"/>
        <v>196.31305555555556</v>
      </c>
      <c r="J30" s="39">
        <f t="shared" si="17"/>
        <v>3.4263091840949906</v>
      </c>
      <c r="K30" s="39">
        <f t="shared" si="18"/>
        <v>49.55779469577346</v>
      </c>
      <c r="L30" s="15">
        <f t="shared" si="19"/>
        <v>-3.0894499334944077</v>
      </c>
      <c r="M30" s="13"/>
      <c r="N30" s="16">
        <f t="shared" si="4"/>
        <v>196.31305555555556</v>
      </c>
      <c r="O30" s="16">
        <f t="shared" ca="1" si="20"/>
        <v>261.89915808572783</v>
      </c>
      <c r="P30" s="16">
        <f t="shared" ca="1" si="21"/>
        <v>458.21221364128337</v>
      </c>
      <c r="Q30" s="16">
        <f t="shared" ca="1" si="22"/>
        <v>7.9973118008920707</v>
      </c>
      <c r="R30" s="16">
        <f t="shared" ca="1" si="5"/>
        <v>49.049619378391149</v>
      </c>
      <c r="S30" s="16">
        <f t="shared" ca="1" si="6"/>
        <v>-7.0788313967340217</v>
      </c>
      <c r="T30" s="13">
        <f t="shared" ca="1" si="7"/>
        <v>3828862.8486193786</v>
      </c>
      <c r="U30" s="13">
        <f t="shared" ca="1" si="8"/>
        <v>1536936.1911686033</v>
      </c>
      <c r="V30" s="16">
        <f t="shared" si="9"/>
        <v>3517.2922500665054</v>
      </c>
      <c r="W30" s="16">
        <f t="shared" ca="1" si="10"/>
        <v>3509.6822377102235</v>
      </c>
      <c r="X30" s="47">
        <f t="shared" ca="1" si="11"/>
        <v>3828862.8486193786</v>
      </c>
      <c r="Y30" s="47">
        <f t="shared" ca="1" si="23"/>
        <v>1536936.1911686033</v>
      </c>
      <c r="Z30" s="47">
        <f t="shared" ca="1" si="12"/>
        <v>3828863.497639983</v>
      </c>
      <c r="AA30" s="47">
        <f t="shared" ca="1" si="13"/>
        <v>1536938.2277032228</v>
      </c>
      <c r="AB30" s="47">
        <f t="shared" ca="1" si="26"/>
        <v>2.1374519880760738</v>
      </c>
      <c r="AC30" s="47">
        <f ca="1">IF(ISNUMBER(Z30),SQRT(($Z30-OFFSET($Z$20,MATCH(CS_Start,$A$21:$A$44,0),0))^2+($AA30-OFFSET($AA$20,MATCH(CS_Start,$A$21:$A$44,0),0))^2),"")</f>
        <v>33.455279084965092</v>
      </c>
      <c r="AD30" s="47">
        <f t="shared" ca="1" si="27"/>
        <v>0.37108903041371377</v>
      </c>
      <c r="AE30" s="47">
        <f t="shared" ca="1" si="28"/>
        <v>33.46</v>
      </c>
      <c r="AF30" s="47">
        <f t="shared" ca="1" si="29"/>
        <v>0.37</v>
      </c>
      <c r="AH30" s="44">
        <v>33.46</v>
      </c>
      <c r="AI30" s="44">
        <f ca="1">OFFSET($AF$22,MATCH(AH30,$AE$23:$AE$52,0),0)</f>
        <v>0.37</v>
      </c>
      <c r="AJ30" s="2" t="str">
        <f t="shared" ca="1" si="25"/>
        <v>33.46,0.37</v>
      </c>
    </row>
    <row r="31" spans="1:36" x14ac:dyDescent="0.25">
      <c r="A31" s="44">
        <v>11</v>
      </c>
      <c r="B31" s="48">
        <v>8.2250231481481482</v>
      </c>
      <c r="C31" s="48">
        <v>3.9028703703703704</v>
      </c>
      <c r="D31" s="44">
        <v>54.079000000000001</v>
      </c>
      <c r="E31" s="44">
        <v>8.7395999999999994</v>
      </c>
      <c r="F31" s="44"/>
      <c r="G31" s="43">
        <f t="shared" si="15"/>
        <v>93.668888888888887</v>
      </c>
      <c r="H31" s="43">
        <f t="shared" si="16"/>
        <v>1.634830517795844</v>
      </c>
      <c r="I31" s="43">
        <f t="shared" si="3"/>
        <v>197.40055555555557</v>
      </c>
      <c r="J31" s="39">
        <f t="shared" si="17"/>
        <v>3.4452896397104289</v>
      </c>
      <c r="K31" s="39">
        <f t="shared" si="18"/>
        <v>53.968165719053964</v>
      </c>
      <c r="L31" s="15">
        <f t="shared" si="19"/>
        <v>-3.4605389639084416</v>
      </c>
      <c r="M31" s="13"/>
      <c r="N31" s="16">
        <f t="shared" si="4"/>
        <v>197.40055555555557</v>
      </c>
      <c r="O31" s="16">
        <f t="shared" ca="1" si="20"/>
        <v>261.89915808572783</v>
      </c>
      <c r="P31" s="16">
        <f t="shared" ca="1" si="21"/>
        <v>459.2997136412834</v>
      </c>
      <c r="Q31" s="16">
        <f t="shared" ca="1" si="22"/>
        <v>8.0162922565075085</v>
      </c>
      <c r="R31" s="16">
        <f t="shared" ca="1" si="5"/>
        <v>53.258836432188382</v>
      </c>
      <c r="S31" s="16">
        <f t="shared" ca="1" si="6"/>
        <v>-8.7211956157785284</v>
      </c>
      <c r="T31" s="13">
        <f t="shared" ca="1" si="7"/>
        <v>3828867.0578364325</v>
      </c>
      <c r="U31" s="13">
        <f t="shared" ca="1" si="8"/>
        <v>1536934.5488043842</v>
      </c>
      <c r="V31" s="16">
        <f t="shared" si="9"/>
        <v>3516.9211610360917</v>
      </c>
      <c r="W31" s="16">
        <f t="shared" ca="1" si="10"/>
        <v>3509.3111486798098</v>
      </c>
      <c r="X31" s="47">
        <f t="shared" ca="1" si="11"/>
        <v>3828867.0578364325</v>
      </c>
      <c r="Y31" s="47">
        <f t="shared" ca="1" si="23"/>
        <v>1536934.5488043842</v>
      </c>
      <c r="Z31" s="47">
        <f t="shared" ca="1" si="12"/>
        <v>3828867.7939191386</v>
      </c>
      <c r="AA31" s="47">
        <f t="shared" ca="1" si="13"/>
        <v>1536936.8585275328</v>
      </c>
      <c r="AB31" s="47">
        <f t="shared" ca="1" si="26"/>
        <v>2.4241779582766538</v>
      </c>
      <c r="AC31" s="47">
        <f ca="1">IF(ISNUMBER(Z31),SQRT(($Z31-OFFSET($Z$20,MATCH(CS_Start,$A$21:$A$44,0),0))^2+($AA31-OFFSET($AA$20,MATCH(CS_Start,$A$21:$A$44,0),0))^2),"")</f>
        <v>37.964453804726475</v>
      </c>
      <c r="AD31" s="47">
        <f t="shared" ca="1" si="27"/>
        <v>0</v>
      </c>
      <c r="AE31" s="47">
        <f t="shared" ca="1" si="28"/>
        <v>37.96</v>
      </c>
      <c r="AF31" s="47">
        <f t="shared" ca="1" si="29"/>
        <v>0</v>
      </c>
      <c r="AH31" s="44">
        <v>37.96</v>
      </c>
      <c r="AI31" s="44">
        <f ca="1">OFFSET($AF$22,MATCH(AH31,$AE$23:$AE$52,0),0)</f>
        <v>0</v>
      </c>
      <c r="AJ31" s="2" t="str">
        <f t="shared" ca="1" si="25"/>
        <v>37.96,0</v>
      </c>
    </row>
    <row r="32" spans="1:36" x14ac:dyDescent="0.25">
      <c r="A32" s="44">
        <v>12</v>
      </c>
      <c r="B32" s="48">
        <v>8.3691898148148152</v>
      </c>
      <c r="C32" s="48">
        <v>3.864074074074074</v>
      </c>
      <c r="D32" s="44">
        <v>67.900000000000006</v>
      </c>
      <c r="E32" s="44">
        <v>8.7395999999999994</v>
      </c>
      <c r="F32" s="44"/>
      <c r="G32" s="43">
        <f t="shared" si="15"/>
        <v>92.737777777777779</v>
      </c>
      <c r="H32" s="43">
        <f t="shared" si="16"/>
        <v>1.6185795632050526</v>
      </c>
      <c r="I32" s="43">
        <f t="shared" si="3"/>
        <v>200.86055555555555</v>
      </c>
      <c r="J32" s="39">
        <f t="shared" si="17"/>
        <v>3.5056780318294325</v>
      </c>
      <c r="K32" s="39">
        <f t="shared" si="18"/>
        <v>67.822498828518434</v>
      </c>
      <c r="L32" s="15">
        <f t="shared" si="19"/>
        <v>-3.2432472393598788</v>
      </c>
      <c r="M32" s="13"/>
      <c r="N32" s="16">
        <f t="shared" si="4"/>
        <v>200.86055555555555</v>
      </c>
      <c r="O32" s="16">
        <f t="shared" ca="1" si="20"/>
        <v>261.89915808572783</v>
      </c>
      <c r="P32" s="16">
        <f t="shared" ca="1" si="21"/>
        <v>462.75971364128338</v>
      </c>
      <c r="Q32" s="16">
        <f t="shared" ca="1" si="22"/>
        <v>8.0766806486265121</v>
      </c>
      <c r="R32" s="16">
        <f t="shared" ca="1" si="5"/>
        <v>66.147614796593871</v>
      </c>
      <c r="S32" s="16">
        <f t="shared" ca="1" si="6"/>
        <v>-14.979466080799428</v>
      </c>
      <c r="T32" s="13">
        <f t="shared" ca="1" si="7"/>
        <v>3828879.9466147968</v>
      </c>
      <c r="U32" s="13">
        <f t="shared" ca="1" si="8"/>
        <v>1536928.2905339191</v>
      </c>
      <c r="V32" s="16">
        <f t="shared" si="9"/>
        <v>3517.1384527606401</v>
      </c>
      <c r="W32" s="16">
        <f t="shared" ca="1" si="10"/>
        <v>3509.5284404043582</v>
      </c>
      <c r="X32" s="47">
        <f t="shared" ca="1" si="11"/>
        <v>3828879.9466147968</v>
      </c>
      <c r="Y32" s="47">
        <f t="shared" ca="1" si="23"/>
        <v>1536928.2905339191</v>
      </c>
      <c r="Z32" s="47">
        <f t="shared" ca="1" si="12"/>
        <v>3828881.3049260695</v>
      </c>
      <c r="AA32" s="47">
        <f t="shared" ca="1" si="13"/>
        <v>1536932.5527220753</v>
      </c>
      <c r="AB32" s="47">
        <f t="shared" ca="1" si="26"/>
        <v>4.4733943926086708</v>
      </c>
      <c r="AC32" s="47">
        <f ca="1">IF(ISNUMBER(Z32),SQRT(($Z32-OFFSET($Z$20,MATCH(CS_Start,$A$21:$A$44,0),0))^2+($AA32-OFFSET($AA$20,MATCH(CS_Start,$A$21:$A$44,0),0))^2),"")</f>
        <v>52.144978087111923</v>
      </c>
      <c r="AD32" s="47">
        <f t="shared" ca="1" si="27"/>
        <v>0.21729172454843138</v>
      </c>
      <c r="AE32" s="47">
        <f t="shared" ca="1" si="28"/>
        <v>52.14</v>
      </c>
      <c r="AF32" s="47">
        <f t="shared" ca="1" si="29"/>
        <v>0.22</v>
      </c>
      <c r="AH32" s="44">
        <v>52.14</v>
      </c>
      <c r="AI32" s="44">
        <f ca="1">OFFSET($AF$22,MATCH(AH32,$AE$23:$AE$52,0),0)</f>
        <v>0.22</v>
      </c>
      <c r="AJ32" s="44" t="str">
        <f t="shared" ref="AJ32:AJ33" ca="1" si="30">CONCATENATE(AH32,",",AI32)</f>
        <v>52.14,0.22</v>
      </c>
    </row>
    <row r="33" spans="1:36" x14ac:dyDescent="0.25">
      <c r="A33" s="44">
        <v>13</v>
      </c>
      <c r="B33" s="48">
        <v>8.4065162037037044</v>
      </c>
      <c r="C33" s="48">
        <v>3.8450578703703702</v>
      </c>
      <c r="D33" s="44">
        <v>78.313999999999993</v>
      </c>
      <c r="E33" s="44">
        <v>8.7395999999999994</v>
      </c>
      <c r="F33" s="44"/>
      <c r="G33" s="43">
        <f t="shared" si="15"/>
        <v>92.281388888888884</v>
      </c>
      <c r="H33" s="43">
        <f t="shared" si="16"/>
        <v>1.6106140744244226</v>
      </c>
      <c r="I33" s="43">
        <f t="shared" si="3"/>
        <v>201.75638888888892</v>
      </c>
      <c r="J33" s="39">
        <f t="shared" si="17"/>
        <v>3.5213132730452155</v>
      </c>
      <c r="K33" s="39">
        <f t="shared" si="18"/>
        <v>78.251926617702438</v>
      </c>
      <c r="L33" s="15">
        <f t="shared" si="19"/>
        <v>-3.1174631702254989</v>
      </c>
      <c r="M33" s="13"/>
      <c r="N33" s="16">
        <f t="shared" si="4"/>
        <v>201.75638888888892</v>
      </c>
      <c r="O33" s="16">
        <f t="shared" ca="1" si="20"/>
        <v>261.89915808572783</v>
      </c>
      <c r="P33" s="16">
        <f t="shared" ca="1" si="21"/>
        <v>463.65554697461675</v>
      </c>
      <c r="Q33" s="16">
        <f t="shared" ca="1" si="22"/>
        <v>8.0923158898422951</v>
      </c>
      <c r="R33" s="16">
        <f t="shared" ca="1" si="5"/>
        <v>76.039946451180839</v>
      </c>
      <c r="S33" s="16">
        <f t="shared" ca="1" si="6"/>
        <v>-18.474051073975033</v>
      </c>
      <c r="T33" s="13">
        <f t="shared" ca="1" si="7"/>
        <v>3828889.8389464514</v>
      </c>
      <c r="U33" s="13">
        <f t="shared" ca="1" si="8"/>
        <v>1536924.7959489261</v>
      </c>
      <c r="V33" s="16">
        <f t="shared" si="9"/>
        <v>3517.2642368297743</v>
      </c>
      <c r="W33" s="16">
        <f t="shared" ca="1" si="10"/>
        <v>3509.6542244734924</v>
      </c>
      <c r="X33" s="47">
        <f t="shared" ca="1" si="11"/>
        <v>3828889.8389464514</v>
      </c>
      <c r="Y33" s="47">
        <f t="shared" ca="1" si="23"/>
        <v>1536924.7959489261</v>
      </c>
      <c r="Z33" s="47">
        <f t="shared" ca="1" si="12"/>
        <v>3828891.2962034419</v>
      </c>
      <c r="AA33" s="47">
        <f t="shared" ca="1" si="13"/>
        <v>1536929.3686147132</v>
      </c>
      <c r="AB33" s="47">
        <f t="shared" ca="1" si="26"/>
        <v>4.7992572692604849</v>
      </c>
      <c r="AC33" s="47">
        <f ca="1">IF(ISNUMBER(Z33),SQRT(($Z33-OFFSET($Z$20,MATCH(CS_Start,$A$21:$A$44,0),0))^2+($AA33-OFFSET($AA$20,MATCH(CS_Start,$A$21:$A$44,0),0))^2),"")</f>
        <v>62.631357978506557</v>
      </c>
      <c r="AD33" s="47">
        <f t="shared" ca="1" si="27"/>
        <v>0.34307579368260122</v>
      </c>
      <c r="AE33" s="47">
        <f t="shared" ca="1" si="28"/>
        <v>62.63</v>
      </c>
      <c r="AF33" s="47">
        <f t="shared" ca="1" si="29"/>
        <v>0.34</v>
      </c>
      <c r="AH33" s="44">
        <v>62.63</v>
      </c>
      <c r="AI33" s="44">
        <f ca="1">OFFSET($AF$22,MATCH(AH33,$AE$23:$AE$52,0),0)</f>
        <v>0.34</v>
      </c>
      <c r="AJ33" s="44" t="str">
        <f t="shared" ca="1" si="30"/>
        <v>62.63,0.34</v>
      </c>
    </row>
    <row r="34" spans="1:36" x14ac:dyDescent="0.25">
      <c r="A34" s="44">
        <v>14</v>
      </c>
      <c r="B34" s="48">
        <v>8.4333217592592593</v>
      </c>
      <c r="C34" s="48">
        <v>3.8373148148148144</v>
      </c>
      <c r="D34" s="44">
        <v>81.033000000000001</v>
      </c>
      <c r="E34" s="44">
        <v>8.7395999999999994</v>
      </c>
      <c r="F34" s="49" t="s">
        <v>83</v>
      </c>
      <c r="G34" s="43">
        <f t="shared" ref="G34:G35" si="31">C34*24</f>
        <v>92.095555555555549</v>
      </c>
      <c r="H34" s="43">
        <f t="shared" ref="H34:H35" si="32">RADIANS(G34)</f>
        <v>1.6073706708977999</v>
      </c>
      <c r="I34" s="43">
        <f t="shared" ref="I34:I35" si="33">B34*24</f>
        <v>202.39972222222224</v>
      </c>
      <c r="J34" s="49">
        <f t="shared" ref="J34:J35" si="34">RADIANS(I34)</f>
        <v>3.5325415578997124</v>
      </c>
      <c r="K34" s="49">
        <f t="shared" ref="K34:K35" si="35">D34*SIN(H34)</f>
        <v>80.97880782244944</v>
      </c>
      <c r="L34" s="46">
        <f t="shared" ref="L34:L35" si="36">D34*COS(H34)</f>
        <v>-2.963068115113296</v>
      </c>
      <c r="M34" s="45"/>
      <c r="N34" s="47">
        <f t="shared" ref="N34:N35" si="37">I34+M34</f>
        <v>202.39972222222224</v>
      </c>
      <c r="O34" s="47">
        <f t="shared" ca="1" si="20"/>
        <v>261.89915808572783</v>
      </c>
      <c r="P34" s="47">
        <f t="shared" ref="P34:P35" ca="1" si="38">SUM(N34,O34)</f>
        <v>464.29888030795007</v>
      </c>
      <c r="Q34" s="47">
        <f t="shared" ref="Q34:Q35" ca="1" si="39">RADIANS(P34)</f>
        <v>8.1035441746967916</v>
      </c>
      <c r="R34" s="47">
        <f t="shared" ref="R34:R35" ca="1" si="40">K34*SIN(Q34)</f>
        <v>78.470129554741078</v>
      </c>
      <c r="S34" s="47">
        <f t="shared" ref="S34:S35" ca="1" si="41">K34*COS(Q34)</f>
        <v>-20.000152099605344</v>
      </c>
      <c r="T34" s="45">
        <f t="shared" ref="T34:T35" ca="1" si="42">Old_X0+R34</f>
        <v>3828892.2691295547</v>
      </c>
      <c r="U34" s="45">
        <f t="shared" ref="U34:U35" ca="1" si="43">Old_Y0+S34</f>
        <v>1536923.2698479004</v>
      </c>
      <c r="V34" s="47">
        <f t="shared" ref="V34:V35" si="44">Old_Z0+HI+L34-E34</f>
        <v>3517.4186318848865</v>
      </c>
      <c r="W34" s="47">
        <f t="shared" ref="W34:W35" ca="1" si="45">IF(ISNUMBER(T34),V34+dZ,"")</f>
        <v>3509.8086195286046</v>
      </c>
      <c r="X34" s="47">
        <f t="shared" ca="1" si="11"/>
        <v>3828892.2691295547</v>
      </c>
      <c r="Y34" s="47">
        <f t="shared" ca="1" si="23"/>
        <v>1536923.2698479004</v>
      </c>
      <c r="Z34" s="47">
        <f t="shared" ca="1" si="12"/>
        <v>3828893.9438374033</v>
      </c>
      <c r="AA34" s="47">
        <f t="shared" ca="1" si="13"/>
        <v>1536928.5248436444</v>
      </c>
      <c r="AB34" s="47">
        <f t="shared" ref="AB34:AB35" ca="1" si="46">IF(ISNUMBER(X34),SQRT((X34-Z34)^2+(Y34-AA34)^2),"")</f>
        <v>5.5153990469689917</v>
      </c>
      <c r="AC34" s="47">
        <f ca="1">IF(ISNUMBER(Z34),SQRT(($Z34-OFFSET($Z$20,MATCH(CS_Start,$A$21:$A$44,0),0))^2+($AA34-OFFSET($AA$20,MATCH(CS_Start,$A$21:$A$44,0),0))^2),"")</f>
        <v>65.410191404638525</v>
      </c>
      <c r="AD34" s="47">
        <f t="shared" ref="AD34:AD35" ca="1" si="47">IF(ISNUMBER(X34),W34-Min_Z,"")</f>
        <v>0.49747084879481918</v>
      </c>
      <c r="AE34" s="47">
        <f t="shared" ca="1" si="28"/>
        <v>65.41</v>
      </c>
      <c r="AF34" s="47">
        <f t="shared" ca="1" si="29"/>
        <v>0.5</v>
      </c>
      <c r="AH34" s="44">
        <v>65.41</v>
      </c>
      <c r="AI34" s="44">
        <f ca="1">OFFSET($AF$22,MATCH(AH34,$AE$23:$AE$52,0),0)</f>
        <v>0.5</v>
      </c>
      <c r="AJ34" s="44" t="str">
        <f t="shared" ref="AJ34:AJ35" ca="1" si="48">CONCATENATE(AH34,",",AI34)</f>
        <v>65.41,0.5</v>
      </c>
    </row>
    <row r="35" spans="1:36" x14ac:dyDescent="0.25">
      <c r="A35" s="44">
        <v>15</v>
      </c>
      <c r="B35" s="48">
        <v>8.1469212962962967</v>
      </c>
      <c r="C35" s="48">
        <v>3.79880787037037</v>
      </c>
      <c r="D35" s="44">
        <v>91.316000000000003</v>
      </c>
      <c r="E35" s="44">
        <v>8.7395999999999994</v>
      </c>
      <c r="F35" s="44"/>
      <c r="G35" s="43">
        <f t="shared" si="31"/>
        <v>91.171388888888885</v>
      </c>
      <c r="H35" s="43">
        <f t="shared" si="32"/>
        <v>1.5912409197272857</v>
      </c>
      <c r="I35" s="43">
        <f t="shared" si="33"/>
        <v>195.52611111111111</v>
      </c>
      <c r="J35" s="49">
        <f t="shared" si="34"/>
        <v>3.4125744125091573</v>
      </c>
      <c r="K35" s="49">
        <f t="shared" si="35"/>
        <v>91.296916470871366</v>
      </c>
      <c r="L35" s="46">
        <f t="shared" si="36"/>
        <v>-1.8667883947404549</v>
      </c>
      <c r="M35" s="45"/>
      <c r="N35" s="47">
        <f t="shared" si="37"/>
        <v>195.52611111111111</v>
      </c>
      <c r="O35" s="47">
        <f t="shared" ca="1" si="20"/>
        <v>261.89915808572783</v>
      </c>
      <c r="P35" s="47">
        <f t="shared" ca="1" si="38"/>
        <v>457.42526919683894</v>
      </c>
      <c r="Q35" s="47">
        <f t="shared" ca="1" si="39"/>
        <v>7.9835770293062378</v>
      </c>
      <c r="R35" s="47">
        <f t="shared" ca="1" si="40"/>
        <v>90.531324552380681</v>
      </c>
      <c r="S35" s="47">
        <f t="shared" ca="1" si="41"/>
        <v>-11.798569060728379</v>
      </c>
      <c r="T35" s="45">
        <f t="shared" ca="1" si="42"/>
        <v>3828904.3303245525</v>
      </c>
      <c r="U35" s="45">
        <f t="shared" ca="1" si="43"/>
        <v>1536931.4714309394</v>
      </c>
      <c r="V35" s="47">
        <f t="shared" si="44"/>
        <v>3518.5149116052594</v>
      </c>
      <c r="W35" s="47">
        <f t="shared" ca="1" si="45"/>
        <v>3510.9048992489775</v>
      </c>
      <c r="X35" s="47">
        <f t="shared" ca="1" si="11"/>
        <v>3828904.3303245525</v>
      </c>
      <c r="Y35" s="47">
        <f t="shared" ca="1" si="23"/>
        <v>1536931.4714309394</v>
      </c>
      <c r="Z35" s="47">
        <f t="shared" ca="1" si="12"/>
        <v>3828902.5202395981</v>
      </c>
      <c r="AA35" s="47">
        <f t="shared" ca="1" si="13"/>
        <v>1536925.7916410367</v>
      </c>
      <c r="AB35" s="47">
        <f t="shared" ca="1" si="46"/>
        <v>5.9612432327656437</v>
      </c>
      <c r="AC35" s="47">
        <f ca="1">IF(ISNUMBER(Z35),SQRT(($Z35-OFFSET($Z$20,MATCH(CS_Start,$A$21:$A$44,0),0))^2+($AA35-OFFSET($AA$20,MATCH(CS_Start,$A$21:$A$44,0),0))^2),"")</f>
        <v>74.411584135830054</v>
      </c>
      <c r="AD35" s="47">
        <f t="shared" ca="1" si="47"/>
        <v>1.5937505691676961</v>
      </c>
      <c r="AE35" s="47">
        <f t="shared" ca="1" si="28"/>
        <v>74.41</v>
      </c>
      <c r="AF35" s="47">
        <f t="shared" ca="1" si="29"/>
        <v>1.59</v>
      </c>
      <c r="AH35" s="44">
        <v>74.41</v>
      </c>
      <c r="AI35" s="44">
        <f ca="1">OFFSET($AF$22,MATCH(AH35,$AE$23:$AE$52,0),0)</f>
        <v>1.59</v>
      </c>
      <c r="AJ35" s="44" t="str">
        <f t="shared" ca="1" si="48"/>
        <v>74.41,1.59</v>
      </c>
    </row>
    <row r="36" spans="1:36" x14ac:dyDescent="0.25">
      <c r="A36" s="44">
        <v>16</v>
      </c>
      <c r="B36" s="48">
        <v>8.1805208333333344</v>
      </c>
      <c r="C36" s="48">
        <v>3.7592129629629629</v>
      </c>
      <c r="D36" s="44">
        <v>95.626999999999995</v>
      </c>
      <c r="E36" s="44">
        <v>8.7395999999999994</v>
      </c>
      <c r="F36" s="44"/>
      <c r="G36" s="43">
        <f t="shared" ref="G36:G37" si="49">C36*24</f>
        <v>90.221111111111114</v>
      </c>
      <c r="H36" s="43">
        <f t="shared" ref="H36:H37" si="50">RADIANS(G36)</f>
        <v>1.5746554436965285</v>
      </c>
      <c r="I36" s="43">
        <f t="shared" ref="I36:I37" si="51">B36*24</f>
        <v>196.33250000000004</v>
      </c>
      <c r="J36" s="49">
        <f t="shared" ref="J36:J37" si="52">RADIANS(I36)</f>
        <v>3.4266485536717677</v>
      </c>
      <c r="K36" s="49">
        <f t="shared" ref="K36:K37" si="53">D36*SIN(H36)</f>
        <v>95.626287924791299</v>
      </c>
      <c r="L36" s="46">
        <f t="shared" ref="L36:L37" si="54">D36*COS(H36)</f>
        <v>-0.36903485595807706</v>
      </c>
      <c r="M36" s="45"/>
      <c r="N36" s="47">
        <f t="shared" ref="N36:N37" si="55">I36+M36</f>
        <v>196.33250000000004</v>
      </c>
      <c r="O36" s="47">
        <f t="shared" ca="1" si="20"/>
        <v>261.89915808572783</v>
      </c>
      <c r="P36" s="47">
        <f t="shared" ref="P36:P37" ca="1" si="56">SUM(N36,O36)</f>
        <v>458.23165808572787</v>
      </c>
      <c r="Q36" s="47">
        <f t="shared" ref="Q36:Q37" ca="1" si="57">RADIANS(P36)</f>
        <v>7.9976511704688482</v>
      </c>
      <c r="R36" s="47">
        <f t="shared" ref="R36:R37" ca="1" si="58">K36*SIN(Q36)</f>
        <v>94.641076285085191</v>
      </c>
      <c r="S36" s="47">
        <f t="shared" ref="S36:S37" ca="1" si="59">K36*COS(Q36)</f>
        <v>-13.691370343240713</v>
      </c>
      <c r="T36" s="45">
        <f t="shared" ref="T36:T37" ca="1" si="60">Old_X0+R36</f>
        <v>3828908.440076285</v>
      </c>
      <c r="U36" s="45">
        <f t="shared" ref="U36:U37" ca="1" si="61">Old_Y0+S36</f>
        <v>1536929.5786296567</v>
      </c>
      <c r="V36" s="47">
        <f t="shared" ref="V36:V37" si="62">Old_Z0+HI+L36-E36</f>
        <v>3520.0126651440419</v>
      </c>
      <c r="W36" s="47">
        <f t="shared" ref="W36:W37" ca="1" si="63">IF(ISNUMBER(T36),V36+dZ,"")</f>
        <v>3512.40265278776</v>
      </c>
      <c r="X36" s="47">
        <f t="shared" ca="1" si="11"/>
        <v>3828908.440076285</v>
      </c>
      <c r="Y36" s="47">
        <f t="shared" ref="Y36:Y37" ca="1" si="64">IF(ISNUMBER(X36),U36,"")</f>
        <v>1536929.5786296567</v>
      </c>
      <c r="Z36" s="47">
        <f t="shared" ca="1" si="12"/>
        <v>3828906.7986769564</v>
      </c>
      <c r="AA36" s="47">
        <f t="shared" ca="1" si="13"/>
        <v>1536924.4281513263</v>
      </c>
      <c r="AB36" s="47">
        <f t="shared" ref="AB36:AB37" ca="1" si="65">IF(ISNUMBER(X36),SQRT((X36-Z36)^2+(Y36-AA36)^2),"")</f>
        <v>5.4057024324558203</v>
      </c>
      <c r="AC36" s="47">
        <f ca="1">IF(ISNUMBER(Z36),SQRT(($Z36-OFFSET($Z$20,MATCH(CS_Start,$A$21:$A$44,0),0))^2+($AA36-OFFSET($AA$20,MATCH(CS_Start,$A$21:$A$44,0),0))^2),"")</f>
        <v>78.902032935198577</v>
      </c>
      <c r="AD36" s="47">
        <f t="shared" ref="AD36:AD37" ca="1" si="66">IF(ISNUMBER(X36),W36-Min_Z,"")</f>
        <v>3.0915041079501862</v>
      </c>
      <c r="AE36" s="47">
        <f t="shared" ca="1" si="28"/>
        <v>78.900000000000006</v>
      </c>
      <c r="AF36" s="47">
        <f t="shared" ca="1" si="29"/>
        <v>3.09</v>
      </c>
      <c r="AH36" s="44">
        <v>78.900000000000006</v>
      </c>
      <c r="AI36" s="44">
        <f ca="1">OFFSET($AF$22,MATCH(AH36,$AE$23:$AE$52,0),0)</f>
        <v>3.09</v>
      </c>
      <c r="AJ36" s="44" t="str">
        <f t="shared" ref="AJ36:AJ37" ca="1" si="67">CONCATENATE(AH36,",",AI36)</f>
        <v>78.9,3.09</v>
      </c>
    </row>
    <row r="37" spans="1:36" x14ac:dyDescent="0.25">
      <c r="A37" s="44">
        <v>17</v>
      </c>
      <c r="B37" s="48">
        <v>8.2828125000000004</v>
      </c>
      <c r="C37" s="48">
        <v>3.7241087962962962</v>
      </c>
      <c r="D37" s="44">
        <v>103.514</v>
      </c>
      <c r="E37" s="44">
        <v>8.7395999999999994</v>
      </c>
      <c r="F37" s="44"/>
      <c r="G37" s="43">
        <f t="shared" si="49"/>
        <v>89.378611111111113</v>
      </c>
      <c r="H37" s="43">
        <f t="shared" si="50"/>
        <v>1.5599510447484763</v>
      </c>
      <c r="I37" s="43">
        <f t="shared" si="51"/>
        <v>198.78750000000002</v>
      </c>
      <c r="J37" s="49">
        <f t="shared" si="52"/>
        <v>3.469496386808228</v>
      </c>
      <c r="K37" s="49">
        <f t="shared" si="53"/>
        <v>103.50791239394512</v>
      </c>
      <c r="L37" s="46">
        <f t="shared" si="54"/>
        <v>1.1226165183986472</v>
      </c>
      <c r="M37" s="45"/>
      <c r="N37" s="47">
        <f t="shared" si="55"/>
        <v>198.78750000000002</v>
      </c>
      <c r="O37" s="47">
        <f t="shared" ca="1" si="20"/>
        <v>261.89915808572783</v>
      </c>
      <c r="P37" s="47">
        <f t="shared" ca="1" si="56"/>
        <v>460.68665808572786</v>
      </c>
      <c r="Q37" s="47">
        <f t="shared" ca="1" si="57"/>
        <v>8.0404990036053086</v>
      </c>
      <c r="R37" s="47">
        <f t="shared" ca="1" si="58"/>
        <v>101.71267160568854</v>
      </c>
      <c r="S37" s="47">
        <f t="shared" ca="1" si="59"/>
        <v>-19.194279433882887</v>
      </c>
      <c r="T37" s="45">
        <f t="shared" ca="1" si="60"/>
        <v>3828915.511671606</v>
      </c>
      <c r="U37" s="45">
        <f t="shared" ca="1" si="61"/>
        <v>1536924.0757205661</v>
      </c>
      <c r="V37" s="47">
        <f t="shared" si="62"/>
        <v>3521.5043165183984</v>
      </c>
      <c r="W37" s="47">
        <f t="shared" ca="1" si="63"/>
        <v>3513.8943041621164</v>
      </c>
      <c r="X37" s="47">
        <f t="shared" ca="1" si="11"/>
        <v>3828915.511671606</v>
      </c>
      <c r="Y37" s="47">
        <f t="shared" ca="1" si="64"/>
        <v>1536924.0757205661</v>
      </c>
      <c r="Z37" s="47">
        <f t="shared" ca="1" si="12"/>
        <v>3828914.8103062301</v>
      </c>
      <c r="AA37" s="47">
        <f t="shared" ca="1" si="13"/>
        <v>1536921.8749354761</v>
      </c>
      <c r="AB37" s="47">
        <f t="shared" ca="1" si="65"/>
        <v>2.309841640197273</v>
      </c>
      <c r="AC37" s="47">
        <f ca="1">IF(ISNUMBER(Z37),SQRT(($Z37-OFFSET($Z$20,MATCH(CS_Start,$A$21:$A$44,0),0))^2+($AA37-OFFSET($AA$20,MATCH(CS_Start,$A$21:$A$44,0),0))^2),"")</f>
        <v>87.310666284074259</v>
      </c>
      <c r="AD37" s="47">
        <f t="shared" ca="1" si="66"/>
        <v>4.5831554823066654</v>
      </c>
      <c r="AE37" s="47">
        <f t="shared" ca="1" si="28"/>
        <v>87.31</v>
      </c>
      <c r="AF37" s="47">
        <f t="shared" ca="1" si="29"/>
        <v>4.58</v>
      </c>
      <c r="AH37" s="44">
        <v>87.31</v>
      </c>
      <c r="AI37" s="44">
        <f ca="1">OFFSET($AF$22,MATCH(AH37,$AE$23:$AE$52,0),0)</f>
        <v>4.58</v>
      </c>
      <c r="AJ37" s="44" t="str">
        <f t="shared" ca="1" si="67"/>
        <v>87.31,4.58</v>
      </c>
    </row>
    <row r="38" spans="1:36" x14ac:dyDescent="0.25">
      <c r="A38" s="44">
        <v>18</v>
      </c>
      <c r="B38" s="48">
        <v>5.9266319444444449</v>
      </c>
      <c r="C38" s="48">
        <v>3.7193634259259256</v>
      </c>
      <c r="D38" s="44">
        <v>74.468999999999994</v>
      </c>
      <c r="E38" s="44">
        <v>4.9062000000000001</v>
      </c>
      <c r="F38" s="49" t="s">
        <v>70</v>
      </c>
      <c r="G38" s="43">
        <f t="shared" ref="G38:G39" si="68">C38*24</f>
        <v>89.264722222222218</v>
      </c>
      <c r="H38" s="43">
        <f t="shared" ref="H38:H39" si="69">RADIANS(G38)</f>
        <v>1.557963308655927</v>
      </c>
      <c r="I38" s="43">
        <f t="shared" ref="I38:I39" si="70">B38*24</f>
        <v>142.23916666666668</v>
      </c>
      <c r="J38" s="49">
        <f t="shared" ref="J38:J39" si="71">RADIANS(I38)</f>
        <v>2.4825417836263011</v>
      </c>
      <c r="K38" s="49">
        <f t="shared" ref="K38:K39" si="72">D38*SIN(H38)</f>
        <v>74.462868070085776</v>
      </c>
      <c r="L38" s="46">
        <f t="shared" ref="L38:L39" si="73">D38*COS(H38)</f>
        <v>0.95563579725766079</v>
      </c>
      <c r="M38" s="45"/>
      <c r="N38" s="47">
        <f t="shared" ref="N38:N39" si="74">I38+M38</f>
        <v>142.23916666666668</v>
      </c>
      <c r="O38" s="47">
        <f t="shared" ca="1" si="20"/>
        <v>261.89915808572783</v>
      </c>
      <c r="P38" s="47">
        <f t="shared" ref="P38:P39" ca="1" si="75">SUM(N38,O38)</f>
        <v>404.13832475239451</v>
      </c>
      <c r="Q38" s="47">
        <f t="shared" ref="Q38:Q39" ca="1" si="76">RADIANS(P38)</f>
        <v>7.0535444004233812</v>
      </c>
      <c r="R38" s="47">
        <f t="shared" ref="R38:R39" ca="1" si="77">K38*SIN(Q38)</f>
        <v>51.855419384748259</v>
      </c>
      <c r="S38" s="47">
        <f t="shared" ref="S38:S39" ca="1" si="78">K38*COS(Q38)</f>
        <v>53.439069992421032</v>
      </c>
      <c r="T38" s="45">
        <f t="shared" ref="T38:T39" ca="1" si="79">Old_X0+R38</f>
        <v>3828865.6544193849</v>
      </c>
      <c r="U38" s="45">
        <f t="shared" ref="U38:U39" ca="1" si="80">Old_Y0+S38</f>
        <v>1536996.7090699924</v>
      </c>
      <c r="V38" s="47">
        <f t="shared" ref="V38:V39" si="81">Old_Z0+HI+L38-E38</f>
        <v>3525.1707357972577</v>
      </c>
      <c r="W38" s="47">
        <f t="shared" ref="W38:W39" ca="1" si="82">IF(ISNUMBER(T38),V38+dZ,"")</f>
        <v>3517.5607234409758</v>
      </c>
      <c r="X38" s="47" t="str">
        <f t="shared" si="11"/>
        <v/>
      </c>
      <c r="Y38" s="47" t="str">
        <f t="shared" ref="Y38:Y39" si="83">IF(ISNUMBER(X38),U38,"")</f>
        <v/>
      </c>
      <c r="Z38" s="47" t="e">
        <f t="shared" si="12"/>
        <v>#N/A</v>
      </c>
      <c r="AA38" s="47" t="e">
        <f t="shared" si="13"/>
        <v>#N/A</v>
      </c>
      <c r="AB38" s="47" t="str">
        <f t="shared" ref="AB38:AB39" si="84">IF(ISNUMBER(X38),SQRT((X38-Z38)^2+(Y38-AA38)^2),"")</f>
        <v/>
      </c>
      <c r="AC38" s="47" t="str">
        <f ca="1">IF(ISNUMBER(Z38),SQRT(($Z38-OFFSET($Z$20,MATCH(CS_Start,$A$21:$A$44,0),0))^2+($AA38-OFFSET($AA$20,MATCH(CS_Start,$A$21:$A$44,0),0))^2),"")</f>
        <v/>
      </c>
      <c r="AD38" s="47" t="str">
        <f t="shared" ref="AD38:AD39" si="85">IF(ISNUMBER(X38),W38-Min_Z,"")</f>
        <v/>
      </c>
      <c r="AE38" s="47" t="e">
        <f t="shared" ca="1" si="28"/>
        <v>#VALUE!</v>
      </c>
      <c r="AF38" s="47" t="e">
        <f t="shared" si="29"/>
        <v>#VALUE!</v>
      </c>
      <c r="AH38" s="44"/>
      <c r="AI38" s="44"/>
      <c r="AJ38" s="44"/>
    </row>
    <row r="39" spans="1:36" x14ac:dyDescent="0.25">
      <c r="A39" s="44">
        <v>19</v>
      </c>
      <c r="B39" s="48">
        <v>7.8703703703703705E-4</v>
      </c>
      <c r="C39" s="48">
        <v>3.7050115740740743</v>
      </c>
      <c r="D39" s="44">
        <v>80.635000000000005</v>
      </c>
      <c r="E39" s="44">
        <v>4.9062000000000001</v>
      </c>
      <c r="F39" s="49" t="s">
        <v>69</v>
      </c>
      <c r="G39" s="43">
        <f t="shared" si="68"/>
        <v>88.920277777777784</v>
      </c>
      <c r="H39" s="43">
        <f t="shared" si="69"/>
        <v>1.551951619010169</v>
      </c>
      <c r="I39" s="43">
        <f t="shared" si="70"/>
        <v>1.8888888888888889E-2</v>
      </c>
      <c r="J39" s="49">
        <f t="shared" si="71"/>
        <v>3.2967330315448448E-4</v>
      </c>
      <c r="K39" s="49">
        <f t="shared" si="72"/>
        <v>80.62068275169041</v>
      </c>
      <c r="L39" s="46">
        <f t="shared" si="73"/>
        <v>1.5194530763700107</v>
      </c>
      <c r="M39" s="45"/>
      <c r="N39" s="47">
        <f t="shared" si="74"/>
        <v>1.8888888888888889E-2</v>
      </c>
      <c r="O39" s="47">
        <f t="shared" ca="1" si="20"/>
        <v>261.89915808572783</v>
      </c>
      <c r="P39" s="47">
        <f t="shared" ca="1" si="75"/>
        <v>261.91804697461674</v>
      </c>
      <c r="Q39" s="47">
        <f t="shared" ca="1" si="76"/>
        <v>4.5713322901002353</v>
      </c>
      <c r="R39" s="47">
        <f t="shared" ca="1" si="77"/>
        <v>-79.819957288261662</v>
      </c>
      <c r="S39" s="47">
        <f t="shared" ca="1" si="78"/>
        <v>-11.334412461561223</v>
      </c>
      <c r="T39" s="45">
        <f t="shared" ca="1" si="79"/>
        <v>3828733.9790427117</v>
      </c>
      <c r="U39" s="45">
        <f t="shared" ca="1" si="80"/>
        <v>1536931.9355875384</v>
      </c>
      <c r="V39" s="47">
        <f t="shared" si="81"/>
        <v>3525.73455307637</v>
      </c>
      <c r="W39" s="47">
        <f t="shared" ca="1" si="82"/>
        <v>3518.1245407200881</v>
      </c>
      <c r="X39" s="47" t="str">
        <f t="shared" si="11"/>
        <v/>
      </c>
      <c r="Y39" s="47" t="str">
        <f t="shared" si="83"/>
        <v/>
      </c>
      <c r="Z39" s="47" t="e">
        <f t="shared" si="12"/>
        <v>#N/A</v>
      </c>
      <c r="AA39" s="47" t="e">
        <f t="shared" si="13"/>
        <v>#N/A</v>
      </c>
      <c r="AB39" s="47" t="str">
        <f t="shared" si="84"/>
        <v/>
      </c>
      <c r="AC39" s="47" t="str">
        <f ca="1">IF(ISNUMBER(Z39),SQRT(($Z39-OFFSET($Z$20,MATCH(CS_Start,$A$21:$A$44,0),0))^2+($AA39-OFFSET($AA$20,MATCH(CS_Start,$A$21:$A$44,0),0))^2),"")</f>
        <v/>
      </c>
      <c r="AD39" s="47" t="str">
        <f t="shared" si="85"/>
        <v/>
      </c>
      <c r="AE39" s="47" t="e">
        <f t="shared" ca="1" si="28"/>
        <v>#VALUE!</v>
      </c>
      <c r="AF39" s="47" t="e">
        <f t="shared" si="29"/>
        <v>#VALUE!</v>
      </c>
      <c r="AH39" s="44"/>
      <c r="AI39" s="44"/>
      <c r="AJ39" s="44"/>
    </row>
    <row r="40" spans="1:36" x14ac:dyDescent="0.25">
      <c r="A40" s="44"/>
      <c r="B40" s="48"/>
      <c r="C40" s="48"/>
      <c r="D40" s="44"/>
      <c r="E40" s="44"/>
      <c r="F40" s="44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4"/>
      <c r="AF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4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4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50"/>
      <c r="D49" s="44"/>
      <c r="E49" s="44"/>
      <c r="F49" s="50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4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  <c r="AH53" s="44"/>
      <c r="AI53" s="44"/>
      <c r="AJ53" s="44"/>
    </row>
    <row r="54" spans="1:36" x14ac:dyDescent="0.25">
      <c r="A54" s="44"/>
      <c r="B54" s="48"/>
      <c r="C54" s="48"/>
      <c r="D54" s="44"/>
      <c r="E54" s="44"/>
      <c r="F54" s="49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  <c r="AH54" s="44"/>
      <c r="AI54" s="44"/>
      <c r="AJ54" s="44"/>
    </row>
    <row r="55" spans="1:36" x14ac:dyDescent="0.25">
      <c r="A55" s="40"/>
      <c r="C55" s="2"/>
      <c r="D55" s="42"/>
      <c r="E55" s="42"/>
      <c r="F55" s="42"/>
      <c r="G55" s="42"/>
      <c r="H55" s="42"/>
      <c r="I55" s="10"/>
      <c r="J55" s="10"/>
      <c r="K55" s="10"/>
      <c r="L55" s="10"/>
      <c r="M55" s="10"/>
      <c r="V55" s="2"/>
      <c r="W55" s="13"/>
      <c r="X55" s="2"/>
      <c r="Y55" s="2"/>
      <c r="Z55" s="2"/>
      <c r="AH55" s="44"/>
      <c r="AI55" s="44"/>
      <c r="AJ55" s="44"/>
    </row>
    <row r="56" spans="1:36" x14ac:dyDescent="0.25">
      <c r="A56" s="40"/>
      <c r="C56" s="2"/>
      <c r="D56" s="42"/>
      <c r="E56" s="42"/>
      <c r="F56" s="42"/>
      <c r="G56" s="42"/>
      <c r="H56" s="42"/>
      <c r="I56" s="10"/>
      <c r="J56" s="10"/>
      <c r="K56" s="10"/>
      <c r="L56" s="10"/>
      <c r="M56" s="10"/>
      <c r="V56" s="2"/>
      <c r="W56" s="13"/>
      <c r="X56" s="2"/>
      <c r="Y56" s="2"/>
      <c r="Z56" s="2"/>
      <c r="AH56" s="44"/>
      <c r="AI56" s="44"/>
      <c r="AJ56" s="44"/>
    </row>
    <row r="57" spans="1:36" x14ac:dyDescent="0.25">
      <c r="A57" s="40"/>
      <c r="C57" s="2"/>
      <c r="D57" s="42"/>
      <c r="E57" s="42"/>
      <c r="F57" s="42"/>
      <c r="G57" s="42"/>
      <c r="H57" s="42"/>
      <c r="I57" s="10"/>
      <c r="J57" s="10"/>
      <c r="K57" s="10"/>
      <c r="L57" s="10"/>
      <c r="M57" s="10"/>
      <c r="V57" s="2"/>
      <c r="W57" s="13"/>
      <c r="X57" s="2"/>
      <c r="Y57" s="2"/>
      <c r="Z57" s="2"/>
      <c r="AH57" s="44"/>
      <c r="AI57" s="44"/>
      <c r="AJ57" s="44"/>
    </row>
    <row r="58" spans="1:36" x14ac:dyDescent="0.25">
      <c r="A58" s="40"/>
      <c r="C58" s="2"/>
      <c r="D58" s="42"/>
      <c r="E58" s="42"/>
      <c r="F58" s="42"/>
      <c r="G58" s="42"/>
      <c r="H58" s="42"/>
      <c r="I58" s="10"/>
      <c r="J58" s="10"/>
      <c r="K58" s="10"/>
      <c r="L58" s="10"/>
      <c r="M58" s="10"/>
      <c r="V58" s="2"/>
      <c r="W58" s="13"/>
      <c r="X58" s="2"/>
      <c r="Y58" s="2"/>
      <c r="Z58" s="2"/>
      <c r="AH58" s="44"/>
      <c r="AI58" s="44"/>
      <c r="AJ58" s="44"/>
    </row>
    <row r="59" spans="1:36" x14ac:dyDescent="0.25">
      <c r="A59" s="40"/>
      <c r="C59" s="2"/>
      <c r="D59" s="42"/>
      <c r="E59" s="42"/>
      <c r="F59" s="42"/>
      <c r="G59" s="42"/>
      <c r="H59" s="42"/>
      <c r="I59" s="10"/>
      <c r="J59" s="10"/>
      <c r="K59" s="10"/>
      <c r="L59" s="10"/>
      <c r="M59" s="10"/>
      <c r="V59" s="2"/>
      <c r="W59" s="13"/>
      <c r="X59" s="2"/>
      <c r="Y59" s="2"/>
      <c r="Z59" s="2"/>
      <c r="AH59" s="44"/>
      <c r="AI59" s="44"/>
      <c r="AJ59" s="44"/>
    </row>
    <row r="60" spans="1:36" x14ac:dyDescent="0.25">
      <c r="A60" s="40"/>
      <c r="C60" s="2"/>
      <c r="D60" s="42"/>
      <c r="E60" s="42"/>
      <c r="F60" s="42"/>
      <c r="G60" s="42"/>
      <c r="H60" s="42"/>
      <c r="I60" s="10"/>
      <c r="J60" s="10"/>
      <c r="K60" s="10"/>
      <c r="L60" s="10"/>
      <c r="M60" s="10"/>
      <c r="V60" s="2"/>
      <c r="W60" s="13"/>
      <c r="X60" s="2"/>
      <c r="Y60" s="2"/>
      <c r="Z60" s="2"/>
    </row>
    <row r="61" spans="1:36" x14ac:dyDescent="0.25">
      <c r="A61" s="40"/>
      <c r="C61" s="2"/>
      <c r="D61" s="42"/>
      <c r="E61" s="42"/>
      <c r="F61" s="42"/>
      <c r="G61" s="42"/>
      <c r="H61" s="42"/>
      <c r="I61" s="10"/>
      <c r="J61" s="10"/>
      <c r="K61" s="10"/>
      <c r="L61" s="10"/>
      <c r="M61" s="10"/>
      <c r="V61" s="2"/>
      <c r="W61" s="13"/>
      <c r="X61" s="2"/>
      <c r="Y61" s="2"/>
      <c r="Z61" s="2"/>
      <c r="AA61" s="2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A62" s="2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A63" s="2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W64" s="2"/>
      <c r="X64" s="13"/>
      <c r="Y64" s="2"/>
      <c r="Z64" s="2"/>
      <c r="AA64" s="2"/>
    </row>
    <row r="65" spans="1:27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W65" s="2"/>
      <c r="X65" s="13"/>
      <c r="Y65" s="2"/>
      <c r="Z65" s="2"/>
      <c r="AA65" s="2"/>
    </row>
    <row r="66" spans="1:27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W66" s="2"/>
      <c r="X66" s="13"/>
      <c r="Y66" s="2"/>
      <c r="Z66" s="2"/>
      <c r="AA66" s="2"/>
    </row>
    <row r="67" spans="1:27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X67" s="13"/>
      <c r="Y67" s="2"/>
      <c r="Z67" s="2"/>
      <c r="AA67" s="2"/>
    </row>
    <row r="68" spans="1:27" x14ac:dyDescent="0.25">
      <c r="A68" s="17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X68" s="13"/>
      <c r="Y68" s="2"/>
      <c r="Z68" s="2"/>
      <c r="AA68" s="2"/>
    </row>
    <row r="69" spans="1:27" x14ac:dyDescent="0.25">
      <c r="A69" s="17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X69" s="13"/>
      <c r="Y69" s="2"/>
      <c r="Z69" s="2"/>
      <c r="AA69" s="2"/>
    </row>
    <row r="70" spans="1:27" x14ac:dyDescent="0.25">
      <c r="A70" s="17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X70" s="13"/>
      <c r="Y70" s="2"/>
      <c r="Z70" s="2"/>
      <c r="AA70" s="2"/>
    </row>
    <row r="71" spans="1:27" x14ac:dyDescent="0.25">
      <c r="A71" s="17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X71" s="13"/>
      <c r="Y71" s="2"/>
      <c r="Z71" s="2"/>
      <c r="AA71" s="2"/>
    </row>
    <row r="72" spans="1:27" x14ac:dyDescent="0.25">
      <c r="A72" s="17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X72" s="13"/>
      <c r="Y72" s="2"/>
      <c r="Z72" s="2"/>
      <c r="AA72" s="2"/>
    </row>
    <row r="73" spans="1:27" x14ac:dyDescent="0.25">
      <c r="A73" s="17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X73" s="13"/>
      <c r="Y73" s="2"/>
      <c r="Z73" s="2"/>
      <c r="AA73" s="2"/>
    </row>
    <row r="74" spans="1:27" x14ac:dyDescent="0.25">
      <c r="A74" s="17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27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27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27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27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</sheetData>
  <sortState ref="AH23:AH38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3828813.7990000001</v>
      </c>
      <c r="C2" s="33">
        <f>IF(ISNUMBER(Calculations!O4),CONVERT(Calculations!O4,Units_In,Units_Out),"")</f>
        <v>1536943.27</v>
      </c>
      <c r="D2" s="33" t="s">
        <v>60</v>
      </c>
      <c r="E2" s="10" t="str">
        <f>CONCATENATE("0503 ",B2,"EUSft ",C2,"NUSft")</f>
        <v>0503 3828813.799EUSft 1536943.27NUSft</v>
      </c>
      <c r="F2" s="34">
        <v>98</v>
      </c>
      <c r="G2" s="10" t="str">
        <f>IF(F2=98,"Lime",IF(F2=94,"Yellow",""))</f>
        <v>Lime</v>
      </c>
      <c r="H2" s="10" t="str">
        <f>Calculations!$A$1</f>
        <v>DSS1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3828778.1860000002</v>
      </c>
      <c r="C3" s="33">
        <f>IF(ISNUMBER(Calculations!O5),CONVERT(Calculations!O5,Units_In,Units_Out),"")</f>
        <v>1537013.2679999999</v>
      </c>
      <c r="D3" s="33" t="s">
        <v>60</v>
      </c>
      <c r="E3" s="10" t="str">
        <f t="shared" ref="E3:E4" si="0">CONCATENATE("0503 ",B3,"EUSft ",C3,"NUSft")</f>
        <v>0503 3828778.186EUSft 1537013.268NUSft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DSS1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3828879.3829999999</v>
      </c>
      <c r="C4" s="33">
        <f>IF(ISNUMBER(Calculations!O6),CONVERT(Calculations!O6,Units_In,Units_Out),"")</f>
        <v>1536905.7819999999</v>
      </c>
      <c r="D4" s="33" t="s">
        <v>60</v>
      </c>
      <c r="E4" s="10" t="str">
        <f t="shared" si="0"/>
        <v>0503 3828879.383EUSft 1536905.782NUSft</v>
      </c>
      <c r="F4" s="34">
        <v>98</v>
      </c>
      <c r="G4" s="10" t="str">
        <f t="shared" si="1"/>
        <v>Lime</v>
      </c>
      <c r="H4" s="10" t="str">
        <f>Calculations!$A$1</f>
        <v>DSS1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3828733.9840299408</v>
      </c>
      <c r="C5" s="33">
        <f ca="1">IF(ISNUMBER(A5),CONVERT(Calculations!U21,Units_In,Units_Out),"")</f>
        <v>1536931.9086614426</v>
      </c>
      <c r="D5" s="33" t="str">
        <f>IF(ISTEXT(Calculations!F21),Calculations!F21,"")</f>
        <v>BS/ZERO</v>
      </c>
      <c r="E5" t="str">
        <f ca="1">IF(ISNUMBER(A5),CONCATENATE("0503 ",B5,"EUSft ",C5,"NUSft"),"")</f>
        <v>0503 3828733.98402994EUSft 1536931.90866144NUSft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DSS1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3828865.6773256366</v>
      </c>
      <c r="C6" s="33">
        <f ca="1">IF(ISNUMBER(A6),CONVERT(Calculations!U22,Units_In,Units_Out),"")</f>
        <v>1536996.6507979298</v>
      </c>
      <c r="D6" s="33" t="str">
        <f>IF(ISTEXT(Calculations!F22),Calculations!F22,"")</f>
        <v xml:space="preserve">BS </v>
      </c>
      <c r="E6" s="10" t="str">
        <f t="shared" ref="E6:E65" ca="1" si="2">IF(ISNUMBER(A6),CONCATENATE("0503 ",B6,"EUSft ",C6,"NUSft"),"")</f>
        <v>0503 3828865.67732564EUSft 1536996.65079793NUSft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DSS1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3828832.8254375937</v>
      </c>
      <c r="C7" s="33">
        <f ca="1">IF(ISNUMBER(A7),CONVERT(Calculations!U23,Units_In,Units_Out),"")</f>
        <v>1536952.1626241028</v>
      </c>
      <c r="D7" s="33" t="str">
        <f>IF(ISTEXT(Calculations!F23),Calculations!F23,"")</f>
        <v/>
      </c>
      <c r="E7" s="10" t="str">
        <f t="shared" ca="1" si="2"/>
        <v>0503 3828832.82543759EUSft 1536952.1626241NUSft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DSS1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3828836.1585494126</v>
      </c>
      <c r="C8" s="33">
        <f ca="1">IF(ISNUMBER(A8),CONVERT(Calculations!U24,Units_In,Units_Out),"")</f>
        <v>1536949.5996942311</v>
      </c>
      <c r="D8" s="33" t="str">
        <f>IF(ISTEXT(Calculations!F24),Calculations!F24,"")</f>
        <v/>
      </c>
      <c r="E8" s="10" t="str">
        <f t="shared" ca="1" si="2"/>
        <v>0503 3828836.15854941EUSft 1536949.59969423NUSft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DSS1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3828839.1016566772</v>
      </c>
      <c r="C9" s="33">
        <f ca="1">IF(ISNUMBER(A9),CONVERT(Calculations!U25,Units_In,Units_Out),"")</f>
        <v>1536948.0708132428</v>
      </c>
      <c r="D9" s="33" t="str">
        <f>IF(ISTEXT(Calculations!F25),Calculations!F25,"")</f>
        <v/>
      </c>
      <c r="E9" s="10" t="str">
        <f t="shared" ca="1" si="2"/>
        <v>0503 3828839.10165668EUSft 1536948.07081324NUSft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DSS1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3828843.4491530606</v>
      </c>
      <c r="C10" s="33">
        <f ca="1">IF(ISNUMBER(A10),CONVERT(Calculations!U26,Units_In,Units_Out),"")</f>
        <v>1536946.079585816</v>
      </c>
      <c r="D10" s="33" t="str">
        <f>IF(ISTEXT(Calculations!F26),Calculations!F26,"")</f>
        <v/>
      </c>
      <c r="E10" s="10" t="str">
        <f t="shared" ca="1" si="2"/>
        <v>0503 3828843.44915306EUSft 1536946.07958582NUSft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DSS1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3828847.4182595029</v>
      </c>
      <c r="C11" s="33">
        <f ca="1">IF(ISNUMBER(A11),CONVERT(Calculations!U27,Units_In,Units_Out),"")</f>
        <v>1536942.4325483029</v>
      </c>
      <c r="D11" s="33" t="str">
        <f>IF(ISTEXT(Calculations!F27),Calculations!F27,"")</f>
        <v/>
      </c>
      <c r="E11" s="10" t="str">
        <f t="shared" ca="1" si="2"/>
        <v>0503 3828847.4182595EUSft 1536942.4325483NUSft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DSS1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3828856.4140942902</v>
      </c>
      <c r="C12" s="33">
        <f ca="1">IF(ISNUMBER(A12),CONVERT(Calculations!U28,Units_In,Units_Out),"")</f>
        <v>1536939.4304724534</v>
      </c>
      <c r="D12" s="33" t="str">
        <f>IF(ISTEXT(Calculations!F28),Calculations!F28,"")</f>
        <v/>
      </c>
      <c r="E12" s="10" t="str">
        <f t="shared" ca="1" si="2"/>
        <v>0503 3828856.41409429EUSft 1536939.43047245NUSft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DSS1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3828861.294424233</v>
      </c>
      <c r="C13" s="33">
        <f ca="1">IF(ISNUMBER(A13),CONVERT(Calculations!U29,Units_In,Units_Out),"")</f>
        <v>1536936.5075882256</v>
      </c>
      <c r="D13" s="33" t="str">
        <f>IF(ISTEXT(Calculations!F29),Calculations!F29,"")</f>
        <v/>
      </c>
      <c r="E13" s="10" t="str">
        <f t="shared" ca="1" si="2"/>
        <v>0503 3828861.29442423EUSft 1536936.50758823NUSft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DSS1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3828862.8486193786</v>
      </c>
      <c r="C14" s="33">
        <f ca="1">IF(ISNUMBER(A14),CONVERT(Calculations!U30,Units_In,Units_Out),"")</f>
        <v>1536936.1911686033</v>
      </c>
      <c r="D14" s="33" t="str">
        <f>IF(ISTEXT(Calculations!F30),Calculations!F30,"")</f>
        <v>WS</v>
      </c>
      <c r="E14" s="10" t="str">
        <f t="shared" ca="1" si="2"/>
        <v>0503 3828862.84861938EUSft 1536936.1911686NUSft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DSS1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3828867.0578364325</v>
      </c>
      <c r="C15" s="33">
        <f ca="1">IF(ISNUMBER(A15),CONVERT(Calculations!U31,Units_In,Units_Out),"")</f>
        <v>1536934.5488043842</v>
      </c>
      <c r="D15" s="33" t="str">
        <f>IF(ISTEXT(Calculations!F31),Calculations!F31,"")</f>
        <v/>
      </c>
      <c r="E15" s="10" t="str">
        <f t="shared" ca="1" si="2"/>
        <v>0503 3828867.05783643EUSft 1536934.54880438NUSft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DSS1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3828879.9466147968</v>
      </c>
      <c r="C16" s="33">
        <f ca="1">IF(ISNUMBER(A16),CONVERT(Calculations!U32,Units_In,Units_Out),"")</f>
        <v>1536928.2905339189</v>
      </c>
      <c r="D16" s="33" t="str">
        <f>IF(ISTEXT(Calculations!F32),Calculations!F32,"")</f>
        <v/>
      </c>
      <c r="E16" s="10" t="str">
        <f t="shared" ca="1" si="2"/>
        <v>0503 3828879.9466148EUSft 1536928.29053392NUSft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DSS1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3828889.8389464514</v>
      </c>
      <c r="C17" s="33">
        <f ca="1">IF(ISNUMBER(A17),CONVERT(Calculations!U33,Units_In,Units_Out),"")</f>
        <v>1536924.7959489261</v>
      </c>
      <c r="D17" s="33" t="str">
        <f>IF(ISTEXT(Calculations!F33),Calculations!F33,"")</f>
        <v/>
      </c>
      <c r="E17" s="10" t="str">
        <f t="shared" ca="1" si="2"/>
        <v>0503 3828889.83894645EUSft 1536924.79594893NUSft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DSS1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3828892.2691295543</v>
      </c>
      <c r="C18" s="33">
        <f ca="1">IF(ISNUMBER(A18),CONVERT(Calculations!U34,Units_In,Units_Out),"")</f>
        <v>1536923.2698479004</v>
      </c>
      <c r="D18" s="33" t="str">
        <f>IF(ISTEXT(Calculations!F34),Calculations!F34,"")</f>
        <v>WS</v>
      </c>
      <c r="E18" s="10" t="str">
        <f t="shared" ca="1" si="2"/>
        <v>0503 3828892.26912955EUSft 1536923.2698479NUSft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DSS1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3828904.3303245525</v>
      </c>
      <c r="C19" s="33">
        <f ca="1">IF(ISNUMBER(A19),CONVERT(Calculations!U35,Units_In,Units_Out),"")</f>
        <v>1536931.4714309394</v>
      </c>
      <c r="D19" s="33" t="str">
        <f>IF(ISTEXT(Calculations!F35),Calculations!F35,"")</f>
        <v/>
      </c>
      <c r="E19" s="10" t="str">
        <f t="shared" ca="1" si="2"/>
        <v>0503 3828904.33032455EUSft 1536931.47143094NUSft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DSS1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3828908.4400762846</v>
      </c>
      <c r="C20" s="33">
        <f ca="1">IF(ISNUMBER(A20),CONVERT(Calculations!U36,Units_In,Units_Out),"")</f>
        <v>1536929.5786296569</v>
      </c>
      <c r="D20" s="33" t="str">
        <f>IF(ISTEXT(Calculations!F36),Calculations!F36,"")</f>
        <v/>
      </c>
      <c r="E20" s="10" t="str">
        <f t="shared" ca="1" si="2"/>
        <v>0503 3828908.44007628EUSft 1536929.57862966NUSft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DSS1</v>
      </c>
    </row>
    <row r="21" spans="1:8" x14ac:dyDescent="0.25">
      <c r="A21" s="10">
        <f>IF(ISNUMBER(Calculations!A37),Calculations!A37,"")</f>
        <v>17</v>
      </c>
      <c r="B21" s="33">
        <f ca="1">IF(ISNUMBER(A21),CONVERT(Calculations!T37,Units_In,Units_Out),"")</f>
        <v>3828915.5116716065</v>
      </c>
      <c r="C21" s="33">
        <f ca="1">IF(ISNUMBER(A21),CONVERT(Calculations!U37,Units_In,Units_Out),"")</f>
        <v>1536924.0757205659</v>
      </c>
      <c r="D21" s="33" t="str">
        <f>IF(ISTEXT(Calculations!F37),Calculations!F37,"")</f>
        <v/>
      </c>
      <c r="E21" s="10" t="str">
        <f t="shared" ca="1" si="2"/>
        <v>0503 3828915.51167161EUSft 1536924.07572057NUSft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DSS1</v>
      </c>
    </row>
    <row r="22" spans="1:8" x14ac:dyDescent="0.25">
      <c r="A22" s="10">
        <f>IF(ISNUMBER(Calculations!A38),Calculations!A38,"")</f>
        <v>18</v>
      </c>
      <c r="B22" s="33">
        <f ca="1">IF(ISNUMBER(A22),CONVERT(Calculations!T38,Units_In,Units_Out),"")</f>
        <v>3828865.6544193854</v>
      </c>
      <c r="C22" s="33">
        <f ca="1">IF(ISNUMBER(A22),CONVERT(Calculations!U38,Units_In,Units_Out),"")</f>
        <v>1536996.7090699924</v>
      </c>
      <c r="D22" s="33" t="str">
        <f>IF(ISTEXT(Calculations!F38),Calculations!F38,"")</f>
        <v>PT2</v>
      </c>
      <c r="E22" s="10" t="str">
        <f t="shared" ca="1" si="2"/>
        <v>0503 3828865.65441939EUSft 1536996.70906999NUSft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DSS1</v>
      </c>
    </row>
    <row r="23" spans="1:8" x14ac:dyDescent="0.25">
      <c r="A23" s="10">
        <f>IF(ISNUMBER(Calculations!A39),Calculations!A39,"")</f>
        <v>19</v>
      </c>
      <c r="B23" s="33">
        <f ca="1">IF(ISNUMBER(A23),CONVERT(Calculations!T39,Units_In,Units_Out),"")</f>
        <v>3828733.9790427121</v>
      </c>
      <c r="C23" s="33">
        <f ca="1">IF(ISNUMBER(A23),CONVERT(Calculations!U39,Units_In,Units_Out),"")</f>
        <v>1536931.9355875384</v>
      </c>
      <c r="D23" s="33" t="str">
        <f>IF(ISTEXT(Calculations!F39),Calculations!F39,"")</f>
        <v>PT1</v>
      </c>
      <c r="E23" s="10" t="str">
        <f t="shared" ca="1" si="2"/>
        <v>0503 3828733.97904271EUSft 1536931.93558754NUSft</v>
      </c>
      <c r="F23" s="34">
        <f t="shared" si="3"/>
        <v>94</v>
      </c>
      <c r="G23" s="10" t="str">
        <f t="shared" si="1"/>
        <v>Yellow</v>
      </c>
      <c r="H23" s="10" t="str">
        <f>IF(ISNUMBER(A23),Calculations!$A$1,"")</f>
        <v>DSS1</v>
      </c>
    </row>
    <row r="24" spans="1:8" x14ac:dyDescent="0.25">
      <c r="A24" s="10" t="str">
        <f>IF(ISNUMBER(Calculations!#REF!),Calculations!#REF!,"")</f>
        <v/>
      </c>
      <c r="B24" s="33" t="str">
        <f>IF(ISNUMBER(A24),CONVERT(Calculations!#REF!,Units_In,Units_Out),"")</f>
        <v/>
      </c>
      <c r="C24" s="33" t="str">
        <f>IF(ISNUMBER(A24),CONVERT(Calculations!#REF!,Units_In,Units_Out),"")</f>
        <v/>
      </c>
      <c r="D24" s="33" t="str">
        <f>IF(ISTEXT(Calculations!#REF!),Calculations!#REF!,"")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IF(ISNUMBER(Calculations!#REF!),Calculations!#REF!,"")</f>
        <v/>
      </c>
      <c r="B25" s="33" t="str">
        <f>IF(ISNUMBER(A25),CONVERT(Calculations!#REF!,Units_In,Units_Out),"")</f>
        <v/>
      </c>
      <c r="C25" s="33" t="str">
        <f>IF(ISNUMBER(A25),CONVERT(Calculations!#REF!,Units_In,Units_Out),"")</f>
        <v/>
      </c>
      <c r="D25" s="33" t="str">
        <f>IF(ISTEXT(Calculations!#REF!),Calculations!#REF!,"")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IF(ISNUMBER(Calculations!#REF!),Calculations!#REF!,"")</f>
        <v/>
      </c>
      <c r="B26" s="33" t="str">
        <f>IF(ISNUMBER(A26),CONVERT(Calculations!#REF!,Units_In,Units_Out),"")</f>
        <v/>
      </c>
      <c r="C26" s="33" t="str">
        <f>IF(ISNUMBER(A26),CONVERT(Calculations!#REF!,Units_In,Units_Out),"")</f>
        <v/>
      </c>
      <c r="D26" s="33" t="str">
        <f>IF(ISTEXT(Calculations!#REF!),Calculations!#REF!,"")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IF(ISNUMBER(Calculations!#REF!),Calculations!#REF!,"")</f>
        <v/>
      </c>
      <c r="B27" s="33" t="str">
        <f>IF(ISNUMBER(A27),CONVERT(Calculations!#REF!,Units_In,Units_Out),"")</f>
        <v/>
      </c>
      <c r="C27" s="33" t="str">
        <f>IF(ISNUMBER(A27),CONVERT(Calculations!#REF!,Units_In,Units_Out),"")</f>
        <v/>
      </c>
      <c r="D27" s="33" t="str">
        <f>IF(ISTEXT(Calculations!#REF!),Calculations!#REF!,"")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IF(ISNUMBER(Calculations!#REF!),Calculations!#REF!,"")</f>
        <v/>
      </c>
      <c r="B28" s="33" t="str">
        <f>IF(ISNUMBER(A28),CONVERT(Calculations!#REF!,Units_In,Units_Out),"")</f>
        <v/>
      </c>
      <c r="C28" s="33" t="str">
        <f>IF(ISNUMBER(A28),CONVERT(Calculations!#REF!,Units_In,Units_Out),"")</f>
        <v/>
      </c>
      <c r="D28" s="33" t="str">
        <f>IF(ISTEXT(Calculations!#REF!),Calculations!#REF!,"")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IF(ISNUMBER(Calculations!#REF!),Calculations!#REF!,"")</f>
        <v/>
      </c>
      <c r="B29" s="33" t="str">
        <f>IF(ISNUMBER(A29),CONVERT(Calculations!#REF!,Units_In,Units_Out),"")</f>
        <v/>
      </c>
      <c r="C29" s="33" t="str">
        <f>IF(ISNUMBER(A29),CONVERT(Calculations!#REF!,Units_In,Units_Out),"")</f>
        <v/>
      </c>
      <c r="D29" s="33" t="str">
        <f>IF(ISTEXT(Calculations!#REF!),Calculations!#REF!,"")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IF(ISNUMBER(Calculations!#REF!),Calculations!#REF!,"")</f>
        <v/>
      </c>
      <c r="B30" s="33" t="str">
        <f>IF(ISNUMBER(A30),CONVERT(Calculations!#REF!,Units_In,Units_Out),"")</f>
        <v/>
      </c>
      <c r="C30" s="33" t="str">
        <f>IF(ISNUMBER(A30),CONVERT(Calculations!#REF!,Units_In,Units_Out),"")</f>
        <v/>
      </c>
      <c r="D30" s="33" t="str">
        <f>IF(ISTEXT(Calculations!#REF!),Calculations!#REF!,"")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IF(ISNUMBER(Calculations!A40),Calculations!A40,"")</f>
        <v/>
      </c>
      <c r="B31" s="33" t="str">
        <f>IF(ISNUMBER(A31),CONVERT(Calculations!T40,Units_In,Units_Out),"")</f>
        <v/>
      </c>
      <c r="C31" s="33" t="str">
        <f>IF(ISNUMBER(A31),CONVERT(Calculations!U40,Units_In,Units_Out),"")</f>
        <v/>
      </c>
      <c r="D31" s="33" t="str">
        <f>IF(ISTEXT(Calculations!F40),Calculations!F40,"")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IF(ISNUMBER(Calculations!A41),Calculations!A41,"")</f>
        <v/>
      </c>
      <c r="B32" s="33" t="str">
        <f>IF(ISNUMBER(A32),CONVERT(Calculations!T41,Units_In,Units_Out),"")</f>
        <v/>
      </c>
      <c r="C32" s="33" t="str">
        <f>IF(ISNUMBER(A32),CONVERT(Calculations!U41,Units_In,Units_Out),"")</f>
        <v/>
      </c>
      <c r="D32" s="33" t="str">
        <f>IF(ISTEXT(Calculations!F41),Calculations!F41,"")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IF(ISNUMBER(Calculations!A42),Calculations!A42,"")</f>
        <v/>
      </c>
      <c r="B33" s="33" t="str">
        <f>IF(ISNUMBER(A33),CONVERT(Calculations!T42,Units_In,Units_Out),"")</f>
        <v/>
      </c>
      <c r="C33" s="33" t="str">
        <f>IF(ISNUMBER(A33),CONVERT(Calculations!U42,Units_In,Units_Out),"")</f>
        <v/>
      </c>
      <c r="D33" s="33" t="str">
        <f>IF(ISTEXT(Calculations!F42),Calculations!F42,"")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IF(ISNUMBER(Calculations!A43),Calculations!A43,"")</f>
        <v/>
      </c>
      <c r="B34" s="33" t="str">
        <f>IF(ISNUMBER(A34),CONVERT(Calculations!T43,Units_In,Units_Out),"")</f>
        <v/>
      </c>
      <c r="C34" s="33" t="str">
        <f>IF(ISNUMBER(A34),CONVERT(Calculations!U43,Units_In,Units_Out),"")</f>
        <v/>
      </c>
      <c r="D34" s="33" t="str">
        <f>IF(ISTEXT(Calculations!F43),Calculations!F43,"")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IF(ISNUMBER(Calculations!A44),Calculations!A44,"")</f>
        <v/>
      </c>
      <c r="B35" s="33" t="str">
        <f>IF(ISNUMBER(A35),CONVERT(Calculations!T44,Units_In,Units_Out),"")</f>
        <v/>
      </c>
      <c r="C35" s="33" t="str">
        <f>IF(ISNUMBER(A35),CONVERT(Calculations!U44,Units_In,Units_Out),"")</f>
        <v/>
      </c>
      <c r="D35" s="33" t="str">
        <f>IF(ISTEXT(Calculations!F44),Calculations!F44,"")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IF(ISNUMBER(Calculations!A45),Calculations!A45,"")</f>
        <v/>
      </c>
      <c r="B36" s="33" t="str">
        <f>IF(ISNUMBER(A36),CONVERT(Calculations!U45,Units_In,Units_Out),"")</f>
        <v/>
      </c>
      <c r="C36" s="33" t="str">
        <f>IF(ISNUMBER(A36),CONVERT(Calculations!V45,Units_In,Units_Out),"")</f>
        <v/>
      </c>
      <c r="D36" s="33" t="str">
        <f>IF(ISTEXT(Calculations!F45),Calculations!F45,"")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IF(ISNUMBER(Calculations!A46),Calculations!A46,"")</f>
        <v/>
      </c>
      <c r="B37" s="33" t="str">
        <f>IF(ISNUMBER(A37),CONVERT(Calculations!U46,Units_In,Units_Out),"")</f>
        <v/>
      </c>
      <c r="C37" s="33" t="str">
        <f>IF(ISNUMBER(A37),CONVERT(Calculations!V46,Units_In,Units_Out),"")</f>
        <v/>
      </c>
      <c r="D37" s="33" t="str">
        <f>IF(ISTEXT(Calculations!F46),Calculations!F46,"")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kmorse</cp:lastModifiedBy>
  <dcterms:created xsi:type="dcterms:W3CDTF">2011-11-09T05:33:48Z</dcterms:created>
  <dcterms:modified xsi:type="dcterms:W3CDTF">2013-09-16T18:44:14Z</dcterms:modified>
</cp:coreProperties>
</file>