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4385" yWindow="-15" windowWidth="14430" windowHeight="15180"/>
  </bookViews>
  <sheets>
    <sheet name="Calculations" sheetId="1" r:id="rId1"/>
    <sheet name="GoogleEarth" sheetId="2" r:id="rId2"/>
    <sheet name="Sheet1" sheetId="3" r:id="rId3"/>
  </sheets>
  <definedNames>
    <definedName name="bA">Calculations!$AC$4</definedName>
    <definedName name="CS_End">Calculations!$C$7</definedName>
    <definedName name="CS_Start">Calculations!$C$6</definedName>
    <definedName name="DfromL">Calculations!$AB$21:$AB$50</definedName>
    <definedName name="dZ">Calculations!$X$11</definedName>
    <definedName name="HI">Calculations!$C$2</definedName>
    <definedName name="mA">Calculations!$AC$3</definedName>
    <definedName name="mB">Calculations!$AC$6</definedName>
    <definedName name="Min_Z">Calculations!$X$13</definedName>
    <definedName name="Old_X0">Calculations!$N$4</definedName>
    <definedName name="Old_X1">Calculations!$N$5</definedName>
    <definedName name="Old_X2">Calculations!$N$6</definedName>
    <definedName name="Old_Y0">Calculations!$O$4</definedName>
    <definedName name="Old_Y1">Calculations!$O$5</definedName>
    <definedName name="Old_Y2">Calculations!$O$6</definedName>
    <definedName name="Old_Z0">Calculations!$P$4</definedName>
    <definedName name="Old_Z1">Calculations!$P$5</definedName>
    <definedName name="Old_Z2">Calculations!$P$6</definedName>
    <definedName name="solver_adj" localSheetId="0" hidden="1">Calculations!#REF!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Calculations!#REF!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nits_In">Calculations!$C$3</definedName>
    <definedName name="Units_Out">Calculations!$C$4</definedName>
    <definedName name="xB">Calculations!$X$21:$X$66</definedName>
    <definedName name="yB">Calculations!$Y$21:$Y$66</definedName>
    <definedName name="Zs">Calculations!$W$21:$W$49</definedName>
  </definedNames>
  <calcPr calcId="145621"/>
</workbook>
</file>

<file path=xl/calcChain.xml><?xml version="1.0" encoding="utf-8"?>
<calcChain xmlns="http://schemas.openxmlformats.org/spreadsheetml/2006/main">
  <c r="X45" i="1" l="1"/>
  <c r="Y45" i="1" s="1"/>
  <c r="I45" i="1"/>
  <c r="J45" i="1" s="1"/>
  <c r="G45" i="1"/>
  <c r="H45" i="1" s="1"/>
  <c r="I44" i="1"/>
  <c r="N44" i="1" s="1"/>
  <c r="G44" i="1"/>
  <c r="H44" i="1" s="1"/>
  <c r="K44" i="1" s="1"/>
  <c r="I43" i="1"/>
  <c r="J43" i="1" s="1"/>
  <c r="G43" i="1"/>
  <c r="H43" i="1" s="1"/>
  <c r="L43" i="1" s="1"/>
  <c r="I42" i="1"/>
  <c r="N42" i="1" s="1"/>
  <c r="G42" i="1"/>
  <c r="H42" i="1" s="1"/>
  <c r="J44" i="1" l="1"/>
  <c r="K42" i="1"/>
  <c r="L42" i="1"/>
  <c r="J42" i="1"/>
  <c r="N43" i="1"/>
  <c r="K43" i="1"/>
  <c r="L45" i="1"/>
  <c r="K45" i="1"/>
  <c r="L44" i="1"/>
  <c r="N45" i="1"/>
  <c r="Z45" i="1"/>
  <c r="AB45" i="1"/>
  <c r="AD45" i="1"/>
  <c r="AF45" i="1" s="1"/>
  <c r="I41" i="1"/>
  <c r="J41" i="1" s="1"/>
  <c r="G41" i="1"/>
  <c r="H41" i="1" s="1"/>
  <c r="I40" i="1"/>
  <c r="J40" i="1" s="1"/>
  <c r="G40" i="1"/>
  <c r="H40" i="1" s="1"/>
  <c r="I39" i="1"/>
  <c r="J39" i="1" s="1"/>
  <c r="G39" i="1"/>
  <c r="H39" i="1" s="1"/>
  <c r="I38" i="1"/>
  <c r="J38" i="1" s="1"/>
  <c r="G38" i="1"/>
  <c r="H38" i="1" s="1"/>
  <c r="AC45" i="1" l="1"/>
  <c r="AE45" i="1" s="1"/>
  <c r="AA45" i="1"/>
  <c r="L41" i="1"/>
  <c r="K41" i="1"/>
  <c r="N41" i="1"/>
  <c r="L40" i="1"/>
  <c r="K40" i="1"/>
  <c r="N40" i="1"/>
  <c r="L39" i="1"/>
  <c r="K39" i="1"/>
  <c r="N39" i="1"/>
  <c r="L38" i="1"/>
  <c r="K38" i="1"/>
  <c r="N38" i="1"/>
  <c r="G36" i="1"/>
  <c r="H36" i="1" s="1"/>
  <c r="I36" i="1"/>
  <c r="J36" i="1" s="1"/>
  <c r="N36" i="1"/>
  <c r="G37" i="1"/>
  <c r="H37" i="1" s="1"/>
  <c r="I37" i="1"/>
  <c r="J37" i="1" s="1"/>
  <c r="K37" i="1" l="1"/>
  <c r="L37" i="1"/>
  <c r="N37" i="1"/>
  <c r="K36" i="1"/>
  <c r="L36" i="1"/>
  <c r="X22" i="1"/>
  <c r="Z22" i="1" s="1"/>
  <c r="X21" i="1"/>
  <c r="Z21" i="1" s="1"/>
  <c r="G34" i="1"/>
  <c r="H34" i="1" s="1"/>
  <c r="I34" i="1"/>
  <c r="J34" i="1" s="1"/>
  <c r="G35" i="1"/>
  <c r="H35" i="1" s="1"/>
  <c r="K35" i="1" s="1"/>
  <c r="I35" i="1"/>
  <c r="J35" i="1" s="1"/>
  <c r="N35" i="1" l="1"/>
  <c r="Y22" i="1"/>
  <c r="Y21" i="1"/>
  <c r="K34" i="1"/>
  <c r="L34" i="1"/>
  <c r="L35" i="1"/>
  <c r="N34" i="1"/>
  <c r="P5" i="1" l="1"/>
  <c r="P6" i="1"/>
  <c r="P4" i="1"/>
  <c r="O5" i="1"/>
  <c r="O6" i="1"/>
  <c r="O4" i="1"/>
  <c r="N5" i="1"/>
  <c r="N6" i="1"/>
  <c r="N4" i="1"/>
  <c r="V43" i="1" l="1"/>
  <c r="V42" i="1"/>
  <c r="V44" i="1"/>
  <c r="V45" i="1"/>
  <c r="V39" i="1"/>
  <c r="V38" i="1"/>
  <c r="V40" i="1"/>
  <c r="V41" i="1"/>
  <c r="V36" i="1"/>
  <c r="V37" i="1"/>
  <c r="V34" i="1"/>
  <c r="V35" i="1"/>
  <c r="Q5" i="1"/>
  <c r="Q6" i="1"/>
  <c r="P10" i="1" l="1"/>
  <c r="R10" i="1"/>
  <c r="G22" i="1"/>
  <c r="H22" i="1" s="1"/>
  <c r="G23" i="1"/>
  <c r="G24" i="1"/>
  <c r="H24" i="1" s="1"/>
  <c r="L24" i="1" s="1"/>
  <c r="V24" i="1" s="1"/>
  <c r="G25" i="1"/>
  <c r="H25" i="1" s="1"/>
  <c r="L25" i="1" s="1"/>
  <c r="V25" i="1" s="1"/>
  <c r="G26" i="1"/>
  <c r="H26" i="1" s="1"/>
  <c r="L26" i="1" s="1"/>
  <c r="V26" i="1" s="1"/>
  <c r="G27" i="1"/>
  <c r="H27" i="1" s="1"/>
  <c r="L27" i="1" s="1"/>
  <c r="V27" i="1" s="1"/>
  <c r="G28" i="1"/>
  <c r="H28" i="1" s="1"/>
  <c r="K28" i="1" s="1"/>
  <c r="G29" i="1"/>
  <c r="H29" i="1" s="1"/>
  <c r="L29" i="1" s="1"/>
  <c r="V29" i="1" s="1"/>
  <c r="G30" i="1"/>
  <c r="H30" i="1" s="1"/>
  <c r="K30" i="1" s="1"/>
  <c r="G31" i="1"/>
  <c r="H31" i="1" s="1"/>
  <c r="G32" i="1"/>
  <c r="H32" i="1" s="1"/>
  <c r="G33" i="1"/>
  <c r="H33" i="1" s="1"/>
  <c r="G21" i="1"/>
  <c r="H21" i="1" s="1"/>
  <c r="H23" i="1"/>
  <c r="K23" i="1" s="1"/>
  <c r="I22" i="1"/>
  <c r="I23" i="1"/>
  <c r="I24" i="1"/>
  <c r="I25" i="1"/>
  <c r="I26" i="1"/>
  <c r="I27" i="1"/>
  <c r="I28" i="1"/>
  <c r="I29" i="1"/>
  <c r="J29" i="1" s="1"/>
  <c r="I30" i="1"/>
  <c r="I31" i="1"/>
  <c r="I32" i="1"/>
  <c r="I33" i="1"/>
  <c r="I21" i="1"/>
  <c r="K29" i="1" l="1"/>
  <c r="L32" i="1"/>
  <c r="V32" i="1" s="1"/>
  <c r="K32" i="1"/>
  <c r="K31" i="1"/>
  <c r="L31" i="1"/>
  <c r="V31" i="1" s="1"/>
  <c r="K24" i="1"/>
  <c r="L23" i="1"/>
  <c r="V23" i="1" s="1"/>
  <c r="K22" i="1"/>
  <c r="L22" i="1"/>
  <c r="V22" i="1" s="1"/>
  <c r="L33" i="1"/>
  <c r="V33" i="1" s="1"/>
  <c r="K33" i="1"/>
  <c r="L21" i="1"/>
  <c r="V21" i="1" s="1"/>
  <c r="K21" i="1"/>
  <c r="K25" i="1"/>
  <c r="L28" i="1"/>
  <c r="V28" i="1" s="1"/>
  <c r="K27" i="1"/>
  <c r="L30" i="1"/>
  <c r="V30" i="1" s="1"/>
  <c r="K26" i="1"/>
  <c r="J33" i="1"/>
  <c r="N33" i="1"/>
  <c r="N25" i="1"/>
  <c r="N21" i="1"/>
  <c r="N28" i="1"/>
  <c r="N27" i="1"/>
  <c r="N26" i="1"/>
  <c r="J24" i="1"/>
  <c r="N29" i="1"/>
  <c r="J32" i="1"/>
  <c r="J28" i="1"/>
  <c r="N32" i="1"/>
  <c r="R12" i="1" s="1"/>
  <c r="N24" i="1"/>
  <c r="J27" i="1"/>
  <c r="N31" i="1"/>
  <c r="N23" i="1"/>
  <c r="J25" i="1"/>
  <c r="N30" i="1"/>
  <c r="N22" i="1"/>
  <c r="R11" i="1" s="1"/>
  <c r="J26" i="1"/>
  <c r="J31" i="1"/>
  <c r="J23" i="1"/>
  <c r="J30" i="1"/>
  <c r="J22" i="1"/>
  <c r="J21" i="1"/>
  <c r="P12" i="1" l="1"/>
  <c r="P15" i="1" s="1"/>
  <c r="Y6" i="1"/>
  <c r="X6" i="1"/>
  <c r="P11" i="1"/>
  <c r="R15" i="1"/>
  <c r="P14" i="1" l="1"/>
  <c r="R14" i="1"/>
  <c r="H3" i="2"/>
  <c r="H4" i="2"/>
  <c r="H2" i="2"/>
  <c r="O17" i="1" l="1"/>
  <c r="G3" i="2"/>
  <c r="G4" i="2"/>
  <c r="G2" i="2"/>
  <c r="A3" i="2"/>
  <c r="A4" i="2"/>
  <c r="A2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5" i="2"/>
  <c r="B2" i="2"/>
  <c r="B3" i="2"/>
  <c r="B4" i="2"/>
  <c r="C2" i="2"/>
  <c r="C3" i="2"/>
  <c r="C4" i="2"/>
  <c r="A38" i="2"/>
  <c r="F38" i="2" s="1"/>
  <c r="G38" i="2" s="1"/>
  <c r="A39" i="2"/>
  <c r="A40" i="2"/>
  <c r="F40" i="2" s="1"/>
  <c r="G40" i="2" s="1"/>
  <c r="A41" i="2"/>
  <c r="A42" i="2"/>
  <c r="F42" i="2" s="1"/>
  <c r="G42" i="2" s="1"/>
  <c r="A43" i="2"/>
  <c r="A44" i="2"/>
  <c r="F44" i="2" s="1"/>
  <c r="G44" i="2" s="1"/>
  <c r="A45" i="2"/>
  <c r="A46" i="2"/>
  <c r="F46" i="2" s="1"/>
  <c r="G46" i="2" s="1"/>
  <c r="A47" i="2"/>
  <c r="A48" i="2"/>
  <c r="F48" i="2" s="1"/>
  <c r="G48" i="2" s="1"/>
  <c r="A49" i="2"/>
  <c r="A50" i="2"/>
  <c r="F50" i="2" s="1"/>
  <c r="G50" i="2" s="1"/>
  <c r="A51" i="2"/>
  <c r="A52" i="2"/>
  <c r="F52" i="2" s="1"/>
  <c r="G52" i="2" s="1"/>
  <c r="A53" i="2"/>
  <c r="A54" i="2"/>
  <c r="F54" i="2" s="1"/>
  <c r="G54" i="2" s="1"/>
  <c r="A55" i="2"/>
  <c r="A56" i="2"/>
  <c r="F56" i="2" s="1"/>
  <c r="G56" i="2" s="1"/>
  <c r="A57" i="2"/>
  <c r="A58" i="2"/>
  <c r="F58" i="2" s="1"/>
  <c r="G58" i="2" s="1"/>
  <c r="A59" i="2"/>
  <c r="A60" i="2"/>
  <c r="F60" i="2" s="1"/>
  <c r="G60" i="2" s="1"/>
  <c r="A61" i="2"/>
  <c r="A62" i="2"/>
  <c r="F62" i="2" s="1"/>
  <c r="G62" i="2" s="1"/>
  <c r="A63" i="2"/>
  <c r="A64" i="2"/>
  <c r="F64" i="2" s="1"/>
  <c r="G64" i="2" s="1"/>
  <c r="A65" i="2"/>
  <c r="A6" i="2"/>
  <c r="H6" i="2" s="1"/>
  <c r="A7" i="2"/>
  <c r="H7" i="2" s="1"/>
  <c r="A8" i="2"/>
  <c r="H8" i="2" s="1"/>
  <c r="A9" i="2"/>
  <c r="H9" i="2" s="1"/>
  <c r="A10" i="2"/>
  <c r="H10" i="2" s="1"/>
  <c r="A11" i="2"/>
  <c r="H11" i="2" s="1"/>
  <c r="A12" i="2"/>
  <c r="H12" i="2" s="1"/>
  <c r="A13" i="2"/>
  <c r="H13" i="2" s="1"/>
  <c r="A14" i="2"/>
  <c r="H14" i="2" s="1"/>
  <c r="A15" i="2"/>
  <c r="H15" i="2" s="1"/>
  <c r="A16" i="2"/>
  <c r="H16" i="2" s="1"/>
  <c r="A17" i="2"/>
  <c r="H17" i="2" s="1"/>
  <c r="A18" i="2"/>
  <c r="H18" i="2" s="1"/>
  <c r="A19" i="2"/>
  <c r="H19" i="2" s="1"/>
  <c r="A20" i="2"/>
  <c r="H20" i="2" s="1"/>
  <c r="A21" i="2"/>
  <c r="H21" i="2" s="1"/>
  <c r="A22" i="2"/>
  <c r="H22" i="2" s="1"/>
  <c r="A23" i="2"/>
  <c r="H23" i="2" s="1"/>
  <c r="A24" i="2"/>
  <c r="H24" i="2" s="1"/>
  <c r="A25" i="2"/>
  <c r="H25" i="2" s="1"/>
  <c r="A26" i="2"/>
  <c r="H26" i="2" s="1"/>
  <c r="A27" i="2"/>
  <c r="H27" i="2" s="1"/>
  <c r="A28" i="2"/>
  <c r="H28" i="2" s="1"/>
  <c r="A29" i="2"/>
  <c r="H29" i="2" s="1"/>
  <c r="A30" i="2"/>
  <c r="H30" i="2" s="1"/>
  <c r="A31" i="2"/>
  <c r="H31" i="2" s="1"/>
  <c r="A32" i="2"/>
  <c r="H32" i="2" s="1"/>
  <c r="A33" i="2"/>
  <c r="H33" i="2" s="1"/>
  <c r="A34" i="2"/>
  <c r="H34" i="2" s="1"/>
  <c r="A35" i="2"/>
  <c r="H35" i="2" s="1"/>
  <c r="A36" i="2"/>
  <c r="F36" i="2" s="1"/>
  <c r="G36" i="2" s="1"/>
  <c r="A37" i="2"/>
  <c r="A5" i="2"/>
  <c r="H5" i="2" s="1"/>
  <c r="O45" i="1" l="1"/>
  <c r="P45" i="1" s="1"/>
  <c r="Q45" i="1" s="1"/>
  <c r="O43" i="1"/>
  <c r="P43" i="1" s="1"/>
  <c r="Q43" i="1" s="1"/>
  <c r="O44" i="1"/>
  <c r="P44" i="1" s="1"/>
  <c r="Q44" i="1" s="1"/>
  <c r="O42" i="1"/>
  <c r="P42" i="1" s="1"/>
  <c r="Q42" i="1" s="1"/>
  <c r="O40" i="1"/>
  <c r="P40" i="1" s="1"/>
  <c r="Q40" i="1" s="1"/>
  <c r="S40" i="1" s="1"/>
  <c r="U40" i="1" s="1"/>
  <c r="O41" i="1"/>
  <c r="P41" i="1" s="1"/>
  <c r="Q41" i="1" s="1"/>
  <c r="O38" i="1"/>
  <c r="P38" i="1" s="1"/>
  <c r="Q38" i="1" s="1"/>
  <c r="R38" i="1" s="1"/>
  <c r="T38" i="1" s="1"/>
  <c r="O39" i="1"/>
  <c r="P39" i="1" s="1"/>
  <c r="Q39" i="1" s="1"/>
  <c r="O37" i="1"/>
  <c r="P37" i="1" s="1"/>
  <c r="Q37" i="1" s="1"/>
  <c r="O36" i="1"/>
  <c r="P36" i="1" s="1"/>
  <c r="Q36" i="1" s="1"/>
  <c r="O35" i="1"/>
  <c r="P35" i="1" s="1"/>
  <c r="Q35" i="1" s="1"/>
  <c r="O34" i="1"/>
  <c r="P34" i="1" s="1"/>
  <c r="Q34" i="1" s="1"/>
  <c r="E4" i="2"/>
  <c r="E2" i="2"/>
  <c r="E3" i="2"/>
  <c r="F32" i="2"/>
  <c r="G32" i="2" s="1"/>
  <c r="F28" i="2"/>
  <c r="G28" i="2" s="1"/>
  <c r="F24" i="2"/>
  <c r="G24" i="2" s="1"/>
  <c r="F20" i="2"/>
  <c r="G20" i="2" s="1"/>
  <c r="F16" i="2"/>
  <c r="G16" i="2" s="1"/>
  <c r="F12" i="2"/>
  <c r="G12" i="2" s="1"/>
  <c r="F8" i="2"/>
  <c r="G8" i="2" s="1"/>
  <c r="F5" i="2"/>
  <c r="G5" i="2" s="1"/>
  <c r="F34" i="2"/>
  <c r="G34" i="2" s="1"/>
  <c r="F30" i="2"/>
  <c r="G30" i="2" s="1"/>
  <c r="F26" i="2"/>
  <c r="G26" i="2" s="1"/>
  <c r="F22" i="2"/>
  <c r="G22" i="2" s="1"/>
  <c r="F18" i="2"/>
  <c r="G18" i="2" s="1"/>
  <c r="F14" i="2"/>
  <c r="G14" i="2" s="1"/>
  <c r="F10" i="2"/>
  <c r="G10" i="2" s="1"/>
  <c r="F6" i="2"/>
  <c r="G6" i="2" s="1"/>
  <c r="B37" i="2"/>
  <c r="H37" i="2"/>
  <c r="C37" i="2"/>
  <c r="E65" i="2"/>
  <c r="B65" i="2"/>
  <c r="H65" i="2"/>
  <c r="C65" i="2"/>
  <c r="E63" i="2"/>
  <c r="B63" i="2"/>
  <c r="H63" i="2"/>
  <c r="C63" i="2"/>
  <c r="E61" i="2"/>
  <c r="B61" i="2"/>
  <c r="H61" i="2"/>
  <c r="C61" i="2"/>
  <c r="E59" i="2"/>
  <c r="B59" i="2"/>
  <c r="H59" i="2"/>
  <c r="C59" i="2"/>
  <c r="E57" i="2"/>
  <c r="B57" i="2"/>
  <c r="H57" i="2"/>
  <c r="C57" i="2"/>
  <c r="E55" i="2"/>
  <c r="B55" i="2"/>
  <c r="H55" i="2"/>
  <c r="C55" i="2"/>
  <c r="E53" i="2"/>
  <c r="B53" i="2"/>
  <c r="H53" i="2"/>
  <c r="C53" i="2"/>
  <c r="E51" i="2"/>
  <c r="B51" i="2"/>
  <c r="H51" i="2"/>
  <c r="C51" i="2"/>
  <c r="E49" i="2"/>
  <c r="B49" i="2"/>
  <c r="H49" i="2"/>
  <c r="C49" i="2"/>
  <c r="E47" i="2"/>
  <c r="B47" i="2"/>
  <c r="H47" i="2"/>
  <c r="C47" i="2"/>
  <c r="E45" i="2"/>
  <c r="B45" i="2"/>
  <c r="H45" i="2"/>
  <c r="C45" i="2"/>
  <c r="E43" i="2"/>
  <c r="B43" i="2"/>
  <c r="H43" i="2"/>
  <c r="C43" i="2"/>
  <c r="E41" i="2"/>
  <c r="B41" i="2"/>
  <c r="H41" i="2"/>
  <c r="C41" i="2"/>
  <c r="E39" i="2"/>
  <c r="B39" i="2"/>
  <c r="H39" i="2"/>
  <c r="C39" i="2"/>
  <c r="C36" i="2"/>
  <c r="B36" i="2"/>
  <c r="H36" i="2"/>
  <c r="E64" i="2"/>
  <c r="C64" i="2"/>
  <c r="B64" i="2"/>
  <c r="H64" i="2"/>
  <c r="E62" i="2"/>
  <c r="C62" i="2"/>
  <c r="B62" i="2"/>
  <c r="H62" i="2"/>
  <c r="E60" i="2"/>
  <c r="C60" i="2"/>
  <c r="B60" i="2"/>
  <c r="H60" i="2"/>
  <c r="E58" i="2"/>
  <c r="C58" i="2"/>
  <c r="B58" i="2"/>
  <c r="H58" i="2"/>
  <c r="E56" i="2"/>
  <c r="C56" i="2"/>
  <c r="B56" i="2"/>
  <c r="H56" i="2"/>
  <c r="E54" i="2"/>
  <c r="C54" i="2"/>
  <c r="B54" i="2"/>
  <c r="H54" i="2"/>
  <c r="E52" i="2"/>
  <c r="C52" i="2"/>
  <c r="B52" i="2"/>
  <c r="H52" i="2"/>
  <c r="E50" i="2"/>
  <c r="C50" i="2"/>
  <c r="B50" i="2"/>
  <c r="H50" i="2"/>
  <c r="E48" i="2"/>
  <c r="C48" i="2"/>
  <c r="B48" i="2"/>
  <c r="H48" i="2"/>
  <c r="E46" i="2"/>
  <c r="C46" i="2"/>
  <c r="B46" i="2"/>
  <c r="H46" i="2"/>
  <c r="E44" i="2"/>
  <c r="C44" i="2"/>
  <c r="B44" i="2"/>
  <c r="H44" i="2"/>
  <c r="E42" i="2"/>
  <c r="C42" i="2"/>
  <c r="B42" i="2"/>
  <c r="H42" i="2"/>
  <c r="E40" i="2"/>
  <c r="C40" i="2"/>
  <c r="B40" i="2"/>
  <c r="H40" i="2"/>
  <c r="E38" i="2"/>
  <c r="C38" i="2"/>
  <c r="B38" i="2"/>
  <c r="H38" i="2"/>
  <c r="F65" i="2"/>
  <c r="G65" i="2" s="1"/>
  <c r="F63" i="2"/>
  <c r="G63" i="2" s="1"/>
  <c r="F61" i="2"/>
  <c r="G61" i="2" s="1"/>
  <c r="F59" i="2"/>
  <c r="G59" i="2" s="1"/>
  <c r="F57" i="2"/>
  <c r="G57" i="2" s="1"/>
  <c r="F55" i="2"/>
  <c r="G55" i="2" s="1"/>
  <c r="F53" i="2"/>
  <c r="G53" i="2" s="1"/>
  <c r="F51" i="2"/>
  <c r="G51" i="2" s="1"/>
  <c r="F49" i="2"/>
  <c r="G49" i="2" s="1"/>
  <c r="F47" i="2"/>
  <c r="G47" i="2" s="1"/>
  <c r="F45" i="2"/>
  <c r="G45" i="2" s="1"/>
  <c r="F43" i="2"/>
  <c r="G43" i="2" s="1"/>
  <c r="F41" i="2"/>
  <c r="G41" i="2" s="1"/>
  <c r="F39" i="2"/>
  <c r="G39" i="2" s="1"/>
  <c r="F37" i="2"/>
  <c r="G37" i="2" s="1"/>
  <c r="F35" i="2"/>
  <c r="G35" i="2" s="1"/>
  <c r="F33" i="2"/>
  <c r="G33" i="2" s="1"/>
  <c r="F31" i="2"/>
  <c r="G31" i="2" s="1"/>
  <c r="F29" i="2"/>
  <c r="G29" i="2" s="1"/>
  <c r="F27" i="2"/>
  <c r="G27" i="2" s="1"/>
  <c r="F25" i="2"/>
  <c r="G25" i="2" s="1"/>
  <c r="F23" i="2"/>
  <c r="G23" i="2" s="1"/>
  <c r="F21" i="2"/>
  <c r="G21" i="2" s="1"/>
  <c r="F19" i="2"/>
  <c r="G19" i="2" s="1"/>
  <c r="F17" i="2"/>
  <c r="G17" i="2" s="1"/>
  <c r="F15" i="2"/>
  <c r="G15" i="2" s="1"/>
  <c r="F13" i="2"/>
  <c r="G13" i="2" s="1"/>
  <c r="F11" i="2"/>
  <c r="G11" i="2" s="1"/>
  <c r="F9" i="2"/>
  <c r="G9" i="2" s="1"/>
  <c r="F7" i="2"/>
  <c r="G7" i="2" s="1"/>
  <c r="S44" i="1" l="1"/>
  <c r="U44" i="1" s="1"/>
  <c r="R44" i="1"/>
  <c r="T44" i="1" s="1"/>
  <c r="S43" i="1"/>
  <c r="U43" i="1" s="1"/>
  <c r="R43" i="1"/>
  <c r="T43" i="1" s="1"/>
  <c r="R42" i="1"/>
  <c r="T42" i="1" s="1"/>
  <c r="S42" i="1"/>
  <c r="U42" i="1" s="1"/>
  <c r="S45" i="1"/>
  <c r="U45" i="1" s="1"/>
  <c r="R45" i="1"/>
  <c r="T45" i="1" s="1"/>
  <c r="R40" i="1"/>
  <c r="T40" i="1" s="1"/>
  <c r="X40" i="1" s="1"/>
  <c r="R41" i="1"/>
  <c r="T41" i="1" s="1"/>
  <c r="X41" i="1" s="1"/>
  <c r="S41" i="1"/>
  <c r="U41" i="1" s="1"/>
  <c r="S38" i="1"/>
  <c r="U38" i="1" s="1"/>
  <c r="S39" i="1"/>
  <c r="U39" i="1" s="1"/>
  <c r="R39" i="1"/>
  <c r="T39" i="1" s="1"/>
  <c r="X38" i="1"/>
  <c r="R36" i="1"/>
  <c r="T36" i="1" s="1"/>
  <c r="X36" i="1" s="1"/>
  <c r="S36" i="1"/>
  <c r="U36" i="1" s="1"/>
  <c r="S37" i="1"/>
  <c r="U37" i="1" s="1"/>
  <c r="R37" i="1"/>
  <c r="T37" i="1" s="1"/>
  <c r="S34" i="1"/>
  <c r="U34" i="1" s="1"/>
  <c r="R34" i="1"/>
  <c r="T34" i="1" s="1"/>
  <c r="X34" i="1" s="1"/>
  <c r="R35" i="1"/>
  <c r="T35" i="1" s="1"/>
  <c r="X35" i="1" s="1"/>
  <c r="S35" i="1"/>
  <c r="U35" i="1" s="1"/>
  <c r="E36" i="2"/>
  <c r="E37" i="2"/>
  <c r="X4" i="1"/>
  <c r="Y4" i="1"/>
  <c r="X43" i="1" l="1"/>
  <c r="X44" i="1"/>
  <c r="X42" i="1"/>
  <c r="Y41" i="1"/>
  <c r="Y40" i="1"/>
  <c r="X39" i="1"/>
  <c r="Y38" i="1"/>
  <c r="Y36" i="1"/>
  <c r="X37" i="1"/>
  <c r="Y35" i="1"/>
  <c r="Y34" i="1"/>
  <c r="Y5" i="1"/>
  <c r="Y8" i="1" s="1"/>
  <c r="X9" i="1"/>
  <c r="Y9" i="1"/>
  <c r="Y44" i="1" l="1"/>
  <c r="Y43" i="1"/>
  <c r="Y42" i="1"/>
  <c r="Y39" i="1"/>
  <c r="Y37" i="1"/>
  <c r="O21" i="1"/>
  <c r="P21" i="1" l="1"/>
  <c r="Q21" i="1" s="1"/>
  <c r="O22" i="1"/>
  <c r="O24" i="1"/>
  <c r="O26" i="1"/>
  <c r="O28" i="1"/>
  <c r="O30" i="1"/>
  <c r="O32" i="1"/>
  <c r="O23" i="1"/>
  <c r="O25" i="1"/>
  <c r="O27" i="1"/>
  <c r="O29" i="1"/>
  <c r="O31" i="1"/>
  <c r="O33" i="1"/>
  <c r="P23" i="1" l="1"/>
  <c r="P32" i="1"/>
  <c r="P33" i="1"/>
  <c r="P30" i="1"/>
  <c r="P31" i="1"/>
  <c r="P28" i="1"/>
  <c r="P29" i="1"/>
  <c r="P26" i="1"/>
  <c r="P27" i="1"/>
  <c r="P24" i="1"/>
  <c r="P25" i="1"/>
  <c r="P22" i="1"/>
  <c r="R21" i="1"/>
  <c r="T21" i="1" s="1"/>
  <c r="S21" i="1"/>
  <c r="U21" i="1" s="1"/>
  <c r="X5" i="1"/>
  <c r="X8" i="1" s="1"/>
  <c r="X11" i="1" s="1"/>
  <c r="W45" i="1" l="1"/>
  <c r="W43" i="1"/>
  <c r="W44" i="1"/>
  <c r="W42" i="1"/>
  <c r="W40" i="1"/>
  <c r="W41" i="1"/>
  <c r="W38" i="1"/>
  <c r="W39" i="1"/>
  <c r="W37" i="1"/>
  <c r="W36" i="1"/>
  <c r="W35" i="1"/>
  <c r="W34" i="1"/>
  <c r="Q27" i="1"/>
  <c r="S27" i="1" s="1"/>
  <c r="U27" i="1" s="1"/>
  <c r="C11" i="2" s="1"/>
  <c r="Q31" i="1"/>
  <c r="S31" i="1" s="1"/>
  <c r="U31" i="1" s="1"/>
  <c r="C15" i="2" s="1"/>
  <c r="C27" i="2"/>
  <c r="C31" i="2"/>
  <c r="B35" i="2"/>
  <c r="Q22" i="1"/>
  <c r="S22" i="1" s="1"/>
  <c r="U22" i="1" s="1"/>
  <c r="C6" i="2" s="1"/>
  <c r="Q26" i="1"/>
  <c r="S26" i="1" s="1"/>
  <c r="U26" i="1" s="1"/>
  <c r="C10" i="2" s="1"/>
  <c r="Q30" i="1"/>
  <c r="S30" i="1" s="1"/>
  <c r="U30" i="1" s="1"/>
  <c r="C14" i="2" s="1"/>
  <c r="C22" i="2"/>
  <c r="C34" i="2"/>
  <c r="Q25" i="1"/>
  <c r="R25" i="1" s="1"/>
  <c r="T25" i="1" s="1"/>
  <c r="X25" i="1" s="1"/>
  <c r="Q29" i="1"/>
  <c r="S29" i="1" s="1"/>
  <c r="U29" i="1" s="1"/>
  <c r="C13" i="2" s="1"/>
  <c r="Q33" i="1"/>
  <c r="S33" i="1" s="1"/>
  <c r="U33" i="1" s="1"/>
  <c r="C17" i="2" s="1"/>
  <c r="B29" i="2"/>
  <c r="C33" i="2"/>
  <c r="Q24" i="1"/>
  <c r="R24" i="1" s="1"/>
  <c r="T24" i="1" s="1"/>
  <c r="X24" i="1" s="1"/>
  <c r="Q28" i="1"/>
  <c r="R28" i="1" s="1"/>
  <c r="T28" i="1" s="1"/>
  <c r="X28" i="1" s="1"/>
  <c r="Q32" i="1"/>
  <c r="R32" i="1" s="1"/>
  <c r="T32" i="1" s="1"/>
  <c r="X32" i="1" s="1"/>
  <c r="Q23" i="1"/>
  <c r="R23" i="1" s="1"/>
  <c r="T23" i="1" s="1"/>
  <c r="X23" i="1" s="1"/>
  <c r="B24" i="2"/>
  <c r="B28" i="2"/>
  <c r="B32" i="2"/>
  <c r="C5" i="2"/>
  <c r="B5" i="2"/>
  <c r="W21" i="1"/>
  <c r="B7" i="2" l="1"/>
  <c r="B16" i="2"/>
  <c r="B8" i="2"/>
  <c r="B12" i="2"/>
  <c r="B20" i="2"/>
  <c r="B19" i="2"/>
  <c r="B31" i="2"/>
  <c r="E31" i="2" s="1"/>
  <c r="C30" i="2"/>
  <c r="R30" i="1"/>
  <c r="T30" i="1" s="1"/>
  <c r="X30" i="1" s="1"/>
  <c r="C32" i="2"/>
  <c r="E32" i="2" s="1"/>
  <c r="S23" i="1"/>
  <c r="U23" i="1" s="1"/>
  <c r="C7" i="2" s="1"/>
  <c r="S32" i="1"/>
  <c r="U32" i="1" s="1"/>
  <c r="C16" i="2" s="1"/>
  <c r="C29" i="2"/>
  <c r="E29" i="2" s="1"/>
  <c r="R33" i="1"/>
  <c r="T33" i="1" s="1"/>
  <c r="X33" i="1" s="1"/>
  <c r="C21" i="2"/>
  <c r="S25" i="1"/>
  <c r="U25" i="1" s="1"/>
  <c r="C9" i="2" s="1"/>
  <c r="C25" i="2"/>
  <c r="C26" i="2"/>
  <c r="B26" i="2"/>
  <c r="B25" i="2"/>
  <c r="W25" i="1"/>
  <c r="B9" i="2"/>
  <c r="W32" i="1"/>
  <c r="R29" i="1"/>
  <c r="T29" i="1" s="1"/>
  <c r="X29" i="1" s="1"/>
  <c r="R26" i="1"/>
  <c r="T26" i="1" s="1"/>
  <c r="X26" i="1" s="1"/>
  <c r="R22" i="1"/>
  <c r="T22" i="1" s="1"/>
  <c r="C28" i="2"/>
  <c r="E28" i="2" s="1"/>
  <c r="S28" i="1"/>
  <c r="U28" i="1" s="1"/>
  <c r="C12" i="2" s="1"/>
  <c r="C35" i="2"/>
  <c r="E35" i="2" s="1"/>
  <c r="R31" i="1"/>
  <c r="T31" i="1" s="1"/>
  <c r="X31" i="1" s="1"/>
  <c r="C19" i="2"/>
  <c r="C23" i="2"/>
  <c r="C24" i="2"/>
  <c r="E24" i="2" s="1"/>
  <c r="C18" i="2"/>
  <c r="S24" i="1"/>
  <c r="U24" i="1" s="1"/>
  <c r="C8" i="2" s="1"/>
  <c r="E8" i="2" s="1"/>
  <c r="C20" i="2"/>
  <c r="R27" i="1"/>
  <c r="T27" i="1" s="1"/>
  <c r="X27" i="1" s="1"/>
  <c r="W23" i="1"/>
  <c r="B21" i="2"/>
  <c r="B18" i="2"/>
  <c r="W24" i="1"/>
  <c r="W28" i="1"/>
  <c r="B30" i="2"/>
  <c r="E30" i="2" s="1"/>
  <c r="E5" i="2"/>
  <c r="AD21" i="1"/>
  <c r="AB21" i="1"/>
  <c r="AD22" i="1"/>
  <c r="E7" i="2" l="1"/>
  <c r="E19" i="2"/>
  <c r="Y28" i="1"/>
  <c r="Y31" i="1"/>
  <c r="Y29" i="1"/>
  <c r="Y33" i="1"/>
  <c r="Y27" i="1"/>
  <c r="Y26" i="1"/>
  <c r="Y30" i="1"/>
  <c r="Y25" i="1"/>
  <c r="Y24" i="1"/>
  <c r="Y23" i="1"/>
  <c r="Y32" i="1"/>
  <c r="E20" i="2"/>
  <c r="E12" i="2"/>
  <c r="E16" i="2"/>
  <c r="B17" i="2"/>
  <c r="E17" i="2" s="1"/>
  <c r="B14" i="2"/>
  <c r="E14" i="2" s="1"/>
  <c r="W30" i="1"/>
  <c r="E26" i="2"/>
  <c r="B27" i="2"/>
  <c r="E27" i="2" s="1"/>
  <c r="E21" i="2"/>
  <c r="W33" i="1"/>
  <c r="B22" i="2"/>
  <c r="E22" i="2" s="1"/>
  <c r="E9" i="2"/>
  <c r="E25" i="2"/>
  <c r="B34" i="2"/>
  <c r="E34" i="2" s="1"/>
  <c r="B23" i="2"/>
  <c r="E23" i="2" s="1"/>
  <c r="W22" i="1"/>
  <c r="B6" i="2"/>
  <c r="E6" i="2" s="1"/>
  <c r="B10" i="2"/>
  <c r="E10" i="2" s="1"/>
  <c r="W26" i="1"/>
  <c r="W29" i="1"/>
  <c r="B13" i="2"/>
  <c r="E13" i="2" s="1"/>
  <c r="E18" i="2"/>
  <c r="B11" i="2"/>
  <c r="E11" i="2" s="1"/>
  <c r="W27" i="1"/>
  <c r="B15" i="2"/>
  <c r="E15" i="2" s="1"/>
  <c r="W31" i="1"/>
  <c r="B33" i="2"/>
  <c r="E33" i="2" s="1"/>
  <c r="AB22" i="1"/>
  <c r="X13" i="1" l="1"/>
  <c r="AD44" i="1" l="1"/>
  <c r="AF44" i="1" s="1"/>
  <c r="AD42" i="1"/>
  <c r="AF42" i="1" s="1"/>
  <c r="AD43" i="1"/>
  <c r="AF43" i="1" s="1"/>
  <c r="AD41" i="1"/>
  <c r="AF41" i="1" s="1"/>
  <c r="AD40" i="1"/>
  <c r="AF40" i="1" s="1"/>
  <c r="AD38" i="1"/>
  <c r="AF38" i="1" s="1"/>
  <c r="AD39" i="1"/>
  <c r="AF39" i="1" s="1"/>
  <c r="AD36" i="1"/>
  <c r="AF36" i="1" s="1"/>
  <c r="AD37" i="1"/>
  <c r="AF37" i="1" s="1"/>
  <c r="AD34" i="1"/>
  <c r="AF34" i="1" s="1"/>
  <c r="AD35" i="1"/>
  <c r="AF35" i="1" s="1"/>
  <c r="AD33" i="1"/>
  <c r="AF33" i="1" s="1"/>
  <c r="AD26" i="1"/>
  <c r="AF26" i="1" s="1"/>
  <c r="AD27" i="1"/>
  <c r="AF27" i="1" s="1"/>
  <c r="AD28" i="1"/>
  <c r="AF28" i="1" s="1"/>
  <c r="AD24" i="1"/>
  <c r="AF24" i="1" s="1"/>
  <c r="AD32" i="1"/>
  <c r="AF32" i="1" s="1"/>
  <c r="AD25" i="1"/>
  <c r="AF25" i="1" s="1"/>
  <c r="AD30" i="1"/>
  <c r="AF30" i="1" s="1"/>
  <c r="AD29" i="1"/>
  <c r="AF29" i="1" s="1"/>
  <c r="AD31" i="1"/>
  <c r="AF31" i="1" s="1"/>
  <c r="AD23" i="1"/>
  <c r="AF23" i="1" s="1"/>
  <c r="AC4" i="1" l="1"/>
  <c r="AC3" i="1"/>
  <c r="AC6" i="1" s="1"/>
  <c r="Z43" i="1" l="1"/>
  <c r="Z44" i="1"/>
  <c r="Z42" i="1"/>
  <c r="Z41" i="1"/>
  <c r="Z40" i="1"/>
  <c r="Z39" i="1"/>
  <c r="Z38" i="1"/>
  <c r="Z36" i="1"/>
  <c r="Z37" i="1"/>
  <c r="Z28" i="1"/>
  <c r="AA28" i="1" s="1"/>
  <c r="Z34" i="1"/>
  <c r="AA34" i="1" s="1"/>
  <c r="Z35" i="1"/>
  <c r="AA35" i="1" s="1"/>
  <c r="Z32" i="1"/>
  <c r="AA32" i="1" s="1"/>
  <c r="Z23" i="1"/>
  <c r="Z24" i="1"/>
  <c r="AA24" i="1" s="1"/>
  <c r="Z25" i="1"/>
  <c r="AA25" i="1" s="1"/>
  <c r="Z31" i="1"/>
  <c r="AA31" i="1" s="1"/>
  <c r="Z29" i="1"/>
  <c r="AA29" i="1" s="1"/>
  <c r="Z33" i="1"/>
  <c r="AA33" i="1" s="1"/>
  <c r="Z27" i="1"/>
  <c r="AA27" i="1" s="1"/>
  <c r="Z26" i="1"/>
  <c r="AA26" i="1" s="1"/>
  <c r="Z30" i="1"/>
  <c r="AA30" i="1" s="1"/>
  <c r="AA44" i="1" l="1"/>
  <c r="AB44" i="1"/>
  <c r="AA42" i="1"/>
  <c r="AB42" i="1" s="1"/>
  <c r="AA43" i="1"/>
  <c r="AB43" i="1" s="1"/>
  <c r="AA40" i="1"/>
  <c r="AB40" i="1" s="1"/>
  <c r="AA41" i="1"/>
  <c r="AA39" i="1"/>
  <c r="AB39" i="1" s="1"/>
  <c r="AA38" i="1"/>
  <c r="AA36" i="1"/>
  <c r="AB36" i="1" s="1"/>
  <c r="AA37" i="1"/>
  <c r="AB37" i="1" s="1"/>
  <c r="AA23" i="1"/>
  <c r="AC23" i="1" s="1"/>
  <c r="AE23" i="1" s="1"/>
  <c r="AA22" i="1"/>
  <c r="AC22" i="1"/>
  <c r="AA21" i="1"/>
  <c r="AC21" i="1"/>
  <c r="AB35" i="1"/>
  <c r="AB34" i="1"/>
  <c r="AB32" i="1"/>
  <c r="AB33" i="1"/>
  <c r="AB28" i="1"/>
  <c r="AB27" i="1"/>
  <c r="AB29" i="1"/>
  <c r="AB26" i="1"/>
  <c r="AB24" i="1"/>
  <c r="AB31" i="1"/>
  <c r="AB25" i="1"/>
  <c r="AB30" i="1"/>
  <c r="AC43" i="1" l="1"/>
  <c r="AE43" i="1" s="1"/>
  <c r="AC42" i="1"/>
  <c r="AE42" i="1" s="1"/>
  <c r="AC44" i="1"/>
  <c r="AE44" i="1" s="1"/>
  <c r="AC41" i="1"/>
  <c r="AE41" i="1" s="1"/>
  <c r="AB41" i="1"/>
  <c r="AC40" i="1"/>
  <c r="AE40" i="1" s="1"/>
  <c r="AC38" i="1"/>
  <c r="AE38" i="1" s="1"/>
  <c r="AB38" i="1"/>
  <c r="AC39" i="1"/>
  <c r="AE39" i="1" s="1"/>
  <c r="AC36" i="1"/>
  <c r="AE36" i="1" s="1"/>
  <c r="AC37" i="1"/>
  <c r="AE37" i="1" s="1"/>
  <c r="AC33" i="1"/>
  <c r="AE33" i="1" s="1"/>
  <c r="AC24" i="1"/>
  <c r="AE24" i="1" s="1"/>
  <c r="AC35" i="1"/>
  <c r="AE35" i="1" s="1"/>
  <c r="AC34" i="1"/>
  <c r="AE34" i="1" s="1"/>
  <c r="AC27" i="1"/>
  <c r="AE27" i="1" s="1"/>
  <c r="AC25" i="1"/>
  <c r="AE25" i="1" s="1"/>
  <c r="AC31" i="1"/>
  <c r="AE31" i="1" s="1"/>
  <c r="AC26" i="1"/>
  <c r="AE26" i="1" s="1"/>
  <c r="AC32" i="1"/>
  <c r="AE32" i="1" s="1"/>
  <c r="AC29" i="1"/>
  <c r="AE29" i="1" s="1"/>
  <c r="AC30" i="1"/>
  <c r="AE30" i="1" s="1"/>
  <c r="AC28" i="1"/>
  <c r="AE28" i="1" s="1"/>
  <c r="AB23" i="1"/>
  <c r="AC9" i="1" l="1"/>
  <c r="AI39" i="1"/>
  <c r="AJ39" i="1" s="1"/>
  <c r="AI38" i="1"/>
  <c r="AJ38" i="1" s="1"/>
  <c r="AI41" i="1"/>
  <c r="AJ41" i="1" s="1"/>
  <c r="AI43" i="1"/>
  <c r="AJ43" i="1" s="1"/>
  <c r="AI40" i="1"/>
  <c r="AJ40" i="1" s="1"/>
  <c r="AI42" i="1"/>
  <c r="AJ42" i="1" s="1"/>
  <c r="AI36" i="1"/>
  <c r="AJ36" i="1" s="1"/>
  <c r="AI37" i="1"/>
  <c r="AJ37" i="1" s="1"/>
  <c r="AI34" i="1"/>
  <c r="AJ34" i="1" s="1"/>
  <c r="AI35" i="1"/>
  <c r="AJ35" i="1" s="1"/>
  <c r="AC10" i="1"/>
  <c r="AI23" i="1"/>
  <c r="AJ23" i="1" s="1"/>
  <c r="AI31" i="1"/>
  <c r="AJ31" i="1" s="1"/>
  <c r="AI29" i="1"/>
  <c r="AJ29" i="1" s="1"/>
  <c r="AI24" i="1"/>
  <c r="AJ24" i="1" s="1"/>
  <c r="AI33" i="1"/>
  <c r="AJ33" i="1" s="1"/>
  <c r="AI27" i="1"/>
  <c r="AJ27" i="1" s="1"/>
  <c r="AI30" i="1"/>
  <c r="AJ30" i="1" s="1"/>
  <c r="AI28" i="1"/>
  <c r="AJ28" i="1" s="1"/>
  <c r="AI26" i="1"/>
  <c r="AJ26" i="1" s="1"/>
  <c r="AI32" i="1"/>
  <c r="AJ32" i="1" s="1"/>
  <c r="AI25" i="1"/>
  <c r="AJ25" i="1" s="1"/>
</calcChain>
</file>

<file path=xl/comments1.xml><?xml version="1.0" encoding="utf-8"?>
<comments xmlns="http://schemas.openxmlformats.org/spreadsheetml/2006/main">
  <authors>
    <author>Keith H. Morse</author>
  </authors>
  <commentList>
    <comment ref="A2" authorId="0">
      <text>
        <r>
          <rPr>
            <sz val="9"/>
            <color indexed="81"/>
            <rFont val="Tahoma"/>
            <family val="2"/>
          </rPr>
          <t>Height of Instrument</t>
        </r>
      </text>
    </comment>
    <comment ref="B20" authorId="0">
      <text>
        <r>
          <rPr>
            <sz val="9"/>
            <color indexed="81"/>
            <rFont val="Tahoma"/>
            <family val="2"/>
          </rPr>
          <t>Horizontal angle taken from an arbitrary '0' point.  Data taken from total station.</t>
        </r>
      </text>
    </comment>
    <comment ref="C20" authorId="0">
      <text>
        <r>
          <rPr>
            <sz val="9"/>
            <color indexed="81"/>
            <rFont val="Tahoma"/>
            <family val="2"/>
          </rPr>
          <t>Vertical angle taken from horizontal.  Values &gt;90 indicate downward slope. Data taken from total station.</t>
        </r>
      </text>
    </comment>
    <comment ref="D20" authorId="0">
      <text>
        <r>
          <rPr>
            <sz val="9"/>
            <color indexed="81"/>
            <rFont val="Tahoma"/>
            <family val="2"/>
          </rPr>
          <t>Slope distance.  Direct distance from instrument to prism.</t>
        </r>
      </text>
    </comment>
    <comment ref="E20" authorId="0">
      <text>
        <r>
          <rPr>
            <sz val="9"/>
            <color indexed="81"/>
            <rFont val="Tahoma"/>
            <family val="2"/>
          </rPr>
          <t>Height of Rod.  Length of prism rod from bottom of foot to center of prism.</t>
        </r>
      </text>
    </comment>
    <comment ref="M20" authorId="0">
      <text>
        <r>
          <rPr>
            <sz val="9"/>
            <color indexed="81"/>
            <rFont val="Tahoma"/>
            <family val="2"/>
          </rPr>
          <t>Correct for errors made during the survey (ie zero horiz. Angle at wrong point).</t>
        </r>
      </text>
    </comment>
    <comment ref="N20" authorId="0">
      <text>
        <r>
          <rPr>
            <sz val="9"/>
            <color indexed="81"/>
            <rFont val="Tahoma"/>
            <family val="2"/>
          </rPr>
          <t>Horiz. angle corrected for known field errors.</t>
        </r>
      </text>
    </comment>
    <comment ref="O20" authorId="0">
      <text>
        <r>
          <rPr>
            <sz val="9"/>
            <color indexed="81"/>
            <rFont val="Tahoma"/>
            <family val="2"/>
          </rPr>
          <t>Correct for difference between surveyed N (when Horiz. Angle is zeroed) and grid N.</t>
        </r>
      </text>
    </comment>
    <comment ref="P20" authorId="0">
      <text>
        <r>
          <rPr>
            <sz val="9"/>
            <color indexed="81"/>
            <rFont val="Tahoma"/>
            <family val="2"/>
          </rPr>
          <t>Corrected bearing angle (from grid N).</t>
        </r>
      </text>
    </comment>
    <comment ref="T20" authorId="0">
      <text>
        <r>
          <rPr>
            <sz val="9"/>
            <color indexed="81"/>
            <rFont val="Tahoma"/>
            <family val="2"/>
          </rPr>
          <t>This is the E coord with the correct bearing.</t>
        </r>
      </text>
    </comment>
    <comment ref="U20" authorId="0">
      <text>
        <r>
          <rPr>
            <sz val="9"/>
            <color indexed="81"/>
            <rFont val="Tahoma"/>
            <family val="2"/>
          </rPr>
          <t>This is the N coord with the correct bearing.</t>
        </r>
      </text>
    </comment>
    <comment ref="V20" authorId="0">
      <text>
        <r>
          <rPr>
            <sz val="9"/>
            <color indexed="81"/>
            <rFont val="Tahoma"/>
            <family val="2"/>
          </rPr>
          <t>This is the Z coord calculated from the total station data.</t>
        </r>
      </text>
    </comment>
    <comment ref="W20" authorId="0">
      <text>
        <r>
          <rPr>
            <sz val="9"/>
            <color indexed="81"/>
            <rFont val="Tahoma"/>
            <family val="2"/>
          </rPr>
          <t>This is the Z coord with the correct bearing.</t>
        </r>
      </text>
    </comment>
    <comment ref="X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Y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Z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Distance from cross section point to point on line of best fit.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</commentList>
</comments>
</file>

<file path=xl/sharedStrings.xml><?xml version="1.0" encoding="utf-8"?>
<sst xmlns="http://schemas.openxmlformats.org/spreadsheetml/2006/main" count="103" uniqueCount="90">
  <si>
    <t>PT</t>
  </si>
  <si>
    <t>HL</t>
  </si>
  <si>
    <t>VL</t>
  </si>
  <si>
    <t>SD</t>
  </si>
  <si>
    <t>HR</t>
  </si>
  <si>
    <t>Notes</t>
  </si>
  <si>
    <t>N</t>
  </si>
  <si>
    <t>E</t>
  </si>
  <si>
    <t>Z</t>
  </si>
  <si>
    <t>Easting</t>
  </si>
  <si>
    <t>Z (Elev)</t>
  </si>
  <si>
    <t>Raw GPS Data (P,N,E,Z)</t>
  </si>
  <si>
    <t>TS Z</t>
  </si>
  <si>
    <t>GPS Pt</t>
  </si>
  <si>
    <t>Northing</t>
  </si>
  <si>
    <t>Bearing</t>
  </si>
  <si>
    <t>HI</t>
  </si>
  <si>
    <t>Cross Section Start</t>
  </si>
  <si>
    <t>Cross Section End</t>
  </si>
  <si>
    <t>BRG</t>
  </si>
  <si>
    <t>Rotated Coordinates</t>
  </si>
  <si>
    <t>Bearing Correction</t>
  </si>
  <si>
    <t>To GPS Pt</t>
  </si>
  <si>
    <t>Pt</t>
  </si>
  <si>
    <t>BackSight1</t>
  </si>
  <si>
    <t>BackSight2</t>
  </si>
  <si>
    <t>β2</t>
  </si>
  <si>
    <t>α+β2</t>
  </si>
  <si>
    <t>β1</t>
  </si>
  <si>
    <r>
      <rPr>
        <b/>
        <sz val="11"/>
        <color theme="1"/>
        <rFont val="Calibri"/>
        <family val="2"/>
      </rPr>
      <t>θ</t>
    </r>
    <r>
      <rPr>
        <b/>
        <sz val="8.8000000000000007"/>
        <color theme="1"/>
        <rFont val="Calibri"/>
        <family val="2"/>
      </rPr>
      <t>=</t>
    </r>
    <r>
      <rPr>
        <b/>
        <sz val="11"/>
        <color theme="1"/>
        <rFont val="Calibri"/>
        <family val="2"/>
        <scheme val="minor"/>
      </rPr>
      <t>α+β1+β2</t>
    </r>
  </si>
  <si>
    <t>From TS Pt B</t>
  </si>
  <si>
    <t>From TS Pt A</t>
  </si>
  <si>
    <t>d BRG A</t>
  </si>
  <si>
    <t>d BRG B</t>
  </si>
  <si>
    <t>Elevation Correction</t>
  </si>
  <si>
    <t>d Z A</t>
  </si>
  <si>
    <t>d Z B</t>
  </si>
  <si>
    <t>AVG d Z</t>
  </si>
  <si>
    <t xml:space="preserve"> = d Z</t>
  </si>
  <si>
    <t>AVG d BRG (β1)</t>
  </si>
  <si>
    <t>CS Slope</t>
  </si>
  <si>
    <t>CS Y-Int</t>
  </si>
  <si>
    <t>Perp Slope</t>
  </si>
  <si>
    <r>
      <t>E (x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</si>
  <si>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N (y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</si>
  <si>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t>Cross Section Coord</t>
  </si>
  <si>
    <t>Coord on Line</t>
  </si>
  <si>
    <t xml:space="preserve">Dist from </t>
  </si>
  <si>
    <t>Line</t>
  </si>
  <si>
    <t>Avg Dist from Line</t>
  </si>
  <si>
    <t>Std Dev of Dist from Line</t>
  </si>
  <si>
    <t>Dist from</t>
  </si>
  <si>
    <t>"First Pt"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</si>
  <si>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</si>
  <si>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</si>
  <si>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</si>
  <si>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Proj Dist Along Cross Section</t>
  </si>
  <si>
    <t>Name</t>
  </si>
  <si>
    <t>D</t>
  </si>
  <si>
    <t>Icon</t>
  </si>
  <si>
    <t>G</t>
  </si>
  <si>
    <t>IconColor</t>
  </si>
  <si>
    <t>Folder</t>
  </si>
  <si>
    <t>Position</t>
  </si>
  <si>
    <t>Min Z</t>
  </si>
  <si>
    <t>Z'</t>
  </si>
  <si>
    <t>Input Unit</t>
  </si>
  <si>
    <t>Output Unit</t>
  </si>
  <si>
    <t xml:space="preserve"> </t>
  </si>
  <si>
    <t>PT1</t>
  </si>
  <si>
    <t>PT2</t>
  </si>
  <si>
    <t>ft</t>
  </si>
  <si>
    <t>"First Pt" ft</t>
  </si>
  <si>
    <t>Z' ft</t>
  </si>
  <si>
    <t>HD</t>
  </si>
  <si>
    <t>VD</t>
  </si>
  <si>
    <t>VL(rad)</t>
  </si>
  <si>
    <t>DeltaE</t>
  </si>
  <si>
    <t>DeltaN</t>
  </si>
  <si>
    <t>BRG(rad)</t>
  </si>
  <si>
    <t>HL(rad)</t>
  </si>
  <si>
    <t>HL(deg)(0=N)</t>
  </si>
  <si>
    <t>VL(deg)(0=Up)</t>
  </si>
  <si>
    <t>WS</t>
  </si>
  <si>
    <t>BS/ZERO</t>
  </si>
  <si>
    <t xml:space="preserve">BS </t>
  </si>
  <si>
    <t>DSS4</t>
  </si>
  <si>
    <t>1,1534592.128,3857542.667,3486.929,3486.929,</t>
  </si>
  <si>
    <t>2,1534628.817,3857583.500,3485.990,3485.990,</t>
  </si>
  <si>
    <t>3,1534683.456,3857540.144,3490.798,3490.798,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</si>
</sst>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[h]\°mm\'ss\&quot;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.8000000000000007"/>
      <color theme="1"/>
      <name val="Calibri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1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left"/>
    </xf>
    <xf numFmtId="0" fontId="1" fillId="0" borderId="0" xfId="0" quotePrefix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/>
    <xf numFmtId="0" fontId="1" fillId="2" borderId="0" xfId="0" quotePrefix="1" applyFont="1" applyFill="1" applyAlignment="1"/>
    <xf numFmtId="0" fontId="1" fillId="2" borderId="0" xfId="0" applyFont="1" applyFill="1" applyAlignment="1"/>
    <xf numFmtId="1" fontId="0" fillId="3" borderId="1" xfId="0" applyNumberFormat="1" applyFont="1" applyFill="1" applyBorder="1" applyAlignment="1">
      <alignment horizontal="center"/>
    </xf>
    <xf numFmtId="166" fontId="0" fillId="0" borderId="0" xfId="0" applyNumberFormat="1"/>
    <xf numFmtId="1" fontId="0" fillId="0" borderId="0" xfId="0" applyNumberFormat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Calculations!$AH$23:$AH$65</c:f>
              <c:numCache>
                <c:formatCode>General</c:formatCode>
                <c:ptCount val="43"/>
                <c:pt idx="0">
                  <c:v>0</c:v>
                </c:pt>
                <c:pt idx="1">
                  <c:v>14.63</c:v>
                </c:pt>
                <c:pt idx="2">
                  <c:v>29.94</c:v>
                </c:pt>
                <c:pt idx="3">
                  <c:v>67.540000000000006</c:v>
                </c:pt>
                <c:pt idx="4">
                  <c:v>73.14</c:v>
                </c:pt>
                <c:pt idx="5">
                  <c:v>130.59</c:v>
                </c:pt>
                <c:pt idx="6">
                  <c:v>144.87</c:v>
                </c:pt>
                <c:pt idx="7">
                  <c:v>162.80000000000001</c:v>
                </c:pt>
                <c:pt idx="8">
                  <c:v>168.3</c:v>
                </c:pt>
                <c:pt idx="9">
                  <c:v>208.94</c:v>
                </c:pt>
                <c:pt idx="10">
                  <c:v>219.3</c:v>
                </c:pt>
                <c:pt idx="11">
                  <c:v>232.08</c:v>
                </c:pt>
                <c:pt idx="12">
                  <c:v>236.97</c:v>
                </c:pt>
                <c:pt idx="13">
                  <c:v>240.5</c:v>
                </c:pt>
                <c:pt idx="14">
                  <c:v>244.36</c:v>
                </c:pt>
                <c:pt idx="15">
                  <c:v>271.68</c:v>
                </c:pt>
                <c:pt idx="16">
                  <c:v>278.47000000000003</c:v>
                </c:pt>
                <c:pt idx="17">
                  <c:v>281.39999999999998</c:v>
                </c:pt>
                <c:pt idx="18">
                  <c:v>291.61</c:v>
                </c:pt>
                <c:pt idx="19">
                  <c:v>298.02999999999997</c:v>
                </c:pt>
                <c:pt idx="20">
                  <c:v>314.35000000000002</c:v>
                </c:pt>
              </c:numCache>
            </c:numRef>
          </c:xVal>
          <c:yVal>
            <c:numRef>
              <c:f>Calculations!$AI$23:$AI$65</c:f>
              <c:numCache>
                <c:formatCode>General</c:formatCode>
                <c:ptCount val="43"/>
                <c:pt idx="0">
                  <c:v>15.86</c:v>
                </c:pt>
                <c:pt idx="1">
                  <c:v>10.14</c:v>
                </c:pt>
                <c:pt idx="2">
                  <c:v>5.29</c:v>
                </c:pt>
                <c:pt idx="3">
                  <c:v>4.3600000000000003</c:v>
                </c:pt>
                <c:pt idx="4">
                  <c:v>5.08</c:v>
                </c:pt>
                <c:pt idx="5">
                  <c:v>2.63</c:v>
                </c:pt>
                <c:pt idx="6">
                  <c:v>5.87</c:v>
                </c:pt>
                <c:pt idx="7">
                  <c:v>3.75</c:v>
                </c:pt>
                <c:pt idx="8">
                  <c:v>2.23</c:v>
                </c:pt>
                <c:pt idx="9">
                  <c:v>2.98</c:v>
                </c:pt>
                <c:pt idx="10">
                  <c:v>3.49</c:v>
                </c:pt>
                <c:pt idx="11">
                  <c:v>3.05</c:v>
                </c:pt>
                <c:pt idx="12">
                  <c:v>1.66</c:v>
                </c:pt>
                <c:pt idx="13">
                  <c:v>0.28999999999999998</c:v>
                </c:pt>
                <c:pt idx="14">
                  <c:v>0</c:v>
                </c:pt>
                <c:pt idx="15">
                  <c:v>0.16</c:v>
                </c:pt>
                <c:pt idx="16">
                  <c:v>0.19</c:v>
                </c:pt>
                <c:pt idx="17">
                  <c:v>0.62</c:v>
                </c:pt>
                <c:pt idx="18">
                  <c:v>1.89</c:v>
                </c:pt>
                <c:pt idx="19">
                  <c:v>3.05</c:v>
                </c:pt>
                <c:pt idx="20">
                  <c:v>6.04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17280"/>
        <c:axId val="122018816"/>
      </c:scatterChart>
      <c:valAx>
        <c:axId val="122017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2018816"/>
        <c:crosses val="autoZero"/>
        <c:crossBetween val="midCat"/>
      </c:valAx>
      <c:valAx>
        <c:axId val="12201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7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Calculations!$R$23:$R$37</c:f>
              <c:numCache>
                <c:formatCode>0.00</c:formatCode>
                <c:ptCount val="15"/>
                <c:pt idx="0">
                  <c:v>-16.515523616057248</c:v>
                </c:pt>
                <c:pt idx="1">
                  <c:v>-16.395503434652262</c:v>
                </c:pt>
                <c:pt idx="2">
                  <c:v>-19.384756580929867</c:v>
                </c:pt>
                <c:pt idx="3">
                  <c:v>-33.759268738782055</c:v>
                </c:pt>
                <c:pt idx="4">
                  <c:v>-32.481348978103476</c:v>
                </c:pt>
                <c:pt idx="5">
                  <c:v>-54.084974139078277</c:v>
                </c:pt>
                <c:pt idx="6">
                  <c:v>-61.565329249047643</c:v>
                </c:pt>
                <c:pt idx="7">
                  <c:v>-69.526890014574207</c:v>
                </c:pt>
                <c:pt idx="8">
                  <c:v>-72.038956515146566</c:v>
                </c:pt>
                <c:pt idx="9">
                  <c:v>-89.022482601066258</c:v>
                </c:pt>
                <c:pt idx="10">
                  <c:v>-93.648332438137373</c:v>
                </c:pt>
                <c:pt idx="11">
                  <c:v>-99.03251795332055</c:v>
                </c:pt>
                <c:pt idx="12">
                  <c:v>-100.73402192002328</c:v>
                </c:pt>
                <c:pt idx="13">
                  <c:v>-102.49146826493264</c:v>
                </c:pt>
                <c:pt idx="14">
                  <c:v>-103.93194794711019</c:v>
                </c:pt>
              </c:numCache>
            </c:numRef>
          </c:xVal>
          <c:yVal>
            <c:numRef>
              <c:f>Calculations!$S$23:$S$37</c:f>
              <c:numCache>
                <c:formatCode>0.00</c:formatCode>
                <c:ptCount val="15"/>
                <c:pt idx="0">
                  <c:v>4.2156652543663142</c:v>
                </c:pt>
                <c:pt idx="1">
                  <c:v>-11.74183753871349</c:v>
                </c:pt>
                <c:pt idx="2">
                  <c:v>-27.104839687679732</c:v>
                </c:pt>
                <c:pt idx="3">
                  <c:v>-61.852996637507019</c:v>
                </c:pt>
                <c:pt idx="4">
                  <c:v>-68.486682395805985</c:v>
                </c:pt>
                <c:pt idx="5">
                  <c:v>-121.73038086659751</c:v>
                </c:pt>
                <c:pt idx="6">
                  <c:v>-134.06775339460253</c:v>
                </c:pt>
                <c:pt idx="7">
                  <c:v>-150.16144321770767</c:v>
                </c:pt>
                <c:pt idx="8">
                  <c:v>-155.06605378779017</c:v>
                </c:pt>
                <c:pt idx="9">
                  <c:v>-192.00839725699905</c:v>
                </c:pt>
                <c:pt idx="10">
                  <c:v>-201.29477068233032</c:v>
                </c:pt>
                <c:pt idx="11">
                  <c:v>-212.89493097428411</c:v>
                </c:pt>
                <c:pt idx="12">
                  <c:v>-217.48394264282919</c:v>
                </c:pt>
                <c:pt idx="13">
                  <c:v>-220.56843749993422</c:v>
                </c:pt>
                <c:pt idx="14">
                  <c:v>-224.15737692609571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82368"/>
        <c:axId val="149883904"/>
      </c:scatterChart>
      <c:valAx>
        <c:axId val="14988236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9883904"/>
        <c:crosses val="autoZero"/>
        <c:crossBetween val="midCat"/>
      </c:valAx>
      <c:valAx>
        <c:axId val="1498839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9882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Calculations!$Z$21:$Z$45</c:f>
              <c:numCache>
                <c:formatCode>0.00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3857534.7835208629</c:v>
                </c:pt>
                <c:pt idx="3">
                  <c:v>3857529.0464190044</c:v>
                </c:pt>
                <c:pt idx="4">
                  <c:v>3857523.0457847146</c:v>
                </c:pt>
                <c:pt idx="5">
                  <c:v>3857508.3031739141</c:v>
                </c:pt>
                <c:pt idx="6">
                  <c:v>3857506.1069780332</c:v>
                </c:pt>
                <c:pt idx="7">
                  <c:v>3857483.5821383568</c:v>
                </c:pt>
                <c:pt idx="8">
                  <c:v>3857477.9824166885</c:v>
                </c:pt>
                <c:pt idx="9">
                  <c:v>3857470.953895838</c:v>
                </c:pt>
                <c:pt idx="10">
                  <c:v>3857468.7987467581</c:v>
                </c:pt>
                <c:pt idx="11">
                  <c:v>3857452.8636797536</c:v>
                </c:pt>
                <c:pt idx="12">
                  <c:v>3857448.8031862928</c:v>
                </c:pt>
                <c:pt idx="13">
                  <c:v>3857443.7915850817</c:v>
                </c:pt>
                <c:pt idx="14">
                  <c:v>3857441.874865714</c:v>
                </c:pt>
                <c:pt idx="15">
                  <c:v>3857440.4921959462</c:v>
                </c:pt>
                <c:pt idx="16">
                  <c:v>3857438.9763071886</c:v>
                </c:pt>
                <c:pt idx="17">
                  <c:v>3857428.264490115</c:v>
                </c:pt>
                <c:pt idx="18">
                  <c:v>3857425.6042193305</c:v>
                </c:pt>
                <c:pt idx="19">
                  <c:v>3857424.4558140486</c:v>
                </c:pt>
                <c:pt idx="20">
                  <c:v>3857420.4533945154</c:v>
                </c:pt>
                <c:pt idx="21">
                  <c:v>3857417.9343989245</c:v>
                </c:pt>
                <c:pt idx="22">
                  <c:v>3857411.5378598231</c:v>
                </c:pt>
                <c:pt idx="23">
                  <c:v>#N/A</c:v>
                </c:pt>
                <c:pt idx="24">
                  <c:v>#N/A</c:v>
                </c:pt>
              </c:numCache>
            </c:numRef>
          </c:xVal>
          <c:yVal>
            <c:numRef>
              <c:f>Calculations!$AA$21:$AA$45</c:f>
              <c:numCache>
                <c:formatCode>0.00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1534592.6647354979</c:v>
                </c:pt>
                <c:pt idx="3">
                  <c:v>1534579.2035058197</c:v>
                </c:pt>
                <c:pt idx="4">
                  <c:v>1534565.1239377074</c:v>
                </c:pt>
                <c:pt idx="5">
                  <c:v>1534530.5326623693</c:v>
                </c:pt>
                <c:pt idx="6">
                  <c:v>1534525.3796255402</c:v>
                </c:pt>
                <c:pt idx="7">
                  <c:v>1534472.5285436157</c:v>
                </c:pt>
                <c:pt idx="8">
                  <c:v>1534459.3896554857</c:v>
                </c:pt>
                <c:pt idx="9">
                  <c:v>1534442.8983091954</c:v>
                </c:pt>
                <c:pt idx="10">
                  <c:v>1534437.8415823895</c:v>
                </c:pt>
                <c:pt idx="11">
                  <c:v>1534400.4523914419</c:v>
                </c:pt>
                <c:pt idx="12">
                  <c:v>1534390.9250662476</c:v>
                </c:pt>
                <c:pt idx="13">
                  <c:v>1534379.1661125775</c:v>
                </c:pt>
                <c:pt idx="14">
                  <c:v>1534374.6688245256</c:v>
                </c:pt>
                <c:pt idx="15">
                  <c:v>1534371.4246019609</c:v>
                </c:pt>
                <c:pt idx="16">
                  <c:v>1534367.8678014651</c:v>
                </c:pt>
                <c:pt idx="17">
                  <c:v>1534342.7341654506</c:v>
                </c:pt>
                <c:pt idx="18">
                  <c:v>1534336.4922480304</c:v>
                </c:pt>
                <c:pt idx="19">
                  <c:v>1534333.7976911534</c:v>
                </c:pt>
                <c:pt idx="20">
                  <c:v>1534324.4066275246</c:v>
                </c:pt>
                <c:pt idx="21">
                  <c:v>1534318.4961906802</c:v>
                </c:pt>
                <c:pt idx="22">
                  <c:v>1534303.487692643</c:v>
                </c:pt>
                <c:pt idx="23">
                  <c:v>#N/A</c:v>
                </c:pt>
                <c:pt idx="24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67136"/>
        <c:axId val="158669440"/>
      </c:scatterChart>
      <c:valAx>
        <c:axId val="1586671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58669440"/>
        <c:crosses val="autoZero"/>
        <c:crossBetween val="midCat"/>
      </c:valAx>
      <c:valAx>
        <c:axId val="1586694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8667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Calculations!$L$56:$L$82</c:f>
              <c:numCache>
                <c:formatCode>General</c:formatCode>
                <c:ptCount val="27"/>
              </c:numCache>
            </c:numRef>
          </c:xVal>
          <c:yVal>
            <c:numRef>
              <c:f>Calculations!$M$56:$M$82</c:f>
              <c:numCache>
                <c:formatCode>0.00</c:formatCode>
                <c:ptCount val="27"/>
              </c:numCache>
            </c:numRef>
          </c:yVal>
          <c:smooth val="0"/>
        </c:ser>
        <c:ser>
          <c:idx val="1"/>
          <c:order val="1"/>
          <c:tx>
            <c:v>BM</c:v>
          </c:tx>
          <c:spPr>
            <a:ln w="28575">
              <a:noFill/>
            </a:ln>
          </c:spPr>
          <c:xVal>
            <c:numRef>
              <c:f>(Calculations!$L$54:$L$55,Calculations!$L$83:$L$84)</c:f>
              <c:numCache>
                <c:formatCode>General</c:formatCode>
                <c:ptCount val="4"/>
              </c:numCache>
            </c:numRef>
          </c:xVal>
          <c:yVal>
            <c:numRef>
              <c:f>(Calculations!$M$54:$M$55,Calculations!$M$83:$M$84)</c:f>
              <c:numCache>
                <c:formatCode>0.00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24960"/>
        <c:axId val="159227264"/>
      </c:scatterChart>
      <c:valAx>
        <c:axId val="15922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9227264"/>
        <c:crosses val="autoZero"/>
        <c:crossBetween val="midCat"/>
      </c:valAx>
      <c:valAx>
        <c:axId val="1592272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92249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599262</xdr:colOff>
      <xdr:row>46</xdr:row>
      <xdr:rowOff>123749</xdr:rowOff>
    </xdr:from>
    <xdr:to>
      <xdr:col>34</xdr:col>
      <xdr:colOff>167833</xdr:colOff>
      <xdr:row>61</xdr:row>
      <xdr:rowOff>9449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705971</xdr:colOff>
      <xdr:row>47</xdr:row>
      <xdr:rowOff>8988</xdr:rowOff>
    </xdr:from>
    <xdr:to>
      <xdr:col>20</xdr:col>
      <xdr:colOff>654100</xdr:colOff>
      <xdr:row>61</xdr:row>
      <xdr:rowOff>85188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179294</xdr:colOff>
      <xdr:row>46</xdr:row>
      <xdr:rowOff>129988</xdr:rowOff>
    </xdr:from>
    <xdr:to>
      <xdr:col>27</xdr:col>
      <xdr:colOff>392206</xdr:colOff>
      <xdr:row>61</xdr:row>
      <xdr:rowOff>15688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47625</xdr:rowOff>
    </xdr:from>
    <xdr:to>
      <xdr:col>22</xdr:col>
      <xdr:colOff>333375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84"/>
  <sheetViews>
    <sheetView tabSelected="1" topLeftCell="L31" zoomScale="85" zoomScaleNormal="85" workbookViewId="0">
      <selection activeCell="AJ23" sqref="AJ23:AJ43"/>
    </sheetView>
  </sheetViews>
  <sheetFormatPr defaultColWidth="10.7109375" defaultRowHeight="15" x14ac:dyDescent="0.25"/>
  <cols>
    <col min="1" max="1" width="10.7109375" style="2"/>
    <col min="2" max="2" width="10.85546875" style="17" bestFit="1" customWidth="1"/>
    <col min="3" max="3" width="10.7109375" style="17"/>
    <col min="4" max="6" width="10.7109375" style="2"/>
    <col min="7" max="7" width="12.7109375" style="2" bestFit="1" customWidth="1"/>
    <col min="8" max="8" width="10.7109375" style="2"/>
    <col min="9" max="9" width="12.5703125" style="2" bestFit="1" customWidth="1"/>
    <col min="10" max="11" width="10.7109375" style="2"/>
    <col min="12" max="12" width="12" style="2" bestFit="1" customWidth="1"/>
    <col min="13" max="14" width="10.7109375" style="16"/>
    <col min="15" max="15" width="10.7109375" style="16" customWidth="1"/>
    <col min="16" max="21" width="10.7109375" style="16"/>
    <col min="22" max="22" width="11.5703125" style="16" bestFit="1" customWidth="1"/>
    <col min="23" max="23" width="10.7109375" style="16"/>
    <col min="24" max="24" width="10.7109375" style="16" customWidth="1"/>
    <col min="25" max="27" width="10.7109375" style="16"/>
    <col min="28" max="28" width="10.7109375" style="2"/>
    <col min="29" max="29" width="10.7109375" style="2" customWidth="1"/>
    <col min="30" max="16384" width="10.7109375" style="2"/>
  </cols>
  <sheetData>
    <row r="1" spans="1:29" x14ac:dyDescent="0.25">
      <c r="A1" s="60" t="s">
        <v>86</v>
      </c>
      <c r="B1" s="61"/>
      <c r="C1" s="51">
        <v>40839</v>
      </c>
      <c r="D1" s="44"/>
      <c r="E1" s="44"/>
      <c r="F1" s="44"/>
      <c r="M1" s="58" t="s">
        <v>21</v>
      </c>
      <c r="N1" s="58"/>
      <c r="O1" s="58"/>
      <c r="P1" s="58"/>
      <c r="Q1" s="58"/>
      <c r="R1" s="22"/>
      <c r="W1" s="55" t="s">
        <v>34</v>
      </c>
      <c r="X1" s="55"/>
      <c r="Y1" s="55"/>
      <c r="Z1" s="2"/>
      <c r="AA1" s="55" t="s">
        <v>56</v>
      </c>
      <c r="AB1" s="55"/>
      <c r="AC1" s="55"/>
    </row>
    <row r="2" spans="1:29" x14ac:dyDescent="0.25">
      <c r="A2" s="60" t="s">
        <v>16</v>
      </c>
      <c r="B2" s="61"/>
      <c r="C2" s="38">
        <v>4.9740000000000002</v>
      </c>
      <c r="D2" s="44"/>
      <c r="E2" s="44"/>
      <c r="F2" s="44"/>
      <c r="M2" s="20"/>
      <c r="N2" s="20"/>
      <c r="O2" s="20"/>
      <c r="P2" s="20"/>
      <c r="Q2" s="20"/>
      <c r="R2" s="22"/>
      <c r="W2" s="22"/>
      <c r="X2" s="22"/>
      <c r="Y2" s="22"/>
      <c r="Z2" s="2"/>
      <c r="AA2" s="22"/>
      <c r="AB2" s="22"/>
      <c r="AC2" s="22"/>
    </row>
    <row r="3" spans="1:29" ht="18" x14ac:dyDescent="0.35">
      <c r="A3" s="60" t="s">
        <v>66</v>
      </c>
      <c r="B3" s="61"/>
      <c r="C3" s="38" t="s">
        <v>71</v>
      </c>
      <c r="D3" s="44"/>
      <c r="E3" s="44"/>
      <c r="F3" s="44"/>
      <c r="M3" s="21" t="s">
        <v>13</v>
      </c>
      <c r="N3" s="21" t="s">
        <v>9</v>
      </c>
      <c r="O3" s="21" t="s">
        <v>14</v>
      </c>
      <c r="P3" s="21" t="s">
        <v>10</v>
      </c>
      <c r="Q3" s="21" t="s">
        <v>15</v>
      </c>
      <c r="R3" s="22"/>
      <c r="W3" s="20"/>
      <c r="X3" s="21" t="s">
        <v>10</v>
      </c>
      <c r="Y3" s="21" t="s">
        <v>10</v>
      </c>
      <c r="Z3" s="2"/>
      <c r="AA3" s="21" t="s">
        <v>40</v>
      </c>
      <c r="AB3" s="21" t="s">
        <v>53</v>
      </c>
      <c r="AC3" s="20">
        <f ca="1">SLOPE(yB,xB)</f>
        <v>2.3463466414538257</v>
      </c>
    </row>
    <row r="4" spans="1:29" ht="18" x14ac:dyDescent="0.35">
      <c r="A4" s="60" t="s">
        <v>67</v>
      </c>
      <c r="B4" s="61"/>
      <c r="C4" s="38" t="s">
        <v>71</v>
      </c>
      <c r="D4" s="44"/>
      <c r="E4" s="44"/>
      <c r="F4" s="44"/>
      <c r="M4" s="22">
        <v>0</v>
      </c>
      <c r="N4" s="20">
        <f>VALUE(MID(C10,FIND(",",C10,3)+1,FIND(",",C10,15)-FIND(",",C10,3)-1))</f>
        <v>3857542.6669999999</v>
      </c>
      <c r="O4" s="20">
        <f>VALUE(MID(C10,FIND(",",C10,1)+1,FIND(",",C10,5)-FIND(",",C10,1)-1))</f>
        <v>1534592.128</v>
      </c>
      <c r="P4" s="20">
        <f>VALUE(MID(C10,FIND(",",C10,17)+1,FIND(",",C10,27)-FIND(",",C10,17)-1))</f>
        <v>3486.9290000000001</v>
      </c>
      <c r="Q4" s="23"/>
      <c r="R4" s="22"/>
      <c r="W4" s="27"/>
      <c r="X4" s="20">
        <f ca="1">VALUE(OFFSET($P$3,MATCH($O$10,$M$4:$M$6,0),0))</f>
        <v>3485.99</v>
      </c>
      <c r="Y4" s="20">
        <f ca="1">OFFSET($P$3,MATCH($Q$10,$M$4:$M$6,0),0)</f>
        <v>3490.7979999999998</v>
      </c>
      <c r="Z4" s="2"/>
      <c r="AA4" s="26" t="s">
        <v>41</v>
      </c>
      <c r="AB4" s="26" t="s">
        <v>54</v>
      </c>
      <c r="AC4" s="28">
        <f ca="1">INTERCEPT(yB,xB)</f>
        <v>-7516521.1188699901</v>
      </c>
    </row>
    <row r="5" spans="1:29" x14ac:dyDescent="0.25">
      <c r="A5" s="52"/>
      <c r="B5" s="46"/>
      <c r="C5" s="46"/>
      <c r="D5" s="4"/>
      <c r="E5" s="44"/>
      <c r="F5" s="44"/>
      <c r="M5" s="22">
        <v>1</v>
      </c>
      <c r="N5" s="20">
        <f t="shared" ref="N5:N6" si="0">VALUE(MID(C11,FIND(",",C11,3)+1,FIND(",",C11,15)-FIND(",",C11,3)-1))</f>
        <v>3857583.5</v>
      </c>
      <c r="O5" s="20">
        <f t="shared" ref="O5:O6" si="1">VALUE(MID(C11,FIND(",",C11,1)+1,FIND(",",C11,5)-FIND(",",C11,1)-1))</f>
        <v>1534628.817</v>
      </c>
      <c r="P5" s="20">
        <f t="shared" ref="P5:P6" si="2">VALUE(MID(C11,FIND(",",C11,17)+1,FIND(",",C11,27)-FIND(",",C11,17)-1))</f>
        <v>3485.99</v>
      </c>
      <c r="Q5" s="24">
        <f>DEGREES(ATAN2(Old_Y1-Old_Y0,Old_X1-Old_X0))+IF(Old_X1-Old_X0&lt;0,360)</f>
        <v>48.05987900119235</v>
      </c>
      <c r="R5" s="22"/>
      <c r="W5" s="21"/>
      <c r="X5" s="20">
        <f ca="1">VALUE(OFFSET($V$20,MATCH($O11,$A$21:$A$50,0),0))</f>
        <v>3485.9395148916224</v>
      </c>
      <c r="Y5" s="20">
        <f ca="1">OFFSET($V$20,MATCH($Q11,$A$21:$A$50,0),0)</f>
        <v>3485.7201116566039</v>
      </c>
      <c r="Z5" s="2"/>
      <c r="AA5" s="26"/>
      <c r="AB5" s="26"/>
      <c r="AC5" s="20"/>
    </row>
    <row r="6" spans="1:29" ht="18" x14ac:dyDescent="0.35">
      <c r="A6" s="62" t="s">
        <v>17</v>
      </c>
      <c r="B6" s="62"/>
      <c r="C6" s="38">
        <v>3</v>
      </c>
      <c r="D6" s="4"/>
      <c r="E6" s="44"/>
      <c r="F6" s="44"/>
      <c r="M6" s="22">
        <v>2</v>
      </c>
      <c r="N6" s="20">
        <f t="shared" si="0"/>
        <v>3857540.1439999999</v>
      </c>
      <c r="O6" s="20">
        <f t="shared" si="1"/>
        <v>1534683.456</v>
      </c>
      <c r="P6" s="20">
        <f t="shared" si="2"/>
        <v>3490.7979999999998</v>
      </c>
      <c r="Q6" s="24">
        <f>DEGREES(ATAN2(Old_Y2-Old_Y0,Old_X2-Old_X0))+IF(Old_X2-Old_X0&lt;0,360)</f>
        <v>358.4175664180238</v>
      </c>
      <c r="R6" s="22"/>
      <c r="W6" s="21"/>
      <c r="X6" s="20">
        <f ca="1">VALUE(OFFSET($V$20,MATCH($O12,$A$21:$A$60,0),0))</f>
        <v>3482.1057155780486</v>
      </c>
      <c r="Y6" s="20">
        <f ca="1">VALUE(OFFSET($V$20,MATCH($O12,$A$21:$A$60,0),0))</f>
        <v>3482.1057155780486</v>
      </c>
      <c r="Z6" s="5"/>
      <c r="AA6" s="26" t="s">
        <v>42</v>
      </c>
      <c r="AB6" s="21" t="s">
        <v>55</v>
      </c>
      <c r="AC6" s="20">
        <f ca="1">-1/mA</f>
        <v>-0.4261944856453041</v>
      </c>
    </row>
    <row r="7" spans="1:29" x14ac:dyDescent="0.25">
      <c r="A7" s="62" t="s">
        <v>18</v>
      </c>
      <c r="B7" s="62"/>
      <c r="C7" s="38">
        <v>23</v>
      </c>
      <c r="D7" s="4"/>
      <c r="E7" s="44"/>
      <c r="F7" s="44"/>
      <c r="M7" s="20"/>
      <c r="N7" s="20"/>
      <c r="O7" s="20"/>
      <c r="P7" s="20"/>
      <c r="Q7" s="20"/>
      <c r="R7" s="22"/>
      <c r="W7" s="20"/>
      <c r="X7" s="20"/>
      <c r="Y7" s="20"/>
      <c r="Z7" s="2"/>
      <c r="AA7" s="20"/>
      <c r="AB7" s="20"/>
      <c r="AC7" s="20"/>
    </row>
    <row r="8" spans="1:29" x14ac:dyDescent="0.25">
      <c r="A8" s="54"/>
      <c r="B8" s="48"/>
      <c r="C8" s="48"/>
      <c r="D8" s="4"/>
      <c r="E8" s="44"/>
      <c r="F8" s="44"/>
      <c r="M8" s="22"/>
      <c r="N8" s="20"/>
      <c r="O8" s="55" t="s">
        <v>24</v>
      </c>
      <c r="P8" s="55"/>
      <c r="Q8" s="55" t="s">
        <v>25</v>
      </c>
      <c r="R8" s="55"/>
      <c r="W8" s="21" t="s">
        <v>35</v>
      </c>
      <c r="X8" s="20">
        <f ca="1">X5-X4</f>
        <v>-5.04851083774156E-2</v>
      </c>
      <c r="Y8" s="20">
        <f ca="1">Y5-Y4</f>
        <v>-5.0778883433958981</v>
      </c>
      <c r="AA8" s="20"/>
      <c r="AB8" s="22"/>
      <c r="AC8" s="22"/>
    </row>
    <row r="9" spans="1:29" x14ac:dyDescent="0.25">
      <c r="A9" s="6"/>
      <c r="B9" s="48"/>
      <c r="C9" s="9" t="s">
        <v>11</v>
      </c>
      <c r="D9" s="44"/>
      <c r="E9" s="44"/>
      <c r="F9" s="44"/>
      <c r="M9" s="20"/>
      <c r="N9" s="20"/>
      <c r="O9" s="25" t="s">
        <v>23</v>
      </c>
      <c r="P9" s="26" t="s">
        <v>19</v>
      </c>
      <c r="Q9" s="26" t="s">
        <v>23</v>
      </c>
      <c r="R9" s="26" t="s">
        <v>19</v>
      </c>
      <c r="W9" s="21" t="s">
        <v>36</v>
      </c>
      <c r="X9" s="20">
        <f ca="1">X6-X4</f>
        <v>-3.884284421951179</v>
      </c>
      <c r="Y9" s="20">
        <f ca="1">Y6-Y4</f>
        <v>-8.6922844219511717</v>
      </c>
      <c r="AA9" s="31" t="s">
        <v>49</v>
      </c>
      <c r="AB9" s="31"/>
      <c r="AC9" s="20">
        <f ca="1">AVERAGE(DfromL)</f>
        <v>1.8747468472583027</v>
      </c>
    </row>
    <row r="10" spans="1:29" s="16" customFormat="1" x14ac:dyDescent="0.25">
      <c r="A10" s="53"/>
      <c r="B10" s="48"/>
      <c r="C10" s="35" t="s">
        <v>87</v>
      </c>
      <c r="D10" s="36"/>
      <c r="E10" s="37"/>
      <c r="F10" s="47"/>
      <c r="M10" s="59" t="s">
        <v>22</v>
      </c>
      <c r="N10" s="59"/>
      <c r="O10" s="32">
        <v>1</v>
      </c>
      <c r="P10" s="20">
        <f ca="1">OFFSET($Q$3,MATCH($O$10,$M$4:$M$6,0),0)</f>
        <v>48.05987900119235</v>
      </c>
      <c r="Q10" s="32">
        <v>2</v>
      </c>
      <c r="R10" s="20">
        <f ca="1">OFFSET($Q$3,MATCH($O$10,$M$4:$M$6,0),0)</f>
        <v>48.05987900119235</v>
      </c>
      <c r="W10" s="22"/>
      <c r="X10" s="22"/>
      <c r="Y10" s="22"/>
      <c r="AA10" s="31" t="s">
        <v>50</v>
      </c>
      <c r="AB10" s="31"/>
      <c r="AC10" s="20">
        <f ca="1">_xlfn.STDEV.P(DfromL)</f>
        <v>2.2160158779648502</v>
      </c>
    </row>
    <row r="11" spans="1:29" s="16" customFormat="1" x14ac:dyDescent="0.25">
      <c r="A11" s="14"/>
      <c r="B11" s="48"/>
      <c r="C11" s="35" t="s">
        <v>88</v>
      </c>
      <c r="D11" s="36"/>
      <c r="E11" s="37"/>
      <c r="F11" s="47"/>
      <c r="M11" s="55" t="s">
        <v>31</v>
      </c>
      <c r="N11" s="55"/>
      <c r="O11" s="32">
        <v>1</v>
      </c>
      <c r="P11" s="20">
        <f ca="1">OFFSET($N$20,MATCH($O11,$A$21:$A$50,0),0)</f>
        <v>0</v>
      </c>
      <c r="Q11" s="32">
        <v>2</v>
      </c>
      <c r="R11" s="20">
        <f ca="1">OFFSET($N$20,MATCH($Q11,$A$21:$A$50,0),0)</f>
        <v>309.5697222222222</v>
      </c>
      <c r="W11" s="21" t="s">
        <v>37</v>
      </c>
      <c r="X11" s="20">
        <f ca="1">AVERAGE(X8:Y9)</f>
        <v>-4.4262355739189161</v>
      </c>
      <c r="Y11" s="30" t="s">
        <v>38</v>
      </c>
      <c r="AA11" s="20"/>
      <c r="AB11" s="20"/>
      <c r="AC11" s="20"/>
    </row>
    <row r="12" spans="1:29" s="16" customFormat="1" x14ac:dyDescent="0.25">
      <c r="A12" s="14"/>
      <c r="B12" s="48"/>
      <c r="C12" s="35" t="s">
        <v>89</v>
      </c>
      <c r="D12" s="36"/>
      <c r="E12" s="37"/>
      <c r="F12" s="47"/>
      <c r="M12" s="55" t="s">
        <v>30</v>
      </c>
      <c r="N12" s="55"/>
      <c r="O12" s="32">
        <v>24</v>
      </c>
      <c r="P12" s="20">
        <f ca="1">OFFSET($N$20,MATCH($O12,$A$21:$A$60,0),0)</f>
        <v>2.9166666666666667E-2</v>
      </c>
      <c r="Q12" s="32">
        <v>25</v>
      </c>
      <c r="R12" s="20">
        <f ca="1">OFFSET($N$20,MATCH($Q12,$A$21:$A$50,0),0)</f>
        <v>309.56916666666666</v>
      </c>
      <c r="W12" s="20"/>
      <c r="X12" s="20"/>
      <c r="Y12" s="20"/>
      <c r="AA12" s="20"/>
      <c r="AB12" s="20"/>
      <c r="AC12" s="20"/>
    </row>
    <row r="13" spans="1:29" s="16" customFormat="1" x14ac:dyDescent="0.25">
      <c r="A13" s="14"/>
      <c r="B13" s="48"/>
      <c r="C13" s="48"/>
      <c r="D13" s="18"/>
      <c r="E13" s="47"/>
      <c r="F13" s="47"/>
      <c r="M13" s="20"/>
      <c r="N13" s="20"/>
      <c r="O13" s="20"/>
      <c r="P13" s="20"/>
      <c r="Q13" s="20"/>
      <c r="R13" s="20"/>
      <c r="W13" s="20" t="s">
        <v>64</v>
      </c>
      <c r="X13" s="20">
        <f ca="1">MIN(Zs)</f>
        <v>3465.575649865385</v>
      </c>
      <c r="Y13" s="20"/>
      <c r="AA13" s="20"/>
      <c r="AB13" s="20"/>
      <c r="AC13" s="20"/>
    </row>
    <row r="14" spans="1:29" s="16" customFormat="1" x14ac:dyDescent="0.25">
      <c r="A14" s="53"/>
      <c r="B14" s="48"/>
      <c r="C14" s="48"/>
      <c r="D14" s="18"/>
      <c r="E14" s="47"/>
      <c r="F14" s="47"/>
      <c r="M14" s="55" t="s">
        <v>32</v>
      </c>
      <c r="N14" s="55"/>
      <c r="O14" s="22"/>
      <c r="P14" s="20">
        <f ca="1">P10-P11+IF(P11&gt;P10,360)</f>
        <v>48.05987900119235</v>
      </c>
      <c r="Q14" s="20"/>
      <c r="R14" s="20">
        <f ca="1">R10-R11+IF(R11&gt;R10,360)</f>
        <v>98.490156778970174</v>
      </c>
      <c r="W14" s="20"/>
      <c r="X14" s="20"/>
      <c r="Y14" s="20"/>
      <c r="AA14" s="20"/>
      <c r="AB14" s="20"/>
      <c r="AC14" s="20"/>
    </row>
    <row r="15" spans="1:29" x14ac:dyDescent="0.25">
      <c r="A15" s="54"/>
      <c r="B15" s="48"/>
      <c r="C15" s="48"/>
      <c r="D15" s="4"/>
      <c r="E15" s="44"/>
      <c r="F15" s="44"/>
      <c r="M15" s="55" t="s">
        <v>33</v>
      </c>
      <c r="N15" s="55"/>
      <c r="O15" s="22"/>
      <c r="P15" s="20">
        <f ca="1">P10-P12+IF(P12&gt;P10,360)</f>
        <v>48.030712334525681</v>
      </c>
      <c r="Q15" s="20"/>
      <c r="R15" s="20">
        <f ca="1">R10-R12+IF(R12&gt;R10,360)</f>
        <v>98.490712334525711</v>
      </c>
      <c r="W15" s="20"/>
      <c r="X15" s="20"/>
      <c r="Y15" s="20"/>
      <c r="AA15" s="22"/>
      <c r="AB15" s="22"/>
      <c r="AC15" s="22"/>
    </row>
    <row r="16" spans="1:29" x14ac:dyDescent="0.25">
      <c r="A16" s="54"/>
      <c r="B16" s="48" t="s">
        <v>68</v>
      </c>
      <c r="C16" s="48"/>
      <c r="D16" s="4"/>
      <c r="E16" s="44"/>
      <c r="F16" s="44"/>
      <c r="M16" s="22"/>
      <c r="N16" s="22"/>
      <c r="O16" s="22"/>
      <c r="P16" s="22"/>
      <c r="Q16" s="22"/>
      <c r="R16" s="29"/>
      <c r="W16" s="20"/>
      <c r="X16" s="20"/>
      <c r="Y16" s="20"/>
      <c r="AA16" s="22"/>
      <c r="AB16" s="22"/>
      <c r="AC16" s="22"/>
    </row>
    <row r="17" spans="1:36" x14ac:dyDescent="0.25">
      <c r="A17" s="54"/>
      <c r="B17" s="48"/>
      <c r="C17" s="48"/>
      <c r="D17" s="4"/>
      <c r="E17" s="44"/>
      <c r="F17" s="44"/>
      <c r="M17" s="55" t="s">
        <v>39</v>
      </c>
      <c r="N17" s="55"/>
      <c r="O17" s="20">
        <f ca="1">AVERAGE(P14:P15,R14:R15)</f>
        <v>73.267865112303483</v>
      </c>
      <c r="P17" s="30"/>
      <c r="Q17" s="22"/>
      <c r="R17" s="22"/>
      <c r="W17" s="20"/>
      <c r="X17" s="20"/>
      <c r="Y17" s="22"/>
      <c r="Z17" s="2"/>
      <c r="AA17" s="22"/>
      <c r="AB17" s="22"/>
      <c r="AC17" s="22"/>
    </row>
    <row r="18" spans="1:36" x14ac:dyDescent="0.25">
      <c r="A18" s="54"/>
      <c r="B18" s="48"/>
      <c r="C18" s="48"/>
      <c r="D18" s="4"/>
      <c r="E18" s="44"/>
      <c r="F18" s="44"/>
      <c r="M18" s="18"/>
      <c r="O18" s="18"/>
      <c r="P18" s="18"/>
      <c r="Q18" s="18"/>
      <c r="R18" s="18"/>
      <c r="S18" s="18"/>
      <c r="T18" s="18"/>
      <c r="U18" s="18"/>
      <c r="V18" s="2"/>
      <c r="W18" s="2"/>
      <c r="X18" s="2"/>
      <c r="Y18" s="2"/>
      <c r="Z18" s="2"/>
      <c r="AA18" s="2"/>
    </row>
    <row r="19" spans="1:36" s="1" customFormat="1" x14ac:dyDescent="0.25">
      <c r="A19" s="54"/>
      <c r="B19" s="11"/>
      <c r="C19" s="11"/>
      <c r="D19" s="7"/>
      <c r="E19" s="7"/>
      <c r="F19" s="7"/>
      <c r="G19" s="7"/>
      <c r="H19" s="7"/>
      <c r="I19" s="7"/>
      <c r="J19" s="7"/>
      <c r="K19" s="7"/>
      <c r="N19" s="14"/>
      <c r="O19" s="14"/>
      <c r="P19" s="14"/>
      <c r="Q19" s="14"/>
      <c r="R19" s="14"/>
      <c r="S19" s="14"/>
      <c r="T19" s="56" t="s">
        <v>20</v>
      </c>
      <c r="U19" s="56"/>
      <c r="X19" s="57" t="s">
        <v>45</v>
      </c>
      <c r="Y19" s="57"/>
      <c r="Z19" s="57" t="s">
        <v>46</v>
      </c>
      <c r="AA19" s="57"/>
      <c r="AB19" s="1" t="s">
        <v>47</v>
      </c>
      <c r="AC19" s="1" t="s">
        <v>51</v>
      </c>
      <c r="AE19" s="41" t="s">
        <v>51</v>
      </c>
      <c r="AG19" s="41"/>
      <c r="AH19" s="41"/>
      <c r="AI19" s="41"/>
    </row>
    <row r="20" spans="1:36" s="3" customFormat="1" ht="18" x14ac:dyDescent="0.35">
      <c r="A20" s="3" t="s">
        <v>0</v>
      </c>
      <c r="B20" s="12" t="s">
        <v>1</v>
      </c>
      <c r="C20" s="12" t="s">
        <v>2</v>
      </c>
      <c r="D20" s="3" t="s">
        <v>3</v>
      </c>
      <c r="E20" s="3" t="s">
        <v>4</v>
      </c>
      <c r="F20" s="3" t="s">
        <v>5</v>
      </c>
      <c r="G20" s="12" t="s">
        <v>82</v>
      </c>
      <c r="H20" s="12" t="s">
        <v>76</v>
      </c>
      <c r="I20" s="12" t="s">
        <v>81</v>
      </c>
      <c r="J20" s="12" t="s">
        <v>80</v>
      </c>
      <c r="K20" s="3" t="s">
        <v>74</v>
      </c>
      <c r="L20" s="3" t="s">
        <v>75</v>
      </c>
      <c r="M20" s="8" t="s">
        <v>26</v>
      </c>
      <c r="N20" s="8" t="s">
        <v>27</v>
      </c>
      <c r="O20" s="8" t="s">
        <v>28</v>
      </c>
      <c r="P20" s="19" t="s">
        <v>29</v>
      </c>
      <c r="Q20" s="19" t="s">
        <v>79</v>
      </c>
      <c r="R20" s="19" t="s">
        <v>77</v>
      </c>
      <c r="S20" s="19" t="s">
        <v>78</v>
      </c>
      <c r="T20" s="19" t="s">
        <v>7</v>
      </c>
      <c r="U20" s="19" t="s">
        <v>6</v>
      </c>
      <c r="V20" s="19" t="s">
        <v>12</v>
      </c>
      <c r="W20" s="19" t="s">
        <v>8</v>
      </c>
      <c r="X20" s="3" t="s">
        <v>43</v>
      </c>
      <c r="Y20" s="3" t="s">
        <v>44</v>
      </c>
      <c r="Z20" s="3" t="s">
        <v>7</v>
      </c>
      <c r="AA20" s="3" t="s">
        <v>6</v>
      </c>
      <c r="AB20" s="3" t="s">
        <v>48</v>
      </c>
      <c r="AC20" s="3" t="s">
        <v>52</v>
      </c>
      <c r="AD20" s="19" t="s">
        <v>65</v>
      </c>
      <c r="AE20" s="3" t="s">
        <v>72</v>
      </c>
      <c r="AF20" s="19" t="s">
        <v>73</v>
      </c>
      <c r="AG20" s="19"/>
      <c r="AH20" s="19"/>
      <c r="AI20" s="19"/>
    </row>
    <row r="21" spans="1:36" x14ac:dyDescent="0.25">
      <c r="A21" s="44">
        <v>1</v>
      </c>
      <c r="B21" s="48">
        <v>0</v>
      </c>
      <c r="C21" s="48">
        <v>3.7952314814814816</v>
      </c>
      <c r="D21" s="44">
        <v>55.807000000000002</v>
      </c>
      <c r="E21" s="44">
        <v>4.9062000000000001</v>
      </c>
      <c r="F21" s="49" t="s">
        <v>84</v>
      </c>
      <c r="G21" s="43">
        <f>C21*24</f>
        <v>91.085555555555558</v>
      </c>
      <c r="H21" s="43">
        <f>RADIANS(G21)</f>
        <v>1.5897428454526572</v>
      </c>
      <c r="I21" s="43">
        <f t="shared" ref="I21:I33" si="3">B21*24</f>
        <v>0</v>
      </c>
      <c r="J21" s="39">
        <f>RADIANS(I21)</f>
        <v>0</v>
      </c>
      <c r="K21" s="39">
        <f>D21*SIN(H21)</f>
        <v>55.79698376435416</v>
      </c>
      <c r="L21" s="15">
        <f>D21*COS(H21)</f>
        <v>-1.0572851083782</v>
      </c>
      <c r="M21" s="13"/>
      <c r="N21" s="16">
        <f t="shared" ref="N21:N33" si="4">I21+M21</f>
        <v>0</v>
      </c>
      <c r="O21" s="16">
        <f ca="1">$O$17</f>
        <v>73.267865112303483</v>
      </c>
      <c r="P21" s="16">
        <f ca="1">SUM(N21,O21)</f>
        <v>73.267865112303483</v>
      </c>
      <c r="Q21" s="16">
        <f ca="1">RADIANS(P21)</f>
        <v>1.2787654821167806</v>
      </c>
      <c r="R21" s="16">
        <f t="shared" ref="R21:R33" ca="1" si="5">K21*SIN(Q21)</f>
        <v>53.434605050020949</v>
      </c>
      <c r="S21" s="16">
        <f t="shared" ref="S21:S33" ca="1" si="6">K21*COS(Q21)</f>
        <v>16.063822096496114</v>
      </c>
      <c r="T21" s="13">
        <f t="shared" ref="T21:T33" ca="1" si="7">Old_X0+R21</f>
        <v>3857596.1016050498</v>
      </c>
      <c r="U21" s="13">
        <f t="shared" ref="U21:U33" ca="1" si="8">Old_Y0+S21</f>
        <v>1534608.1918220965</v>
      </c>
      <c r="V21" s="16">
        <f t="shared" ref="V21:V33" si="9">Old_Z0+HI+L21-E21</f>
        <v>3485.9395148916224</v>
      </c>
      <c r="W21" s="16">
        <f t="shared" ref="W21:W33" ca="1" si="10">IF(ISNUMBER(T21),V21+dZ,"")</f>
        <v>3481.5132793177036</v>
      </c>
      <c r="X21" s="16" t="str">
        <f t="shared" ref="X21:X45" si="11">IF(AND(A21&gt;=CS_Start,A21&lt;=CS_End),IF(OR(LEFT(UPPER(F21))="D"),"",T21),"")</f>
        <v/>
      </c>
      <c r="Y21" s="16" t="str">
        <f>IF(ISNUMBER(X21),U21,"")</f>
        <v/>
      </c>
      <c r="Z21" s="16" t="e">
        <f t="shared" ref="Z21:Z45" si="12">IF(X21="",NA(),VALUE((-mB*X21+Y21-bA)/(mA-mB)))</f>
        <v>#N/A</v>
      </c>
      <c r="AA21" s="16" t="e">
        <f t="shared" ref="AA21:AA45" si="13">IF(ISNA(Z21),NA(),VALUE(mA*Z21+bA))</f>
        <v>#N/A</v>
      </c>
      <c r="AB21" s="16" t="str">
        <f>IF(ISNUMBER(X21),SQRT((X21-Z21)^2+(Y21-AA21)^2),"")</f>
        <v/>
      </c>
      <c r="AC21" s="16" t="str">
        <f ca="1">IF(ISNUMBER(Z21),SQRT(($Z21-OFFSET($Z$20,MATCH(CS_Start,$A$21:$A$50,0),0))^2+($AA21-OFFSET($AA$20,MATCH(CS_Start,$A$21:$A$50,0),0))^2),"")</f>
        <v/>
      </c>
      <c r="AD21" s="16" t="str">
        <f t="shared" ref="AD21:AD23" si="14">IF(ISNUMBER(X21),W21-Min_Z,"")</f>
        <v/>
      </c>
    </row>
    <row r="22" spans="1:36" x14ac:dyDescent="0.25">
      <c r="A22" s="44">
        <v>2</v>
      </c>
      <c r="B22" s="48">
        <v>12.898738425925925</v>
      </c>
      <c r="C22" s="48">
        <v>3.784872685185185</v>
      </c>
      <c r="D22" s="44">
        <v>87.403000000000006</v>
      </c>
      <c r="E22" s="44">
        <v>4.9062000000000001</v>
      </c>
      <c r="F22" s="49" t="s">
        <v>85</v>
      </c>
      <c r="G22" s="43">
        <f t="shared" ref="G22:G33" si="15">C22*24</f>
        <v>90.836944444444441</v>
      </c>
      <c r="H22" s="43">
        <f t="shared" ref="H22:H33" si="16">RADIANS(G22)</f>
        <v>1.5854037630067268</v>
      </c>
      <c r="I22" s="43">
        <f t="shared" si="3"/>
        <v>309.5697222222222</v>
      </c>
      <c r="J22" s="39">
        <f t="shared" ref="J22:J33" si="17">RADIANS(I22)</f>
        <v>5.4030109172620344</v>
      </c>
      <c r="K22" s="39">
        <f t="shared" ref="K22:K33" si="18">D22*SIN(H22)</f>
        <v>87.393675262422946</v>
      </c>
      <c r="L22" s="15">
        <f t="shared" ref="L22:L33" si="19">D22*COS(H22)</f>
        <v>-1.2766883433965395</v>
      </c>
      <c r="M22" s="13"/>
      <c r="N22" s="16">
        <f t="shared" si="4"/>
        <v>309.5697222222222</v>
      </c>
      <c r="O22" s="16">
        <f t="shared" ref="O22:O45" ca="1" si="20">$O$17</f>
        <v>73.267865112303483</v>
      </c>
      <c r="P22" s="16">
        <f t="shared" ref="P22:P33" ca="1" si="21">SUM(N22,O22)</f>
        <v>382.83758733452567</v>
      </c>
      <c r="Q22" s="16">
        <f t="shared" ref="Q22:Q33" ca="1" si="22">RADIANS(P22)</f>
        <v>6.6817763993788146</v>
      </c>
      <c r="R22" s="16">
        <f t="shared" ca="1" si="5"/>
        <v>33.919256508513534</v>
      </c>
      <c r="S22" s="16">
        <f t="shared" ca="1" si="6"/>
        <v>80.542774435597252</v>
      </c>
      <c r="T22" s="13">
        <f t="shared" ca="1" si="7"/>
        <v>3857576.5862565082</v>
      </c>
      <c r="U22" s="13">
        <f t="shared" ca="1" si="8"/>
        <v>1534672.6707744356</v>
      </c>
      <c r="V22" s="16">
        <f t="shared" si="9"/>
        <v>3485.7201116566039</v>
      </c>
      <c r="W22" s="16">
        <f t="shared" ca="1" si="10"/>
        <v>3481.2938760826851</v>
      </c>
      <c r="X22" s="47" t="str">
        <f t="shared" si="11"/>
        <v/>
      </c>
      <c r="Y22" s="47" t="str">
        <f t="shared" ref="Y22:Y35" si="23">IF(ISNUMBER(X22),U22,"")</f>
        <v/>
      </c>
      <c r="Z22" s="47" t="e">
        <f t="shared" si="12"/>
        <v>#N/A</v>
      </c>
      <c r="AA22" s="47" t="e">
        <f t="shared" si="13"/>
        <v>#N/A</v>
      </c>
      <c r="AB22" s="16" t="str">
        <f t="shared" ref="AB22:AB23" si="24">IF(ISNUMBER(X22),SQRT((X22-Z22)^2+(Y22-AA22)^2),"")</f>
        <v/>
      </c>
      <c r="AC22" s="16" t="str">
        <f ca="1">IF(ISNUMBER(Z22),SQRT(($Z22-OFFSET($Z$20,MATCH(CS_Start,$A$21:$A$50,0),0))^2+($AA22-OFFSET($AA$20,MATCH(CS_Start,$A$21:$A$50,0),0))^2),"")</f>
        <v/>
      </c>
      <c r="AD22" s="16" t="str">
        <f t="shared" si="14"/>
        <v/>
      </c>
    </row>
    <row r="23" spans="1:36" x14ac:dyDescent="0.25">
      <c r="A23" s="44">
        <v>3</v>
      </c>
      <c r="B23" s="48">
        <v>8.7938078703703706</v>
      </c>
      <c r="C23" s="48">
        <v>3.9091203703703705</v>
      </c>
      <c r="D23" s="44">
        <v>17.082999999999998</v>
      </c>
      <c r="E23" s="44">
        <v>4.9062000000000001</v>
      </c>
      <c r="F23" s="44"/>
      <c r="G23" s="43">
        <f t="shared" si="15"/>
        <v>93.818888888888893</v>
      </c>
      <c r="H23" s="43">
        <f t="shared" si="16"/>
        <v>1.6374485116738358</v>
      </c>
      <c r="I23" s="43">
        <f t="shared" si="3"/>
        <v>211.05138888888888</v>
      </c>
      <c r="J23" s="39">
        <f t="shared" si="17"/>
        <v>3.6835416270180876</v>
      </c>
      <c r="K23" s="39">
        <f t="shared" si="18"/>
        <v>17.045068314601032</v>
      </c>
      <c r="L23" s="15">
        <f t="shared" si="19"/>
        <v>-1.1377764062345062</v>
      </c>
      <c r="M23" s="13"/>
      <c r="N23" s="16">
        <f t="shared" si="4"/>
        <v>211.05138888888888</v>
      </c>
      <c r="O23" s="16">
        <f t="shared" ca="1" si="20"/>
        <v>73.267865112303483</v>
      </c>
      <c r="P23" s="16">
        <f t="shared" ca="1" si="21"/>
        <v>284.31925400119235</v>
      </c>
      <c r="Q23" s="16">
        <f t="shared" ca="1" si="22"/>
        <v>4.9623071091348683</v>
      </c>
      <c r="R23" s="16">
        <f t="shared" ca="1" si="5"/>
        <v>-16.515523616057248</v>
      </c>
      <c r="S23" s="16">
        <f t="shared" ca="1" si="6"/>
        <v>4.2156652543663142</v>
      </c>
      <c r="T23" s="13">
        <f t="shared" ca="1" si="7"/>
        <v>3857526.1514763837</v>
      </c>
      <c r="U23" s="13">
        <f t="shared" ca="1" si="8"/>
        <v>1534596.3436652543</v>
      </c>
      <c r="V23" s="16">
        <f t="shared" si="9"/>
        <v>3485.8590235937659</v>
      </c>
      <c r="W23" s="16">
        <f t="shared" ca="1" si="10"/>
        <v>3481.4327880198471</v>
      </c>
      <c r="X23" s="47">
        <f t="shared" ca="1" si="11"/>
        <v>3857526.1514763837</v>
      </c>
      <c r="Y23" s="47">
        <f t="shared" ca="1" si="23"/>
        <v>1534596.3436652543</v>
      </c>
      <c r="Z23" s="47">
        <f t="shared" ca="1" si="12"/>
        <v>3857534.7835208629</v>
      </c>
      <c r="AA23" s="47">
        <f t="shared" ca="1" si="13"/>
        <v>1534592.6647354979</v>
      </c>
      <c r="AB23" s="16">
        <f t="shared" ca="1" si="24"/>
        <v>9.3833211628004332</v>
      </c>
      <c r="AC23" s="16">
        <f ca="1">IF(ISNUMBER(Z23),SQRT(($Z23-OFFSET($Z$20,MATCH(CS_Start,$A$21:$A$50,0),0))^2+($AA23-OFFSET($AA$20,MATCH(CS_Start,$A$21:$A$50,0),0))^2),"")</f>
        <v>0</v>
      </c>
      <c r="AD23" s="16">
        <f t="shared" ca="1" si="14"/>
        <v>15.857138154462064</v>
      </c>
      <c r="AE23" s="47">
        <f ca="1">ROUND(AC23,2)</f>
        <v>0</v>
      </c>
      <c r="AF23" s="47">
        <f ca="1">ROUND(AD23,2)</f>
        <v>15.86</v>
      </c>
      <c r="AH23" s="44">
        <v>0</v>
      </c>
      <c r="AI23" s="2">
        <f ca="1">OFFSET($AF$22,MATCH(AH23,$AE$23:$AE$58,0),0)</f>
        <v>15.86</v>
      </c>
      <c r="AJ23" s="2" t="str">
        <f t="shared" ref="AJ23:AJ31" ca="1" si="25">CONCATENATE(AH23,",",AI23)</f>
        <v>0,15.86</v>
      </c>
    </row>
    <row r="24" spans="1:36" x14ac:dyDescent="0.25">
      <c r="A24" s="44">
        <v>4</v>
      </c>
      <c r="B24" s="48">
        <v>6.7134722222222223</v>
      </c>
      <c r="C24" s="48">
        <v>4.5317129629629624</v>
      </c>
      <c r="D24" s="44">
        <v>21.297999999999998</v>
      </c>
      <c r="E24" s="44">
        <v>4.9062000000000001</v>
      </c>
      <c r="F24" s="44"/>
      <c r="G24" s="43">
        <f t="shared" si="15"/>
        <v>108.76111111111109</v>
      </c>
      <c r="H24" s="43">
        <f t="shared" si="16"/>
        <v>1.8982394870162769</v>
      </c>
      <c r="I24" s="43">
        <f t="shared" si="3"/>
        <v>161.12333333333333</v>
      </c>
      <c r="J24" s="39">
        <f t="shared" si="17"/>
        <v>2.8121326684549968</v>
      </c>
      <c r="K24" s="39">
        <f t="shared" si="18"/>
        <v>20.166389901547461</v>
      </c>
      <c r="L24" s="15">
        <f t="shared" si="19"/>
        <v>-6.8499286374942958</v>
      </c>
      <c r="M24" s="13"/>
      <c r="N24" s="16">
        <f t="shared" si="4"/>
        <v>161.12333333333333</v>
      </c>
      <c r="O24" s="16">
        <f t="shared" ca="1" si="20"/>
        <v>73.267865112303483</v>
      </c>
      <c r="P24" s="16">
        <f t="shared" ca="1" si="21"/>
        <v>234.3911984456368</v>
      </c>
      <c r="Q24" s="16">
        <f t="shared" ca="1" si="22"/>
        <v>4.0908981505717774</v>
      </c>
      <c r="R24" s="16">
        <f t="shared" ca="1" si="5"/>
        <v>-16.395503434652262</v>
      </c>
      <c r="S24" s="16">
        <f t="shared" ca="1" si="6"/>
        <v>-11.74183753871349</v>
      </c>
      <c r="T24" s="13">
        <f t="shared" ca="1" si="7"/>
        <v>3857526.2714965651</v>
      </c>
      <c r="U24" s="13">
        <f t="shared" ca="1" si="8"/>
        <v>1534580.3861624612</v>
      </c>
      <c r="V24" s="16">
        <f t="shared" si="9"/>
        <v>3480.1468713625059</v>
      </c>
      <c r="W24" s="16">
        <f t="shared" ca="1" si="10"/>
        <v>3475.7206357885871</v>
      </c>
      <c r="X24" s="47">
        <f t="shared" ca="1" si="11"/>
        <v>3857526.2714965651</v>
      </c>
      <c r="Y24" s="47">
        <f t="shared" ca="1" si="23"/>
        <v>1534580.3861624612</v>
      </c>
      <c r="Z24" s="47">
        <f t="shared" ca="1" si="12"/>
        <v>3857529.0464190044</v>
      </c>
      <c r="AA24" s="47">
        <f t="shared" ca="1" si="13"/>
        <v>1534579.2035058197</v>
      </c>
      <c r="AB24" s="47">
        <f t="shared" ref="AB24:AB33" ca="1" si="26">IF(ISNUMBER(X24),SQRT((X24-Z24)^2+(Y24-AA24)^2),"")</f>
        <v>3.0164335358767604</v>
      </c>
      <c r="AC24" s="47">
        <f ca="1">IF(ISNUMBER(Z24),SQRT(($Z24-OFFSET($Z$20,MATCH(CS_Start,$A$21:$A$50,0),0))^2+($AA24-OFFSET($AA$20,MATCH(CS_Start,$A$21:$A$50,0),0))^2),"")</f>
        <v>14.632807050768346</v>
      </c>
      <c r="AD24" s="47">
        <f t="shared" ref="AD24:AD33" ca="1" si="27">IF(ISNUMBER(X24),W24-Min_Z,"")</f>
        <v>10.144985923202057</v>
      </c>
      <c r="AE24" s="47">
        <f t="shared" ref="AE24:AE45" ca="1" si="28">ROUND(AC24,2)</f>
        <v>14.63</v>
      </c>
      <c r="AF24" s="47">
        <f t="shared" ref="AF24:AF45" ca="1" si="29">ROUND(AD24,2)</f>
        <v>10.14</v>
      </c>
      <c r="AH24" s="44">
        <v>14.63</v>
      </c>
      <c r="AI24" s="44">
        <f ca="1">OFFSET($AF$22,MATCH(AH24,$AE$23:$AE$58,0),0)</f>
        <v>10.14</v>
      </c>
      <c r="AJ24" s="2" t="str">
        <f t="shared" ca="1" si="25"/>
        <v>14.63,10.14</v>
      </c>
    </row>
    <row r="25" spans="1:36" x14ac:dyDescent="0.25">
      <c r="A25" s="44">
        <v>5</v>
      </c>
      <c r="B25" s="48">
        <v>5.9293171296296299</v>
      </c>
      <c r="C25" s="48">
        <v>4.5563773148148146</v>
      </c>
      <c r="D25" s="44">
        <v>35.319000000000003</v>
      </c>
      <c r="E25" s="44">
        <v>4.9062000000000001</v>
      </c>
      <c r="F25" s="44"/>
      <c r="G25" s="43">
        <f t="shared" si="15"/>
        <v>109.35305555555556</v>
      </c>
      <c r="H25" s="43">
        <f t="shared" si="16"/>
        <v>1.9085708665607215</v>
      </c>
      <c r="I25" s="43">
        <f t="shared" si="3"/>
        <v>142.30361111111111</v>
      </c>
      <c r="J25" s="39">
        <f t="shared" si="17"/>
        <v>2.4836665513664751</v>
      </c>
      <c r="K25" s="39">
        <f t="shared" si="18"/>
        <v>33.3232819841732</v>
      </c>
      <c r="L25" s="15">
        <f t="shared" si="19"/>
        <v>-11.704300013383024</v>
      </c>
      <c r="M25" s="13"/>
      <c r="N25" s="16">
        <f t="shared" si="4"/>
        <v>142.30361111111111</v>
      </c>
      <c r="O25" s="16">
        <f t="shared" ca="1" si="20"/>
        <v>73.267865112303483</v>
      </c>
      <c r="P25" s="16">
        <f t="shared" ca="1" si="21"/>
        <v>215.57147622341461</v>
      </c>
      <c r="Q25" s="16">
        <f t="shared" ca="1" si="22"/>
        <v>3.7624320334832562</v>
      </c>
      <c r="R25" s="16">
        <f t="shared" ca="1" si="5"/>
        <v>-19.384756580929867</v>
      </c>
      <c r="S25" s="16">
        <f t="shared" ca="1" si="6"/>
        <v>-27.104839687679732</v>
      </c>
      <c r="T25" s="13">
        <f t="shared" ca="1" si="7"/>
        <v>3857523.282243419</v>
      </c>
      <c r="U25" s="13">
        <f t="shared" ca="1" si="8"/>
        <v>1534565.0231603123</v>
      </c>
      <c r="V25" s="16">
        <f t="shared" si="9"/>
        <v>3475.2924999866173</v>
      </c>
      <c r="W25" s="16">
        <f t="shared" ca="1" si="10"/>
        <v>3470.8662644126985</v>
      </c>
      <c r="X25" s="47">
        <f t="shared" ca="1" si="11"/>
        <v>3857523.282243419</v>
      </c>
      <c r="Y25" s="47">
        <f t="shared" ca="1" si="23"/>
        <v>1534565.0231603123</v>
      </c>
      <c r="Z25" s="47">
        <f t="shared" ca="1" si="12"/>
        <v>3857523.0457847146</v>
      </c>
      <c r="AA25" s="47">
        <f t="shared" ca="1" si="13"/>
        <v>1534565.1239377074</v>
      </c>
      <c r="AB25" s="47">
        <f t="shared" ca="1" si="26"/>
        <v>0.25703852282437062</v>
      </c>
      <c r="AC25" s="47">
        <f ca="1">IF(ISNUMBER(Z25),SQRT(($Z25-OFFSET($Z$20,MATCH(CS_Start,$A$21:$A$50,0),0))^2+($AA25-OFFSET($AA$20,MATCH(CS_Start,$A$21:$A$50,0),0))^2),"")</f>
        <v>29.937768668103242</v>
      </c>
      <c r="AD25" s="47">
        <f t="shared" ca="1" si="27"/>
        <v>5.2906145473134529</v>
      </c>
      <c r="AE25" s="47">
        <f t="shared" ca="1" si="28"/>
        <v>29.94</v>
      </c>
      <c r="AF25" s="47">
        <f t="shared" ca="1" si="29"/>
        <v>5.29</v>
      </c>
      <c r="AH25" s="44">
        <v>29.94</v>
      </c>
      <c r="AI25" s="44">
        <f ca="1">OFFSET($AF$22,MATCH(AH25,$AE$23:$AE$58,0),0)</f>
        <v>5.29</v>
      </c>
      <c r="AJ25" s="2" t="str">
        <f t="shared" ca="1" si="25"/>
        <v>29.94,5.29</v>
      </c>
    </row>
    <row r="26" spans="1:36" x14ac:dyDescent="0.25">
      <c r="A26" s="44">
        <v>6</v>
      </c>
      <c r="B26" s="48">
        <v>5.6399074074074074</v>
      </c>
      <c r="C26" s="48">
        <v>4.1735648148148146</v>
      </c>
      <c r="D26" s="44">
        <v>71.59</v>
      </c>
      <c r="E26" s="44">
        <v>4.9062000000000001</v>
      </c>
      <c r="F26" s="44"/>
      <c r="G26" s="43">
        <f t="shared" si="15"/>
        <v>100.16555555555556</v>
      </c>
      <c r="H26" s="43">
        <f t="shared" si="16"/>
        <v>1.7482187415337425</v>
      </c>
      <c r="I26" s="43">
        <f t="shared" si="3"/>
        <v>135.35777777777778</v>
      </c>
      <c r="J26" s="39">
        <f t="shared" si="17"/>
        <v>2.362438890405036</v>
      </c>
      <c r="K26" s="39">
        <f t="shared" si="18"/>
        <v>70.466172159531709</v>
      </c>
      <c r="L26" s="15">
        <f t="shared" si="19"/>
        <v>-12.635136769471043</v>
      </c>
      <c r="M26" s="13"/>
      <c r="N26" s="16">
        <f t="shared" si="4"/>
        <v>135.35777777777778</v>
      </c>
      <c r="O26" s="16">
        <f t="shared" ca="1" si="20"/>
        <v>73.267865112303483</v>
      </c>
      <c r="P26" s="16">
        <f t="shared" ca="1" si="21"/>
        <v>208.62564289008128</v>
      </c>
      <c r="Q26" s="16">
        <f t="shared" ca="1" si="22"/>
        <v>3.6412043725218166</v>
      </c>
      <c r="R26" s="16">
        <f t="shared" ca="1" si="5"/>
        <v>-33.759268738782055</v>
      </c>
      <c r="S26" s="16">
        <f t="shared" ca="1" si="6"/>
        <v>-61.852996637507019</v>
      </c>
      <c r="T26" s="13">
        <f t="shared" ca="1" si="7"/>
        <v>3857508.9077312611</v>
      </c>
      <c r="U26" s="13">
        <f t="shared" ca="1" si="8"/>
        <v>1534530.2750033624</v>
      </c>
      <c r="V26" s="16">
        <f t="shared" si="9"/>
        <v>3474.3616632305293</v>
      </c>
      <c r="W26" s="16">
        <f t="shared" ca="1" si="10"/>
        <v>3469.9354276566105</v>
      </c>
      <c r="X26" s="47">
        <f t="shared" ca="1" si="11"/>
        <v>3857508.9077312611</v>
      </c>
      <c r="Y26" s="47">
        <f t="shared" ca="1" si="23"/>
        <v>1534530.2750033624</v>
      </c>
      <c r="Z26" s="47">
        <f t="shared" ca="1" si="12"/>
        <v>3857508.3031739141</v>
      </c>
      <c r="AA26" s="47">
        <f t="shared" ca="1" si="13"/>
        <v>1534530.5326623693</v>
      </c>
      <c r="AB26" s="47">
        <f t="shared" ca="1" si="26"/>
        <v>0.65717406343512019</v>
      </c>
      <c r="AC26" s="47">
        <f ca="1">IF(ISNUMBER(Z26),SQRT(($Z26-OFFSET($Z$20,MATCH(CS_Start,$A$21:$A$50,0),0))^2+($AA26-OFFSET($AA$20,MATCH(CS_Start,$A$21:$A$50,0),0))^2),"")</f>
        <v>67.539642327955221</v>
      </c>
      <c r="AD26" s="47">
        <f t="shared" ca="1" si="27"/>
        <v>4.3597777912254969</v>
      </c>
      <c r="AE26" s="47">
        <f t="shared" ca="1" si="28"/>
        <v>67.540000000000006</v>
      </c>
      <c r="AF26" s="47">
        <f t="shared" ca="1" si="29"/>
        <v>4.3600000000000003</v>
      </c>
      <c r="AH26" s="44">
        <v>67.540000000000006</v>
      </c>
      <c r="AI26" s="44">
        <f ca="1">OFFSET($AF$22,MATCH(AH26,$AE$23:$AE$58,0),0)</f>
        <v>4.3600000000000003</v>
      </c>
      <c r="AJ26" s="2" t="str">
        <f t="shared" ca="1" si="25"/>
        <v>67.54,4.36</v>
      </c>
    </row>
    <row r="27" spans="1:36" x14ac:dyDescent="0.25">
      <c r="A27" s="44">
        <v>7</v>
      </c>
      <c r="B27" s="48">
        <v>5.5044097222222215</v>
      </c>
      <c r="C27" s="48">
        <v>4.1223032407407407</v>
      </c>
      <c r="D27" s="44">
        <v>76.73</v>
      </c>
      <c r="E27" s="44">
        <v>4.9062000000000001</v>
      </c>
      <c r="F27" s="44"/>
      <c r="G27" s="43">
        <f t="shared" si="15"/>
        <v>98.93527777777777</v>
      </c>
      <c r="H27" s="43">
        <f t="shared" si="16"/>
        <v>1.7267463435974009</v>
      </c>
      <c r="I27" s="43">
        <f t="shared" si="3"/>
        <v>132.10583333333332</v>
      </c>
      <c r="J27" s="39">
        <f t="shared" si="17"/>
        <v>2.3056817527575419</v>
      </c>
      <c r="K27" s="39">
        <f t="shared" si="18"/>
        <v>75.798837042670684</v>
      </c>
      <c r="L27" s="15">
        <f t="shared" si="19"/>
        <v>-11.917600554585421</v>
      </c>
      <c r="M27" s="13"/>
      <c r="N27" s="16">
        <f t="shared" si="4"/>
        <v>132.10583333333332</v>
      </c>
      <c r="O27" s="16">
        <f t="shared" ca="1" si="20"/>
        <v>73.267865112303483</v>
      </c>
      <c r="P27" s="16">
        <f t="shared" ca="1" si="21"/>
        <v>205.37369844563682</v>
      </c>
      <c r="Q27" s="16">
        <f t="shared" ca="1" si="22"/>
        <v>3.584447234874323</v>
      </c>
      <c r="R27" s="16">
        <f t="shared" ca="1" si="5"/>
        <v>-32.481348978103476</v>
      </c>
      <c r="S27" s="16">
        <f t="shared" ca="1" si="6"/>
        <v>-68.486682395805985</v>
      </c>
      <c r="T27" s="13">
        <f t="shared" ca="1" si="7"/>
        <v>3857510.185651022</v>
      </c>
      <c r="U27" s="13">
        <f t="shared" ca="1" si="8"/>
        <v>1534523.6413176041</v>
      </c>
      <c r="V27" s="16">
        <f t="shared" si="9"/>
        <v>3475.0791994454148</v>
      </c>
      <c r="W27" s="16">
        <f t="shared" ca="1" si="10"/>
        <v>3470.652963871496</v>
      </c>
      <c r="X27" s="47">
        <f t="shared" ca="1" si="11"/>
        <v>3857510.185651022</v>
      </c>
      <c r="Y27" s="47">
        <f t="shared" ca="1" si="23"/>
        <v>1534523.6413176041</v>
      </c>
      <c r="Z27" s="47">
        <f t="shared" ca="1" si="12"/>
        <v>3857506.1069780332</v>
      </c>
      <c r="AA27" s="47">
        <f t="shared" ca="1" si="13"/>
        <v>1534525.3796255402</v>
      </c>
      <c r="AB27" s="47">
        <f t="shared" ca="1" si="26"/>
        <v>4.433654004360573</v>
      </c>
      <c r="AC27" s="47">
        <f ca="1">IF(ISNUMBER(Z27),SQRT(($Z27-OFFSET($Z$20,MATCH(CS_Start,$A$21:$A$50,0),0))^2+($AA27-OFFSET($AA$20,MATCH(CS_Start,$A$21:$A$50,0),0))^2),"")</f>
        <v>73.141165773331721</v>
      </c>
      <c r="AD27" s="47">
        <f t="shared" ca="1" si="27"/>
        <v>5.0773140061110098</v>
      </c>
      <c r="AE27" s="47">
        <f t="shared" ca="1" si="28"/>
        <v>73.14</v>
      </c>
      <c r="AF27" s="47">
        <f t="shared" ca="1" si="29"/>
        <v>5.08</v>
      </c>
      <c r="AH27" s="44">
        <v>73.14</v>
      </c>
      <c r="AI27" s="44">
        <f ca="1">OFFSET($AF$22,MATCH(AH27,$AE$23:$AE$58,0),0)</f>
        <v>5.08</v>
      </c>
      <c r="AJ27" s="2" t="str">
        <f t="shared" ca="1" si="25"/>
        <v>73.14,5.08</v>
      </c>
    </row>
    <row r="28" spans="1:36" x14ac:dyDescent="0.25">
      <c r="A28" s="44">
        <v>8</v>
      </c>
      <c r="B28" s="48">
        <v>5.4453240740740734</v>
      </c>
      <c r="C28" s="48">
        <v>4.0064699074074079</v>
      </c>
      <c r="D28" s="44">
        <v>133.977</v>
      </c>
      <c r="E28" s="44">
        <v>4.9062000000000001</v>
      </c>
      <c r="F28" s="44"/>
      <c r="G28" s="43">
        <f t="shared" si="15"/>
        <v>96.155277777777798</v>
      </c>
      <c r="H28" s="43">
        <f t="shared" si="16"/>
        <v>1.6782261903919591</v>
      </c>
      <c r="I28" s="43">
        <f t="shared" si="3"/>
        <v>130.68777777777777</v>
      </c>
      <c r="J28" s="39">
        <f t="shared" si="17"/>
        <v>2.2809320143369005</v>
      </c>
      <c r="K28" s="39">
        <f t="shared" si="18"/>
        <v>133.20461723811098</v>
      </c>
      <c r="L28" s="15">
        <f t="shared" si="19"/>
        <v>-14.365461198595293</v>
      </c>
      <c r="M28" s="13"/>
      <c r="N28" s="16">
        <f t="shared" si="4"/>
        <v>130.68777777777777</v>
      </c>
      <c r="O28" s="16">
        <f t="shared" ca="1" si="20"/>
        <v>73.267865112303483</v>
      </c>
      <c r="P28" s="16">
        <f t="shared" ca="1" si="21"/>
        <v>203.95564289008126</v>
      </c>
      <c r="Q28" s="16">
        <f t="shared" ca="1" si="22"/>
        <v>3.5596974964536812</v>
      </c>
      <c r="R28" s="16">
        <f t="shared" ca="1" si="5"/>
        <v>-54.084974139078277</v>
      </c>
      <c r="S28" s="16">
        <f t="shared" ca="1" si="6"/>
        <v>-121.73038086659751</v>
      </c>
      <c r="T28" s="13">
        <f t="shared" ca="1" si="7"/>
        <v>3857488.5820258609</v>
      </c>
      <c r="U28" s="13">
        <f t="shared" ca="1" si="8"/>
        <v>1534470.3976191333</v>
      </c>
      <c r="V28" s="16">
        <f t="shared" si="9"/>
        <v>3472.631338801405</v>
      </c>
      <c r="W28" s="16">
        <f t="shared" ca="1" si="10"/>
        <v>3468.2051032274862</v>
      </c>
      <c r="X28" s="47">
        <f t="shared" ca="1" si="11"/>
        <v>3857488.5820258609</v>
      </c>
      <c r="Y28" s="47">
        <f t="shared" ca="1" si="23"/>
        <v>1534470.3976191333</v>
      </c>
      <c r="Z28" s="47">
        <f t="shared" ca="1" si="12"/>
        <v>3857483.5821383568</v>
      </c>
      <c r="AA28" s="47">
        <f t="shared" ca="1" si="13"/>
        <v>1534472.5285436157</v>
      </c>
      <c r="AB28" s="47">
        <f t="shared" ca="1" si="26"/>
        <v>5.4350450047526531</v>
      </c>
      <c r="AC28" s="47">
        <f ca="1">IF(ISNUMBER(Z28),SQRT(($Z28-OFFSET($Z$20,MATCH(CS_Start,$A$21:$A$50,0),0))^2+($AA28-OFFSET($AA$20,MATCH(CS_Start,$A$21:$A$50,0),0))^2),"")</f>
        <v>130.59206013574703</v>
      </c>
      <c r="AD28" s="47">
        <f t="shared" ca="1" si="27"/>
        <v>2.6294533621012306</v>
      </c>
      <c r="AE28" s="47">
        <f t="shared" ca="1" si="28"/>
        <v>130.59</v>
      </c>
      <c r="AF28" s="47">
        <f t="shared" ca="1" si="29"/>
        <v>2.63</v>
      </c>
      <c r="AH28" s="44">
        <v>130.59</v>
      </c>
      <c r="AI28" s="44">
        <f ca="1">OFFSET($AF$22,MATCH(AH28,$AE$23:$AE$58,0),0)</f>
        <v>2.63</v>
      </c>
      <c r="AJ28" s="2" t="str">
        <f t="shared" ca="1" si="25"/>
        <v>130.59,2.63</v>
      </c>
    </row>
    <row r="29" spans="1:36" x14ac:dyDescent="0.25">
      <c r="A29" s="44">
        <v>9</v>
      </c>
      <c r="B29" s="48">
        <v>5.4748842592592588</v>
      </c>
      <c r="C29" s="48">
        <v>3.9297569444444442</v>
      </c>
      <c r="D29" s="44">
        <v>147.947</v>
      </c>
      <c r="E29" s="44">
        <v>4.9062000000000001</v>
      </c>
      <c r="F29" s="44"/>
      <c r="G29" s="43">
        <f t="shared" si="15"/>
        <v>94.314166666666665</v>
      </c>
      <c r="H29" s="43">
        <f t="shared" si="16"/>
        <v>1.6460927396080185</v>
      </c>
      <c r="I29" s="43">
        <f t="shared" si="3"/>
        <v>131.39722222222221</v>
      </c>
      <c r="J29" s="39">
        <f t="shared" si="17"/>
        <v>2.2933141557524377</v>
      </c>
      <c r="K29" s="39">
        <f t="shared" si="18"/>
        <v>147.52780167080238</v>
      </c>
      <c r="L29" s="15">
        <f t="shared" si="19"/>
        <v>-11.129355020862652</v>
      </c>
      <c r="M29" s="13"/>
      <c r="N29" s="16">
        <f t="shared" si="4"/>
        <v>131.39722222222221</v>
      </c>
      <c r="O29" s="16">
        <f t="shared" ca="1" si="20"/>
        <v>73.267865112303483</v>
      </c>
      <c r="P29" s="16">
        <f t="shared" ca="1" si="21"/>
        <v>204.66508733452571</v>
      </c>
      <c r="Q29" s="16">
        <f t="shared" ca="1" si="22"/>
        <v>3.5720796378692188</v>
      </c>
      <c r="R29" s="16">
        <f t="shared" ca="1" si="5"/>
        <v>-61.565329249047643</v>
      </c>
      <c r="S29" s="16">
        <f t="shared" ca="1" si="6"/>
        <v>-134.06775339460253</v>
      </c>
      <c r="T29" s="13">
        <f t="shared" ca="1" si="7"/>
        <v>3857481.1016707509</v>
      </c>
      <c r="U29" s="13">
        <f t="shared" ca="1" si="8"/>
        <v>1534458.0602466054</v>
      </c>
      <c r="V29" s="16">
        <f t="shared" si="9"/>
        <v>3475.8674449791379</v>
      </c>
      <c r="W29" s="16">
        <f t="shared" ca="1" si="10"/>
        <v>3471.4412094052191</v>
      </c>
      <c r="X29" s="47">
        <f t="shared" ca="1" si="11"/>
        <v>3857481.1016707509</v>
      </c>
      <c r="Y29" s="47">
        <f t="shared" ca="1" si="23"/>
        <v>1534458.0602466054</v>
      </c>
      <c r="Z29" s="47">
        <f t="shared" ca="1" si="12"/>
        <v>3857477.9824166885</v>
      </c>
      <c r="AA29" s="47">
        <f t="shared" ca="1" si="13"/>
        <v>1534459.3896554857</v>
      </c>
      <c r="AB29" s="47">
        <f t="shared" ca="1" si="26"/>
        <v>3.3907335308149249</v>
      </c>
      <c r="AC29" s="47">
        <f ca="1">IF(ISNUMBER(Z29),SQRT(($Z29-OFFSET($Z$20,MATCH(CS_Start,$A$21:$A$50,0),0))^2+($AA29-OFFSET($AA$20,MATCH(CS_Start,$A$21:$A$50,0),0))^2),"")</f>
        <v>144.87447113858602</v>
      </c>
      <c r="AD29" s="47">
        <f t="shared" ca="1" si="27"/>
        <v>5.8655595398340665</v>
      </c>
      <c r="AE29" s="47">
        <f t="shared" ca="1" si="28"/>
        <v>144.87</v>
      </c>
      <c r="AF29" s="47">
        <f t="shared" ca="1" si="29"/>
        <v>5.87</v>
      </c>
      <c r="AH29" s="44">
        <v>144.87</v>
      </c>
      <c r="AI29" s="44">
        <f ca="1">OFFSET($AF$22,MATCH(AH29,$AE$23:$AE$58,0),0)</f>
        <v>5.87</v>
      </c>
      <c r="AJ29" s="2" t="str">
        <f t="shared" ca="1" si="25"/>
        <v>144.87,5.87</v>
      </c>
    </row>
    <row r="30" spans="1:36" x14ac:dyDescent="0.25">
      <c r="A30" s="44">
        <v>10</v>
      </c>
      <c r="B30" s="48">
        <v>5.4823726851851857</v>
      </c>
      <c r="C30" s="48">
        <v>3.9407407407407411</v>
      </c>
      <c r="D30" s="44">
        <v>166.006</v>
      </c>
      <c r="E30" s="44">
        <v>4.9062000000000001</v>
      </c>
      <c r="F30" s="44"/>
      <c r="G30" s="43">
        <f t="shared" si="15"/>
        <v>94.577777777777783</v>
      </c>
      <c r="H30" s="43">
        <f t="shared" si="16"/>
        <v>1.6506936214417482</v>
      </c>
      <c r="I30" s="43">
        <f t="shared" si="3"/>
        <v>131.57694444444445</v>
      </c>
      <c r="J30" s="39">
        <f t="shared" si="17"/>
        <v>2.2964509002692171</v>
      </c>
      <c r="K30" s="39">
        <f t="shared" si="18"/>
        <v>165.47642570566825</v>
      </c>
      <c r="L30" s="15">
        <f t="shared" si="19"/>
        <v>-13.24932344221604</v>
      </c>
      <c r="M30" s="13"/>
      <c r="N30" s="16">
        <f t="shared" si="4"/>
        <v>131.57694444444445</v>
      </c>
      <c r="O30" s="16">
        <f t="shared" ca="1" si="20"/>
        <v>73.267865112303483</v>
      </c>
      <c r="P30" s="16">
        <f t="shared" ca="1" si="21"/>
        <v>204.84480955674792</v>
      </c>
      <c r="Q30" s="16">
        <f t="shared" ca="1" si="22"/>
        <v>3.5752163823859973</v>
      </c>
      <c r="R30" s="16">
        <f t="shared" ca="1" si="5"/>
        <v>-69.526890014574207</v>
      </c>
      <c r="S30" s="16">
        <f t="shared" ca="1" si="6"/>
        <v>-150.16144321770767</v>
      </c>
      <c r="T30" s="13">
        <f t="shared" ca="1" si="7"/>
        <v>3857473.1401099851</v>
      </c>
      <c r="U30" s="13">
        <f t="shared" ca="1" si="8"/>
        <v>1534441.9665567824</v>
      </c>
      <c r="V30" s="16">
        <f t="shared" si="9"/>
        <v>3473.7474765577845</v>
      </c>
      <c r="W30" s="16">
        <f t="shared" ca="1" si="10"/>
        <v>3469.3212409838657</v>
      </c>
      <c r="X30" s="47">
        <f t="shared" ca="1" si="11"/>
        <v>3857473.1401099851</v>
      </c>
      <c r="Y30" s="47">
        <f t="shared" ca="1" si="23"/>
        <v>1534441.9665567824</v>
      </c>
      <c r="Z30" s="47">
        <f t="shared" ca="1" si="12"/>
        <v>3857470.953895838</v>
      </c>
      <c r="AA30" s="47">
        <f t="shared" ca="1" si="13"/>
        <v>1534442.8983091954</v>
      </c>
      <c r="AB30" s="47">
        <f t="shared" ca="1" si="26"/>
        <v>2.3764879247225794</v>
      </c>
      <c r="AC30" s="47">
        <f ca="1">IF(ISNUMBER(Z30),SQRT(($Z30-OFFSET($Z$20,MATCH(CS_Start,$A$21:$A$50,0),0))^2+($AA30-OFFSET($AA$20,MATCH(CS_Start,$A$21:$A$50,0),0))^2),"")</f>
        <v>162.80111632984156</v>
      </c>
      <c r="AD30" s="47">
        <f t="shared" ca="1" si="27"/>
        <v>3.745591118480661</v>
      </c>
      <c r="AE30" s="47">
        <f t="shared" ca="1" si="28"/>
        <v>162.80000000000001</v>
      </c>
      <c r="AF30" s="47">
        <f t="shared" ca="1" si="29"/>
        <v>3.75</v>
      </c>
      <c r="AH30" s="44">
        <v>162.80000000000001</v>
      </c>
      <c r="AI30" s="44">
        <f ca="1">OFFSET($AF$22,MATCH(AH30,$AE$23:$AE$58,0),0)</f>
        <v>3.75</v>
      </c>
      <c r="AJ30" s="2" t="str">
        <f t="shared" ca="1" si="25"/>
        <v>162.8,3.75</v>
      </c>
    </row>
    <row r="31" spans="1:36" x14ac:dyDescent="0.25">
      <c r="A31" s="44">
        <v>11</v>
      </c>
      <c r="B31" s="48">
        <v>5.4854282407407409</v>
      </c>
      <c r="C31" s="48">
        <v>3.9556365740740742</v>
      </c>
      <c r="D31" s="44">
        <v>171.619</v>
      </c>
      <c r="E31" s="44">
        <v>4.9062000000000001</v>
      </c>
      <c r="F31" s="44"/>
      <c r="G31" s="43">
        <f t="shared" si="15"/>
        <v>94.935277777777785</v>
      </c>
      <c r="H31" s="43">
        <f t="shared" si="16"/>
        <v>1.656933173517628</v>
      </c>
      <c r="I31" s="43">
        <f t="shared" si="3"/>
        <v>131.65027777777777</v>
      </c>
      <c r="J31" s="39">
        <f t="shared" si="17"/>
        <v>2.297730808387346</v>
      </c>
      <c r="K31" s="39">
        <f t="shared" si="18"/>
        <v>170.98272513066638</v>
      </c>
      <c r="L31" s="15">
        <f t="shared" si="19"/>
        <v>-14.764446074641105</v>
      </c>
      <c r="M31" s="13"/>
      <c r="N31" s="16">
        <f t="shared" si="4"/>
        <v>131.65027777777777</v>
      </c>
      <c r="O31" s="16">
        <f t="shared" ca="1" si="20"/>
        <v>73.267865112303483</v>
      </c>
      <c r="P31" s="16">
        <f t="shared" ca="1" si="21"/>
        <v>204.91814289008124</v>
      </c>
      <c r="Q31" s="16">
        <f t="shared" ca="1" si="22"/>
        <v>3.5764962905041262</v>
      </c>
      <c r="R31" s="16">
        <f t="shared" ca="1" si="5"/>
        <v>-72.038956515146566</v>
      </c>
      <c r="S31" s="16">
        <f t="shared" ca="1" si="6"/>
        <v>-155.06605378779017</v>
      </c>
      <c r="T31" s="13">
        <f t="shared" ca="1" si="7"/>
        <v>3857470.6280434849</v>
      </c>
      <c r="U31" s="13">
        <f t="shared" ca="1" si="8"/>
        <v>1534437.0619462123</v>
      </c>
      <c r="V31" s="16">
        <f t="shared" si="9"/>
        <v>3472.2323539253593</v>
      </c>
      <c r="W31" s="16">
        <f t="shared" ca="1" si="10"/>
        <v>3467.8061183514405</v>
      </c>
      <c r="X31" s="47">
        <f t="shared" ca="1" si="11"/>
        <v>3857470.6280434849</v>
      </c>
      <c r="Y31" s="47">
        <f t="shared" ca="1" si="23"/>
        <v>1534437.0619462123</v>
      </c>
      <c r="Z31" s="47">
        <f t="shared" ca="1" si="12"/>
        <v>3857468.7987467581</v>
      </c>
      <c r="AA31" s="47">
        <f t="shared" ca="1" si="13"/>
        <v>1534437.8415823895</v>
      </c>
      <c r="AB31" s="47">
        <f t="shared" ca="1" si="26"/>
        <v>1.9885067471070581</v>
      </c>
      <c r="AC31" s="47">
        <f ca="1">IF(ISNUMBER(Z31),SQRT(($Z31-OFFSET($Z$20,MATCH(CS_Start,$A$21:$A$50,0),0))^2+($AA31-OFFSET($AA$20,MATCH(CS_Start,$A$21:$A$50,0),0))^2),"")</f>
        <v>168.29794755751988</v>
      </c>
      <c r="AD31" s="47">
        <f t="shared" ca="1" si="27"/>
        <v>2.2304684860555426</v>
      </c>
      <c r="AE31" s="47">
        <f t="shared" ca="1" si="28"/>
        <v>168.3</v>
      </c>
      <c r="AF31" s="47">
        <f t="shared" ca="1" si="29"/>
        <v>2.23</v>
      </c>
      <c r="AH31" s="44">
        <v>168.3</v>
      </c>
      <c r="AI31" s="44">
        <f ca="1">OFFSET($AF$22,MATCH(AH31,$AE$23:$AE$58,0),0)</f>
        <v>2.23</v>
      </c>
      <c r="AJ31" s="2" t="str">
        <f t="shared" ca="1" si="25"/>
        <v>168.3,2.23</v>
      </c>
    </row>
    <row r="32" spans="1:36" x14ac:dyDescent="0.25">
      <c r="A32" s="44">
        <v>12</v>
      </c>
      <c r="B32" s="48">
        <v>5.483599537037037</v>
      </c>
      <c r="C32" s="48">
        <v>3.9078124999999999</v>
      </c>
      <c r="D32" s="44">
        <v>212.10499999999999</v>
      </c>
      <c r="E32" s="44">
        <v>4.9062000000000001</v>
      </c>
      <c r="F32" s="44"/>
      <c r="G32" s="43">
        <f t="shared" si="15"/>
        <v>93.787499999999994</v>
      </c>
      <c r="H32" s="43">
        <f t="shared" si="16"/>
        <v>1.6369006722141817</v>
      </c>
      <c r="I32" s="43">
        <f t="shared" si="3"/>
        <v>131.60638888888889</v>
      </c>
      <c r="J32" s="39">
        <f t="shared" si="17"/>
        <v>2.2969648027711926</v>
      </c>
      <c r="K32" s="39">
        <f t="shared" si="18"/>
        <v>211.64174216269035</v>
      </c>
      <c r="L32" s="15">
        <f t="shared" si="19"/>
        <v>-14.010852912699402</v>
      </c>
      <c r="M32" s="13"/>
      <c r="N32" s="16">
        <f t="shared" si="4"/>
        <v>131.60638888888889</v>
      </c>
      <c r="O32" s="16">
        <f t="shared" ca="1" si="20"/>
        <v>73.267865112303483</v>
      </c>
      <c r="P32" s="16">
        <f t="shared" ca="1" si="21"/>
        <v>204.87425400119236</v>
      </c>
      <c r="Q32" s="16">
        <f t="shared" ca="1" si="22"/>
        <v>3.5757302848879733</v>
      </c>
      <c r="R32" s="16">
        <f t="shared" ca="1" si="5"/>
        <v>-89.022482601066258</v>
      </c>
      <c r="S32" s="16">
        <f t="shared" ca="1" si="6"/>
        <v>-192.00839725699905</v>
      </c>
      <c r="T32" s="13">
        <f t="shared" ca="1" si="7"/>
        <v>3857453.6445173989</v>
      </c>
      <c r="U32" s="13">
        <f t="shared" ca="1" si="8"/>
        <v>1534400.1196027431</v>
      </c>
      <c r="V32" s="16">
        <f t="shared" si="9"/>
        <v>3472.9859470873012</v>
      </c>
      <c r="W32" s="16">
        <f t="shared" ca="1" si="10"/>
        <v>3468.5597115133824</v>
      </c>
      <c r="X32" s="47">
        <f t="shared" ca="1" si="11"/>
        <v>3857453.6445173989</v>
      </c>
      <c r="Y32" s="47">
        <f t="shared" ca="1" si="23"/>
        <v>1534400.1196027431</v>
      </c>
      <c r="Z32" s="47">
        <f t="shared" ca="1" si="12"/>
        <v>3857452.8636797536</v>
      </c>
      <c r="AA32" s="47">
        <f t="shared" ca="1" si="13"/>
        <v>1534400.4523914419</v>
      </c>
      <c r="AB32" s="47">
        <f t="shared" ca="1" si="26"/>
        <v>0.84879664606782479</v>
      </c>
      <c r="AC32" s="47">
        <f ca="1">IF(ISNUMBER(Z32),SQRT(($Z32-OFFSET($Z$20,MATCH(CS_Start,$A$21:$A$50,0),0))^2+($AA32-OFFSET($AA$20,MATCH(CS_Start,$A$21:$A$50,0),0))^2),"")</f>
        <v>208.9412490985799</v>
      </c>
      <c r="AD32" s="47">
        <f t="shared" ca="1" si="27"/>
        <v>2.9840616479973505</v>
      </c>
      <c r="AE32" s="47">
        <f t="shared" ca="1" si="28"/>
        <v>208.94</v>
      </c>
      <c r="AF32" s="47">
        <f t="shared" ca="1" si="29"/>
        <v>2.98</v>
      </c>
      <c r="AH32" s="44">
        <v>208.94</v>
      </c>
      <c r="AI32" s="44">
        <f ca="1">OFFSET($AF$22,MATCH(AH32,$AE$23:$AE$58,0),0)</f>
        <v>2.98</v>
      </c>
      <c r="AJ32" s="44" t="str">
        <f t="shared" ref="AJ32:AJ33" ca="1" si="30">CONCATENATE(AH32,",",AI32)</f>
        <v>208.94,2.98</v>
      </c>
    </row>
    <row r="33" spans="1:36" x14ac:dyDescent="0.25">
      <c r="A33" s="44">
        <v>13</v>
      </c>
      <c r="B33" s="48">
        <v>5.4867245370370368</v>
      </c>
      <c r="C33" s="48">
        <v>3.8950462962962962</v>
      </c>
      <c r="D33" s="44">
        <v>222.423</v>
      </c>
      <c r="E33" s="44">
        <v>4.9062000000000001</v>
      </c>
      <c r="F33" s="44"/>
      <c r="G33" s="43">
        <f t="shared" si="15"/>
        <v>93.481111111111105</v>
      </c>
      <c r="H33" s="43">
        <f t="shared" si="16"/>
        <v>1.6315531773115435</v>
      </c>
      <c r="I33" s="43">
        <f t="shared" si="3"/>
        <v>131.68138888888888</v>
      </c>
      <c r="J33" s="39">
        <f t="shared" si="17"/>
        <v>2.2982737997101883</v>
      </c>
      <c r="K33" s="39">
        <f t="shared" si="18"/>
        <v>222.01260070657216</v>
      </c>
      <c r="L33" s="15">
        <f t="shared" si="19"/>
        <v>-13.505408416784558</v>
      </c>
      <c r="M33" s="13"/>
      <c r="N33" s="16">
        <f t="shared" si="4"/>
        <v>131.68138888888888</v>
      </c>
      <c r="O33" s="16">
        <f t="shared" ca="1" si="20"/>
        <v>73.267865112303483</v>
      </c>
      <c r="P33" s="16">
        <f t="shared" ca="1" si="21"/>
        <v>204.94925400119234</v>
      </c>
      <c r="Q33" s="16">
        <f t="shared" ca="1" si="22"/>
        <v>3.577039281826969</v>
      </c>
      <c r="R33" s="16">
        <f t="shared" ca="1" si="5"/>
        <v>-93.648332438137373</v>
      </c>
      <c r="S33" s="16">
        <f t="shared" ca="1" si="6"/>
        <v>-201.29477068233032</v>
      </c>
      <c r="T33" s="13">
        <f t="shared" ca="1" si="7"/>
        <v>3857449.0186675619</v>
      </c>
      <c r="U33" s="13">
        <f t="shared" ca="1" si="8"/>
        <v>1534390.8332293178</v>
      </c>
      <c r="V33" s="16">
        <f t="shared" si="9"/>
        <v>3473.4913915832158</v>
      </c>
      <c r="W33" s="16">
        <f t="shared" ca="1" si="10"/>
        <v>3469.065156009297</v>
      </c>
      <c r="X33" s="47">
        <f t="shared" ca="1" si="11"/>
        <v>3857449.0186675619</v>
      </c>
      <c r="Y33" s="47">
        <f t="shared" ca="1" si="23"/>
        <v>1534390.8332293178</v>
      </c>
      <c r="Z33" s="47">
        <f t="shared" ca="1" si="12"/>
        <v>3857448.8031862928</v>
      </c>
      <c r="AA33" s="47">
        <f t="shared" ca="1" si="13"/>
        <v>1534390.9250662476</v>
      </c>
      <c r="AB33" s="47">
        <f t="shared" ca="1" si="26"/>
        <v>0.23423534967472309</v>
      </c>
      <c r="AC33" s="47">
        <f ca="1">IF(ISNUMBER(Z33),SQRT(($Z33-OFFSET($Z$20,MATCH(CS_Start,$A$21:$A$50,0),0))^2+($AA33-OFFSET($AA$20,MATCH(CS_Start,$A$21:$A$50,0),0))^2),"")</f>
        <v>219.29777035352618</v>
      </c>
      <c r="AD33" s="47">
        <f t="shared" ca="1" si="27"/>
        <v>3.4895061439119672</v>
      </c>
      <c r="AE33" s="47">
        <f t="shared" ca="1" si="28"/>
        <v>219.3</v>
      </c>
      <c r="AF33" s="47">
        <f t="shared" ca="1" si="29"/>
        <v>3.49</v>
      </c>
      <c r="AH33" s="44">
        <v>219.3</v>
      </c>
      <c r="AI33" s="44">
        <f ca="1">OFFSET($AF$22,MATCH(AH33,$AE$23:$AE$58,0),0)</f>
        <v>3.49</v>
      </c>
      <c r="AJ33" s="44" t="str">
        <f t="shared" ca="1" si="30"/>
        <v>219.3,3.49</v>
      </c>
    </row>
    <row r="34" spans="1:36" x14ac:dyDescent="0.25">
      <c r="A34" s="44">
        <v>14</v>
      </c>
      <c r="B34" s="48">
        <v>5.4866087962962959</v>
      </c>
      <c r="C34" s="48">
        <v>3.8915972222222219</v>
      </c>
      <c r="D34" s="44">
        <v>235.215</v>
      </c>
      <c r="E34" s="44">
        <v>4.9062000000000001</v>
      </c>
      <c r="F34" s="44"/>
      <c r="G34" s="43">
        <f t="shared" ref="G34:G35" si="31">C34*24</f>
        <v>93.398333333333326</v>
      </c>
      <c r="H34" s="43">
        <f t="shared" ref="H34:H35" si="32">RADIANS(G34)</f>
        <v>1.6301084325418371</v>
      </c>
      <c r="I34" s="43">
        <f t="shared" ref="I34:I35" si="33">B34*24</f>
        <v>131.67861111111111</v>
      </c>
      <c r="J34" s="49">
        <f t="shared" ref="J34:J35" si="34">RADIANS(I34)</f>
        <v>2.2982253183420775</v>
      </c>
      <c r="K34" s="49">
        <f t="shared" ref="K34:K35" si="35">D34*SIN(H34)</f>
        <v>234.80138680748877</v>
      </c>
      <c r="L34" s="46">
        <f t="shared" ref="L34:L35" si="36">D34*COS(H34)</f>
        <v>-13.942918571089649</v>
      </c>
      <c r="M34" s="45"/>
      <c r="N34" s="47">
        <f t="shared" ref="N34:N35" si="37">I34+M34</f>
        <v>131.67861111111111</v>
      </c>
      <c r="O34" s="47">
        <f t="shared" ca="1" si="20"/>
        <v>73.267865112303483</v>
      </c>
      <c r="P34" s="47">
        <f t="shared" ref="P34:P35" ca="1" si="38">SUM(N34,O34)</f>
        <v>204.94647622341461</v>
      </c>
      <c r="Q34" s="47">
        <f t="shared" ref="Q34:Q35" ca="1" si="39">RADIANS(P34)</f>
        <v>3.5769908004588586</v>
      </c>
      <c r="R34" s="47">
        <f t="shared" ref="R34:R35" ca="1" si="40">K34*SIN(Q34)</f>
        <v>-99.03251795332055</v>
      </c>
      <c r="S34" s="47">
        <f t="shared" ref="S34:S35" ca="1" si="41">K34*COS(Q34)</f>
        <v>-212.89493097428411</v>
      </c>
      <c r="T34" s="45">
        <f t="shared" ref="T34:T35" ca="1" si="42">Old_X0+R34</f>
        <v>3857443.6344820466</v>
      </c>
      <c r="U34" s="45">
        <f t="shared" ref="U34:U35" ca="1" si="43">Old_Y0+S34</f>
        <v>1534379.2330690257</v>
      </c>
      <c r="V34" s="47">
        <f t="shared" ref="V34:V35" si="44">Old_Z0+HI+L34-E34</f>
        <v>3473.0538814289107</v>
      </c>
      <c r="W34" s="47">
        <f t="shared" ref="W34:W35" ca="1" si="45">IF(ISNUMBER(T34),V34+dZ,"")</f>
        <v>3468.6276458549919</v>
      </c>
      <c r="X34" s="47">
        <f t="shared" ca="1" si="11"/>
        <v>3857443.6344820466</v>
      </c>
      <c r="Y34" s="47">
        <f t="shared" ca="1" si="23"/>
        <v>1534379.2330690257</v>
      </c>
      <c r="Z34" s="47">
        <f t="shared" ca="1" si="12"/>
        <v>3857443.7915850817</v>
      </c>
      <c r="AA34" s="47">
        <f t="shared" ca="1" si="13"/>
        <v>1534379.1661125775</v>
      </c>
      <c r="AB34" s="47">
        <f t="shared" ref="AB34:AB35" ca="1" si="46">IF(ISNUMBER(X34),SQRT((X34-Z34)^2+(Y34-AA34)^2),"")</f>
        <v>0.17077625594642859</v>
      </c>
      <c r="AC34" s="47">
        <f ca="1">IF(ISNUMBER(Z34),SQRT(($Z34-OFFSET($Z$20,MATCH(CS_Start,$A$21:$A$50,0),0))^2+($AA34-OFFSET($AA$20,MATCH(CS_Start,$A$21:$A$50,0),0))^2),"")</f>
        <v>232.08014642813038</v>
      </c>
      <c r="AD34" s="47">
        <f t="shared" ref="AD34:AD35" ca="1" si="47">IF(ISNUMBER(X34),W34-Min_Z,"")</f>
        <v>3.051995989606894</v>
      </c>
      <c r="AE34" s="47">
        <f t="shared" ca="1" si="28"/>
        <v>232.08</v>
      </c>
      <c r="AF34" s="47">
        <f t="shared" ca="1" si="29"/>
        <v>3.05</v>
      </c>
      <c r="AH34" s="44">
        <v>232.08</v>
      </c>
      <c r="AI34" s="44">
        <f ca="1">OFFSET($AF$22,MATCH(AH34,$AE$23:$AE$58,0),0)</f>
        <v>3.05</v>
      </c>
      <c r="AJ34" s="44" t="str">
        <f t="shared" ref="AJ34:AJ35" ca="1" si="48">CONCATENATE(AH34,",",AI34)</f>
        <v>232.08,3.05</v>
      </c>
    </row>
    <row r="35" spans="1:36" x14ac:dyDescent="0.25">
      <c r="A35" s="44">
        <v>15</v>
      </c>
      <c r="B35" s="48">
        <v>5.4826967592592588</v>
      </c>
      <c r="C35" s="48">
        <v>3.8644675925925926</v>
      </c>
      <c r="D35" s="44">
        <v>239.95599999999999</v>
      </c>
      <c r="E35" s="44">
        <v>8.7395999999999994</v>
      </c>
      <c r="F35" s="44"/>
      <c r="G35" s="43">
        <f t="shared" si="31"/>
        <v>92.74722222222222</v>
      </c>
      <c r="H35" s="43">
        <f t="shared" si="32"/>
        <v>1.6187443998566298</v>
      </c>
      <c r="I35" s="43">
        <f t="shared" si="33"/>
        <v>131.58472222222221</v>
      </c>
      <c r="J35" s="49">
        <f t="shared" si="34"/>
        <v>2.2965866480999271</v>
      </c>
      <c r="K35" s="49">
        <f t="shared" si="35"/>
        <v>239.68022129423434</v>
      </c>
      <c r="L35" s="46">
        <f t="shared" si="36"/>
        <v>-11.501019795950933</v>
      </c>
      <c r="M35" s="45"/>
      <c r="N35" s="47">
        <f t="shared" si="37"/>
        <v>131.58472222222221</v>
      </c>
      <c r="O35" s="47">
        <f t="shared" ca="1" si="20"/>
        <v>73.267865112303483</v>
      </c>
      <c r="P35" s="47">
        <f t="shared" ca="1" si="38"/>
        <v>204.85258733452571</v>
      </c>
      <c r="Q35" s="47">
        <f t="shared" ca="1" si="39"/>
        <v>3.5753521302167082</v>
      </c>
      <c r="R35" s="47">
        <f t="shared" ca="1" si="40"/>
        <v>-100.73402192002328</v>
      </c>
      <c r="S35" s="47">
        <f t="shared" ca="1" si="41"/>
        <v>-217.48394264282919</v>
      </c>
      <c r="T35" s="45">
        <f t="shared" ca="1" si="42"/>
        <v>3857441.9329780797</v>
      </c>
      <c r="U35" s="45">
        <f t="shared" ca="1" si="43"/>
        <v>1534374.6440573572</v>
      </c>
      <c r="V35" s="47">
        <f t="shared" si="44"/>
        <v>3471.6623802040494</v>
      </c>
      <c r="W35" s="47">
        <f t="shared" ca="1" si="45"/>
        <v>3467.2361446301306</v>
      </c>
      <c r="X35" s="47">
        <f t="shared" ca="1" si="11"/>
        <v>3857441.9329780797</v>
      </c>
      <c r="Y35" s="47">
        <f t="shared" ca="1" si="23"/>
        <v>1534374.6440573572</v>
      </c>
      <c r="Z35" s="47">
        <f t="shared" ca="1" si="12"/>
        <v>3857441.874865714</v>
      </c>
      <c r="AA35" s="47">
        <f t="shared" ca="1" si="13"/>
        <v>1534374.6688245256</v>
      </c>
      <c r="AB35" s="47">
        <f t="shared" ca="1" si="46"/>
        <v>6.3170085243756696E-2</v>
      </c>
      <c r="AC35" s="47">
        <f ca="1">IF(ISNUMBER(Z35),SQRT(($Z35-OFFSET($Z$20,MATCH(CS_Start,$A$21:$A$50,0),0))^2+($AA35-OFFSET($AA$20,MATCH(CS_Start,$A$21:$A$50,0),0))^2),"")</f>
        <v>236.96884901237686</v>
      </c>
      <c r="AD35" s="47">
        <f t="shared" ca="1" si="47"/>
        <v>1.6604947647456356</v>
      </c>
      <c r="AE35" s="47">
        <f t="shared" ca="1" si="28"/>
        <v>236.97</v>
      </c>
      <c r="AF35" s="47">
        <f t="shared" ca="1" si="29"/>
        <v>1.66</v>
      </c>
      <c r="AH35" s="44">
        <v>236.97</v>
      </c>
      <c r="AI35" s="44">
        <f ca="1">OFFSET($AF$22,MATCH(AH35,$AE$23:$AE$58,0),0)</f>
        <v>1.66</v>
      </c>
      <c r="AJ35" s="44" t="str">
        <f t="shared" ca="1" si="48"/>
        <v>236.97,1.66</v>
      </c>
    </row>
    <row r="36" spans="1:36" x14ac:dyDescent="0.25">
      <c r="A36" s="44">
        <v>16</v>
      </c>
      <c r="B36" s="48">
        <v>5.4856249999999998</v>
      </c>
      <c r="C36" s="48">
        <v>3.8761805555555555</v>
      </c>
      <c r="D36" s="44">
        <v>243.55799999999999</v>
      </c>
      <c r="E36" s="44">
        <v>8.7395999999999994</v>
      </c>
      <c r="F36" s="49" t="s">
        <v>83</v>
      </c>
      <c r="G36" s="43">
        <f t="shared" ref="G36:G37" si="49">C36*24</f>
        <v>93.028333333333336</v>
      </c>
      <c r="H36" s="43">
        <f t="shared" ref="H36:H37" si="50">RADIANS(G36)</f>
        <v>1.6236507143094583</v>
      </c>
      <c r="I36" s="43">
        <f t="shared" ref="I36:I37" si="51">B36*24</f>
        <v>131.655</v>
      </c>
      <c r="J36" s="49">
        <f t="shared" ref="J36:J37" si="52">RADIANS(I36)</f>
        <v>2.2978132267131346</v>
      </c>
      <c r="K36" s="49">
        <f t="shared" ref="K36:K37" si="53">D36*SIN(H36)</f>
        <v>243.21787904729388</v>
      </c>
      <c r="L36" s="46">
        <f t="shared" ref="L36:L37" si="54">D36*COS(H36)</f>
        <v>-12.867116061337459</v>
      </c>
      <c r="M36" s="45"/>
      <c r="N36" s="47">
        <f t="shared" ref="N36:N37" si="55">I36+M36</f>
        <v>131.655</v>
      </c>
      <c r="O36" s="47">
        <f t="shared" ca="1" si="20"/>
        <v>73.267865112303483</v>
      </c>
      <c r="P36" s="47">
        <f t="shared" ref="P36:P37" ca="1" si="56">SUM(N36,O36)</f>
        <v>204.9228651123035</v>
      </c>
      <c r="Q36" s="47">
        <f t="shared" ref="Q36:Q37" ca="1" si="57">RADIANS(P36)</f>
        <v>3.5765787088299157</v>
      </c>
      <c r="R36" s="47">
        <f t="shared" ref="R36:R37" ca="1" si="58">K36*SIN(Q36)</f>
        <v>-102.49146826493264</v>
      </c>
      <c r="S36" s="47">
        <f t="shared" ref="S36:S37" ca="1" si="59">K36*COS(Q36)</f>
        <v>-220.56843749993422</v>
      </c>
      <c r="T36" s="45">
        <f t="shared" ref="T36:T37" ca="1" si="60">Old_X0+R36</f>
        <v>3857440.1755317352</v>
      </c>
      <c r="U36" s="45">
        <f t="shared" ref="U36:U37" ca="1" si="61">Old_Y0+S36</f>
        <v>1534371.5595625001</v>
      </c>
      <c r="V36" s="47">
        <f t="shared" ref="V36:V37" si="62">Old_Z0+HI+L36-E36</f>
        <v>3470.2962839386628</v>
      </c>
      <c r="W36" s="47">
        <f t="shared" ref="W36:W37" ca="1" si="63">IF(ISNUMBER(T36),V36+dZ,"")</f>
        <v>3465.870048364744</v>
      </c>
      <c r="X36" s="47">
        <f t="shared" ca="1" si="11"/>
        <v>3857440.1755317352</v>
      </c>
      <c r="Y36" s="47">
        <f t="shared" ref="Y36:Y37" ca="1" si="64">IF(ISNUMBER(X36),U36,"")</f>
        <v>1534371.5595625001</v>
      </c>
      <c r="Z36" s="47">
        <f t="shared" ca="1" si="12"/>
        <v>3857440.4921959462</v>
      </c>
      <c r="AA36" s="47">
        <f t="shared" ca="1" si="13"/>
        <v>1534371.4246019609</v>
      </c>
      <c r="AB36" s="47">
        <f t="shared" ref="AB36:AB37" ca="1" si="65">IF(ISNUMBER(X36),SQRT((X36-Z36)^2+(Y36-AA36)^2),"")</f>
        <v>0.3442245918779806</v>
      </c>
      <c r="AC36" s="47">
        <f ca="1">IF(ISNUMBER(Z36),SQRT(($Z36-OFFSET($Z$20,MATCH(CS_Start,$A$21:$A$50,0),0))^2+($AA36-OFFSET($AA$20,MATCH(CS_Start,$A$21:$A$50,0),0))^2),"")</f>
        <v>240.49542748671712</v>
      </c>
      <c r="AD36" s="47">
        <f t="shared" ref="AD36:AD37" ca="1" si="66">IF(ISNUMBER(X36),W36-Min_Z,"")</f>
        <v>0.29439849935897655</v>
      </c>
      <c r="AE36" s="47">
        <f t="shared" ca="1" si="28"/>
        <v>240.5</v>
      </c>
      <c r="AF36" s="47">
        <f t="shared" ca="1" si="29"/>
        <v>0.28999999999999998</v>
      </c>
      <c r="AH36" s="44">
        <v>240.5</v>
      </c>
      <c r="AI36" s="44">
        <f ca="1">OFFSET($AF$22,MATCH(AH36,$AE$23:$AE$58,0),0)</f>
        <v>0.28999999999999998</v>
      </c>
      <c r="AJ36" s="44" t="str">
        <f t="shared" ref="AJ36:AJ37" ca="1" si="67">CONCATENATE(AH36,",",AI36)</f>
        <v>240.5,0.29</v>
      </c>
    </row>
    <row r="37" spans="1:36" x14ac:dyDescent="0.25">
      <c r="A37" s="44">
        <v>17</v>
      </c>
      <c r="B37" s="48">
        <v>5.4836342592592588</v>
      </c>
      <c r="C37" s="48">
        <v>3.8770486111111109</v>
      </c>
      <c r="D37" s="44">
        <v>247.43</v>
      </c>
      <c r="E37" s="44">
        <v>8.7395999999999994</v>
      </c>
      <c r="F37" s="44"/>
      <c r="G37" s="43">
        <f t="shared" si="49"/>
        <v>93.049166666666665</v>
      </c>
      <c r="H37" s="43">
        <f t="shared" si="50"/>
        <v>1.6240143245702903</v>
      </c>
      <c r="I37" s="43">
        <f t="shared" si="51"/>
        <v>131.60722222222222</v>
      </c>
      <c r="J37" s="49">
        <f t="shared" si="52"/>
        <v>2.296979347181626</v>
      </c>
      <c r="K37" s="49">
        <f t="shared" si="53"/>
        <v>247.07970259507067</v>
      </c>
      <c r="L37" s="46">
        <f t="shared" si="54"/>
        <v>-13.161514560696476</v>
      </c>
      <c r="M37" s="45"/>
      <c r="N37" s="47">
        <f t="shared" si="55"/>
        <v>131.60722222222222</v>
      </c>
      <c r="O37" s="47">
        <f t="shared" ca="1" si="20"/>
        <v>73.267865112303483</v>
      </c>
      <c r="P37" s="47">
        <f t="shared" ca="1" si="56"/>
        <v>204.87508733452569</v>
      </c>
      <c r="Q37" s="47">
        <f t="shared" ca="1" si="57"/>
        <v>3.5757448292984066</v>
      </c>
      <c r="R37" s="47">
        <f t="shared" ca="1" si="58"/>
        <v>-103.93194794711019</v>
      </c>
      <c r="S37" s="47">
        <f t="shared" ca="1" si="59"/>
        <v>-224.15737692609571</v>
      </c>
      <c r="T37" s="45">
        <f t="shared" ca="1" si="60"/>
        <v>3857438.7350520529</v>
      </c>
      <c r="U37" s="45">
        <f t="shared" ca="1" si="61"/>
        <v>1534367.9706230739</v>
      </c>
      <c r="V37" s="47">
        <f t="shared" si="62"/>
        <v>3470.0018854393038</v>
      </c>
      <c r="W37" s="47">
        <f t="shared" ca="1" si="63"/>
        <v>3465.575649865385</v>
      </c>
      <c r="X37" s="47">
        <f t="shared" ca="1" si="11"/>
        <v>3857438.7350520529</v>
      </c>
      <c r="Y37" s="47">
        <f t="shared" ca="1" si="64"/>
        <v>1534367.9706230739</v>
      </c>
      <c r="Z37" s="47">
        <f t="shared" ca="1" si="12"/>
        <v>3857438.9763071886</v>
      </c>
      <c r="AA37" s="47">
        <f t="shared" ca="1" si="13"/>
        <v>1534367.8678014651</v>
      </c>
      <c r="AB37" s="47">
        <f t="shared" ca="1" si="65"/>
        <v>0.26225240466393168</v>
      </c>
      <c r="AC37" s="47">
        <f ca="1">IF(ISNUMBER(Z37),SQRT(($Z37-OFFSET($Z$20,MATCH(CS_Start,$A$21:$A$50,0),0))^2+($AA37-OFFSET($AA$20,MATCH(CS_Start,$A$21:$A$50,0),0))^2),"")</f>
        <v>244.36178863027177</v>
      </c>
      <c r="AD37" s="47">
        <f t="shared" ca="1" si="66"/>
        <v>0</v>
      </c>
      <c r="AE37" s="47">
        <f t="shared" ca="1" si="28"/>
        <v>244.36</v>
      </c>
      <c r="AF37" s="47">
        <f t="shared" ca="1" si="29"/>
        <v>0</v>
      </c>
      <c r="AH37" s="44">
        <v>244.36</v>
      </c>
      <c r="AI37" s="44">
        <f ca="1">OFFSET($AF$22,MATCH(AH37,$AE$23:$AE$58,0),0)</f>
        <v>0</v>
      </c>
      <c r="AJ37" s="44" t="str">
        <f t="shared" ca="1" si="67"/>
        <v>244.36,0</v>
      </c>
    </row>
    <row r="38" spans="1:36" x14ac:dyDescent="0.25">
      <c r="A38" s="44">
        <v>18</v>
      </c>
      <c r="B38" s="48">
        <v>5.4853240740740743</v>
      </c>
      <c r="C38" s="48">
        <v>3.862997685185185</v>
      </c>
      <c r="D38" s="44">
        <v>274.72800000000001</v>
      </c>
      <c r="E38" s="44">
        <v>8.7395999999999994</v>
      </c>
      <c r="F38" s="44"/>
      <c r="G38" s="43">
        <f t="shared" ref="G38:G41" si="68">C38*24</f>
        <v>92.711944444444441</v>
      </c>
      <c r="H38" s="43">
        <f t="shared" ref="H38:H41" si="69">RADIANS(G38)</f>
        <v>1.6181286864816204</v>
      </c>
      <c r="I38" s="43">
        <f t="shared" ref="I38:I41" si="70">B38*24</f>
        <v>131.64777777777778</v>
      </c>
      <c r="J38" s="49">
        <f t="shared" ref="J38:J41" si="71">RADIANS(I38)</f>
        <v>2.2976871751560459</v>
      </c>
      <c r="K38" s="49">
        <f t="shared" ref="K38:K41" si="72">D38*SIN(H38)</f>
        <v>274.4203137005448</v>
      </c>
      <c r="L38" s="46">
        <f t="shared" ref="L38:L41" si="73">D38*COS(H38)</f>
        <v>-12.998669643259625</v>
      </c>
      <c r="M38" s="45"/>
      <c r="N38" s="47">
        <f t="shared" ref="N38:N41" si="74">I38+M38</f>
        <v>131.64777777777778</v>
      </c>
      <c r="O38" s="47">
        <f t="shared" ca="1" si="20"/>
        <v>73.267865112303483</v>
      </c>
      <c r="P38" s="47">
        <f t="shared" ref="P38:P41" ca="1" si="75">SUM(N38,O38)</f>
        <v>204.91564289008124</v>
      </c>
      <c r="Q38" s="47">
        <f t="shared" ref="Q38:Q41" ca="1" si="76">RADIANS(P38)</f>
        <v>3.5764526572728266</v>
      </c>
      <c r="R38" s="47">
        <f t="shared" ref="R38:R41" ca="1" si="77">K38*SIN(Q38)</f>
        <v>-115.60873342453817</v>
      </c>
      <c r="S38" s="47">
        <f t="shared" ref="S38:S41" ca="1" si="78">K38*COS(Q38)</f>
        <v>-248.87974872913924</v>
      </c>
      <c r="T38" s="45">
        <f t="shared" ref="T38:T41" ca="1" si="79">Old_X0+R38</f>
        <v>3857427.0582665754</v>
      </c>
      <c r="U38" s="45">
        <f t="shared" ref="U38:U41" ca="1" si="80">Old_Y0+S38</f>
        <v>1534343.248251271</v>
      </c>
      <c r="V38" s="47">
        <f t="shared" ref="V38:V41" si="81">Old_Z0+HI+L38-E38</f>
        <v>3470.1647303567406</v>
      </c>
      <c r="W38" s="47">
        <f t="shared" ref="W38:W41" ca="1" si="82">IF(ISNUMBER(T38),V38+dZ,"")</f>
        <v>3465.7384947828218</v>
      </c>
      <c r="X38" s="47">
        <f t="shared" ca="1" si="11"/>
        <v>3857427.0582665754</v>
      </c>
      <c r="Y38" s="47">
        <f t="shared" ref="Y38:Y41" ca="1" si="83">IF(ISNUMBER(X38),U38,"")</f>
        <v>1534343.248251271</v>
      </c>
      <c r="Z38" s="47">
        <f t="shared" ca="1" si="12"/>
        <v>3857428.264490115</v>
      </c>
      <c r="AA38" s="47">
        <f t="shared" ca="1" si="13"/>
        <v>1534342.7341654506</v>
      </c>
      <c r="AB38" s="47">
        <f t="shared" ref="AB38:AB41" ca="1" si="84">IF(ISNUMBER(X38),SQRT((X38-Z38)^2+(Y38-AA38)^2),"")</f>
        <v>1.3112053455097135</v>
      </c>
      <c r="AC38" s="47">
        <f ca="1">IF(ISNUMBER(Z38),SQRT(($Z38-OFFSET($Z$20,MATCH(CS_Start,$A$21:$A$50,0),0))^2+($AA38-OFFSET($AA$20,MATCH(CS_Start,$A$21:$A$50,0),0))^2),"")</f>
        <v>271.68289190832803</v>
      </c>
      <c r="AD38" s="47">
        <f t="shared" ref="AD38:AD41" ca="1" si="85">IF(ISNUMBER(X38),W38-Min_Z,"")</f>
        <v>0.16284491743681428</v>
      </c>
      <c r="AE38" s="47">
        <f t="shared" ca="1" si="28"/>
        <v>271.68</v>
      </c>
      <c r="AF38" s="47">
        <f t="shared" ca="1" si="29"/>
        <v>0.16</v>
      </c>
      <c r="AH38" s="44">
        <v>271.68</v>
      </c>
      <c r="AI38" s="44">
        <f ca="1">OFFSET($AF$22,MATCH(AH38,$AE$23:$AE$58,0),0)</f>
        <v>0.16</v>
      </c>
      <c r="AJ38" s="44" t="str">
        <f t="shared" ref="AJ38:AJ43" ca="1" si="86">CONCATENATE(AH38,",",AI38)</f>
        <v>271.68,0.16</v>
      </c>
    </row>
    <row r="39" spans="1:36" x14ac:dyDescent="0.25">
      <c r="A39" s="44">
        <v>19</v>
      </c>
      <c r="B39" s="48">
        <v>5.4809259259259262</v>
      </c>
      <c r="C39" s="48">
        <v>3.8600694444444446</v>
      </c>
      <c r="D39" s="44">
        <v>281.49200000000002</v>
      </c>
      <c r="E39" s="44">
        <v>8.7395999999999994</v>
      </c>
      <c r="F39" s="44"/>
      <c r="G39" s="43">
        <f t="shared" si="68"/>
        <v>92.641666666666666</v>
      </c>
      <c r="H39" s="43">
        <f t="shared" si="69"/>
        <v>1.6169021078684134</v>
      </c>
      <c r="I39" s="43">
        <f t="shared" si="70"/>
        <v>131.54222222222222</v>
      </c>
      <c r="J39" s="49">
        <f t="shared" si="71"/>
        <v>2.2958448831678298</v>
      </c>
      <c r="K39" s="49">
        <f t="shared" si="72"/>
        <v>281.19286316521334</v>
      </c>
      <c r="L39" s="46">
        <f t="shared" si="73"/>
        <v>-12.973810887692911</v>
      </c>
      <c r="M39" s="45"/>
      <c r="N39" s="47">
        <f t="shared" si="74"/>
        <v>131.54222222222222</v>
      </c>
      <c r="O39" s="47">
        <f t="shared" ca="1" si="20"/>
        <v>73.267865112303483</v>
      </c>
      <c r="P39" s="47">
        <f t="shared" ca="1" si="75"/>
        <v>204.81008733452569</v>
      </c>
      <c r="Q39" s="47">
        <f t="shared" ca="1" si="76"/>
        <v>3.5746103652846104</v>
      </c>
      <c r="R39" s="47">
        <f t="shared" ca="1" si="77"/>
        <v>-117.99187065293201</v>
      </c>
      <c r="S39" s="47">
        <f t="shared" ca="1" si="78"/>
        <v>-255.23977894300128</v>
      </c>
      <c r="T39" s="45">
        <f t="shared" ca="1" si="79"/>
        <v>3857424.675129347</v>
      </c>
      <c r="U39" s="45">
        <f t="shared" ca="1" si="80"/>
        <v>1534336.8882210571</v>
      </c>
      <c r="V39" s="47">
        <f t="shared" si="81"/>
        <v>3470.1895891123077</v>
      </c>
      <c r="W39" s="47">
        <f t="shared" ca="1" si="82"/>
        <v>3465.7633535383889</v>
      </c>
      <c r="X39" s="47">
        <f t="shared" ca="1" si="11"/>
        <v>3857424.675129347</v>
      </c>
      <c r="Y39" s="47">
        <f t="shared" ca="1" si="83"/>
        <v>1534336.8882210571</v>
      </c>
      <c r="Z39" s="47">
        <f t="shared" ca="1" si="12"/>
        <v>3857425.6042193305</v>
      </c>
      <c r="AA39" s="47">
        <f t="shared" ca="1" si="13"/>
        <v>1534336.4922480304</v>
      </c>
      <c r="AB39" s="47">
        <f t="shared" ca="1" si="84"/>
        <v>1.0099518975081947</v>
      </c>
      <c r="AC39" s="47">
        <f ca="1">IF(ISNUMBER(Z39),SQRT(($Z39-OFFSET($Z$20,MATCH(CS_Start,$A$21:$A$50,0),0))^2+($AA39-OFFSET($AA$20,MATCH(CS_Start,$A$21:$A$50,0),0))^2),"")</f>
        <v>278.4680649884549</v>
      </c>
      <c r="AD39" s="47">
        <f t="shared" ca="1" si="85"/>
        <v>0.1877036730038526</v>
      </c>
      <c r="AE39" s="47">
        <f t="shared" ca="1" si="28"/>
        <v>278.47000000000003</v>
      </c>
      <c r="AF39" s="47">
        <f t="shared" ca="1" si="29"/>
        <v>0.19</v>
      </c>
      <c r="AH39" s="44">
        <v>278.47000000000003</v>
      </c>
      <c r="AI39" s="44">
        <f ca="1">OFFSET($AF$22,MATCH(AH39,$AE$23:$AE$58,0),0)</f>
        <v>0.19</v>
      </c>
      <c r="AJ39" s="44" t="str">
        <f t="shared" ca="1" si="86"/>
        <v>278.47,0.19</v>
      </c>
    </row>
    <row r="40" spans="1:36" x14ac:dyDescent="0.25">
      <c r="A40" s="44">
        <v>20</v>
      </c>
      <c r="B40" s="48">
        <v>5.4738425925925931</v>
      </c>
      <c r="C40" s="48">
        <v>3.8553587962962959</v>
      </c>
      <c r="D40" s="44">
        <v>284.37599999999998</v>
      </c>
      <c r="E40" s="44">
        <v>8.7395999999999994</v>
      </c>
      <c r="F40" s="49" t="s">
        <v>83</v>
      </c>
      <c r="G40" s="43">
        <f t="shared" si="68"/>
        <v>92.528611111111104</v>
      </c>
      <c r="H40" s="43">
        <f t="shared" si="69"/>
        <v>1.6149289161862976</v>
      </c>
      <c r="I40" s="43">
        <f t="shared" si="70"/>
        <v>131.37222222222223</v>
      </c>
      <c r="J40" s="49">
        <f t="shared" si="71"/>
        <v>2.2928778234394396</v>
      </c>
      <c r="K40" s="49">
        <f t="shared" si="72"/>
        <v>284.09910744775846</v>
      </c>
      <c r="L40" s="46">
        <f t="shared" si="73"/>
        <v>-12.546175647860704</v>
      </c>
      <c r="M40" s="45"/>
      <c r="N40" s="47">
        <f t="shared" si="74"/>
        <v>131.37222222222223</v>
      </c>
      <c r="O40" s="47">
        <f t="shared" ca="1" si="20"/>
        <v>73.267865112303483</v>
      </c>
      <c r="P40" s="47">
        <f t="shared" ca="1" si="75"/>
        <v>204.64008733452573</v>
      </c>
      <c r="Q40" s="47">
        <f t="shared" ca="1" si="76"/>
        <v>3.5716433055562207</v>
      </c>
      <c r="R40" s="47">
        <f t="shared" ca="1" si="77"/>
        <v>-118.44570291858243</v>
      </c>
      <c r="S40" s="47">
        <f t="shared" ca="1" si="78"/>
        <v>-258.23035900671306</v>
      </c>
      <c r="T40" s="45">
        <f t="shared" ca="1" si="79"/>
        <v>3857424.2212970811</v>
      </c>
      <c r="U40" s="45">
        <f t="shared" ca="1" si="80"/>
        <v>1534333.8976409934</v>
      </c>
      <c r="V40" s="47">
        <f t="shared" si="81"/>
        <v>3470.6172243521396</v>
      </c>
      <c r="W40" s="47">
        <f t="shared" ca="1" si="82"/>
        <v>3466.1909887782208</v>
      </c>
      <c r="X40" s="47">
        <f t="shared" ca="1" si="11"/>
        <v>3857424.2212970811</v>
      </c>
      <c r="Y40" s="47">
        <f t="shared" ca="1" si="83"/>
        <v>1534333.8976409934</v>
      </c>
      <c r="Z40" s="47">
        <f t="shared" ca="1" si="12"/>
        <v>3857424.4558140486</v>
      </c>
      <c r="AA40" s="47">
        <f t="shared" ca="1" si="13"/>
        <v>1534333.7976911534</v>
      </c>
      <c r="AB40" s="47">
        <f t="shared" ca="1" si="84"/>
        <v>0.25492779092264795</v>
      </c>
      <c r="AC40" s="47">
        <f ca="1">IF(ISNUMBER(Z40),SQRT(($Z40-OFFSET($Z$20,MATCH(CS_Start,$A$21:$A$50,0),0))^2+($AA40-OFFSET($AA$20,MATCH(CS_Start,$A$21:$A$50,0),0))^2),"")</f>
        <v>281.39713846906403</v>
      </c>
      <c r="AD40" s="47">
        <f t="shared" ca="1" si="85"/>
        <v>0.61533891283579578</v>
      </c>
      <c r="AE40" s="47">
        <f t="shared" ca="1" si="28"/>
        <v>281.39999999999998</v>
      </c>
      <c r="AF40" s="47">
        <f t="shared" ca="1" si="29"/>
        <v>0.62</v>
      </c>
      <c r="AH40" s="44">
        <v>281.39999999999998</v>
      </c>
      <c r="AI40" s="44">
        <f ca="1">OFFSET($AF$22,MATCH(AH40,$AE$23:$AE$58,0),0)</f>
        <v>0.62</v>
      </c>
      <c r="AJ40" s="44" t="str">
        <f t="shared" ca="1" si="86"/>
        <v>281.4,0.62</v>
      </c>
    </row>
    <row r="41" spans="1:36" x14ac:dyDescent="0.25">
      <c r="A41" s="44">
        <v>21</v>
      </c>
      <c r="B41" s="48">
        <v>5.4798148148148149</v>
      </c>
      <c r="C41" s="48">
        <v>3.8413888888888885</v>
      </c>
      <c r="D41" s="44">
        <v>294.548</v>
      </c>
      <c r="E41" s="44">
        <v>8.7395999999999994</v>
      </c>
      <c r="F41" s="44"/>
      <c r="G41" s="43">
        <f t="shared" si="68"/>
        <v>92.193333333333328</v>
      </c>
      <c r="H41" s="43">
        <f t="shared" si="69"/>
        <v>1.6090772150553054</v>
      </c>
      <c r="I41" s="43">
        <f t="shared" si="70"/>
        <v>131.51555555555555</v>
      </c>
      <c r="J41" s="49">
        <f t="shared" si="71"/>
        <v>2.2953794620339645</v>
      </c>
      <c r="K41" s="49">
        <f t="shared" si="72"/>
        <v>294.33220714579176</v>
      </c>
      <c r="L41" s="46">
        <f t="shared" si="73"/>
        <v>-11.272805360101078</v>
      </c>
      <c r="M41" s="45"/>
      <c r="N41" s="47">
        <f t="shared" si="74"/>
        <v>131.51555555555555</v>
      </c>
      <c r="O41" s="47">
        <f t="shared" ca="1" si="20"/>
        <v>73.267865112303483</v>
      </c>
      <c r="P41" s="47">
        <f t="shared" ca="1" si="75"/>
        <v>204.78342066785905</v>
      </c>
      <c r="Q41" s="47">
        <f t="shared" ca="1" si="76"/>
        <v>3.5741449441507456</v>
      </c>
      <c r="R41" s="47">
        <f t="shared" ca="1" si="77"/>
        <v>-123.38093743691451</v>
      </c>
      <c r="S41" s="47">
        <f t="shared" ca="1" si="78"/>
        <v>-267.22386203425293</v>
      </c>
      <c r="T41" s="45">
        <f t="shared" ca="1" si="79"/>
        <v>3857419.2860625628</v>
      </c>
      <c r="U41" s="45">
        <f t="shared" ca="1" si="80"/>
        <v>1534324.9041379658</v>
      </c>
      <c r="V41" s="47">
        <f t="shared" si="81"/>
        <v>3471.8905946398991</v>
      </c>
      <c r="W41" s="47">
        <f t="shared" ca="1" si="82"/>
        <v>3467.4643590659803</v>
      </c>
      <c r="X41" s="47">
        <f t="shared" ca="1" si="11"/>
        <v>3857419.2860625628</v>
      </c>
      <c r="Y41" s="47">
        <f t="shared" ca="1" si="83"/>
        <v>1534324.9041379658</v>
      </c>
      <c r="Z41" s="47">
        <f t="shared" ca="1" si="12"/>
        <v>3857420.4533945154</v>
      </c>
      <c r="AA41" s="47">
        <f t="shared" ca="1" si="13"/>
        <v>1534324.4066275246</v>
      </c>
      <c r="AB41" s="47">
        <f t="shared" ca="1" si="84"/>
        <v>1.2689288894896926</v>
      </c>
      <c r="AC41" s="47">
        <f ca="1">IF(ISNUMBER(Z41),SQRT(($Z41-OFFSET($Z$20,MATCH(CS_Start,$A$21:$A$50,0),0))^2+($AA41-OFFSET($AA$20,MATCH(CS_Start,$A$21:$A$50,0),0))^2),"")</f>
        <v>291.60553884318927</v>
      </c>
      <c r="AD41" s="47">
        <f t="shared" ca="1" si="85"/>
        <v>1.8887092005952582</v>
      </c>
      <c r="AE41" s="47">
        <f t="shared" ca="1" si="28"/>
        <v>291.61</v>
      </c>
      <c r="AF41" s="47">
        <f t="shared" ca="1" si="29"/>
        <v>1.89</v>
      </c>
      <c r="AH41" s="2">
        <v>291.61</v>
      </c>
      <c r="AI41" s="44">
        <f ca="1">OFFSET($AF$22,MATCH(AH41,$AE$23:$AE$58,0),0)</f>
        <v>1.89</v>
      </c>
      <c r="AJ41" s="44" t="str">
        <f t="shared" ca="1" si="86"/>
        <v>291.61,1.89</v>
      </c>
    </row>
    <row r="42" spans="1:36" x14ac:dyDescent="0.25">
      <c r="A42" s="44">
        <v>22</v>
      </c>
      <c r="B42" s="48">
        <v>5.4776967592592598</v>
      </c>
      <c r="C42" s="48">
        <v>3.8302314814814817</v>
      </c>
      <c r="D42" s="44">
        <v>300.92200000000003</v>
      </c>
      <c r="E42" s="44">
        <v>8.7395999999999994</v>
      </c>
      <c r="F42" s="44"/>
      <c r="G42" s="43">
        <f t="shared" ref="G42:G45" si="87">C42*24</f>
        <v>91.925555555555562</v>
      </c>
      <c r="H42" s="43">
        <f t="shared" ref="H42:H45" si="88">RADIANS(G42)</f>
        <v>1.6044036111694098</v>
      </c>
      <c r="I42" s="43">
        <f t="shared" ref="I42:I45" si="89">B42*24</f>
        <v>131.46472222222224</v>
      </c>
      <c r="J42" s="49">
        <f t="shared" ref="J42:J45" si="90">RADIANS(I42)</f>
        <v>2.2944922529975345</v>
      </c>
      <c r="K42" s="49">
        <f t="shared" ref="K42:K45" si="91">D42*SIN(H42)</f>
        <v>300.75207788340532</v>
      </c>
      <c r="L42" s="46">
        <f t="shared" ref="L42:L45" si="92">D42*COS(H42)</f>
        <v>-10.111267616581291</v>
      </c>
      <c r="M42" s="45"/>
      <c r="N42" s="47">
        <f t="shared" ref="N42:N45" si="93">I42+M42</f>
        <v>131.46472222222224</v>
      </c>
      <c r="O42" s="47">
        <f t="shared" ca="1" si="20"/>
        <v>73.267865112303483</v>
      </c>
      <c r="P42" s="47">
        <f t="shared" ref="P42:P45" ca="1" si="94">SUM(N42,O42)</f>
        <v>204.7325873345257</v>
      </c>
      <c r="Q42" s="47">
        <f t="shared" ref="Q42:Q45" ca="1" si="95">RADIANS(P42)</f>
        <v>3.5732577351143151</v>
      </c>
      <c r="R42" s="47">
        <f t="shared" ref="R42:R45" ca="1" si="96">K42*SIN(Q42)</f>
        <v>-125.82977492297232</v>
      </c>
      <c r="S42" s="47">
        <f t="shared" ref="S42:S45" ca="1" si="97">K42*COS(Q42)</f>
        <v>-273.16419987622834</v>
      </c>
      <c r="T42" s="45">
        <f t="shared" ref="T42:T45" ca="1" si="98">Old_X0+R42</f>
        <v>3857416.8372250767</v>
      </c>
      <c r="U42" s="45">
        <f t="shared" ref="U42:U45" ca="1" si="99">Old_Y0+S42</f>
        <v>1534318.9638001239</v>
      </c>
      <c r="V42" s="47">
        <f t="shared" ref="V42:V45" si="100">Old_Z0+HI+L42-E42</f>
        <v>3473.0521323834191</v>
      </c>
      <c r="W42" s="47">
        <f t="shared" ref="W42:W45" ca="1" si="101">IF(ISNUMBER(T42),V42+dZ,"")</f>
        <v>3468.6258968095003</v>
      </c>
      <c r="X42" s="47">
        <f t="shared" ca="1" si="11"/>
        <v>3857416.8372250767</v>
      </c>
      <c r="Y42" s="47">
        <f t="shared" ref="Y42:Y45" ca="1" si="102">IF(ISNUMBER(X42),U42,"")</f>
        <v>1534318.9638001239</v>
      </c>
      <c r="Z42" s="47">
        <f t="shared" ca="1" si="12"/>
        <v>3857417.9343989245</v>
      </c>
      <c r="AA42" s="47">
        <f t="shared" ca="1" si="13"/>
        <v>1534318.4961906802</v>
      </c>
      <c r="AB42" s="47">
        <f t="shared" ref="AB42:AB45" ca="1" si="103">IF(ISNUMBER(X42),SQRT((X42-Z42)^2+(Y42-AA42)^2),"")</f>
        <v>1.1926646821165008</v>
      </c>
      <c r="AC42" s="47">
        <f ca="1">IF(ISNUMBER(Z42),SQRT(($Z42-OFFSET($Z$20,MATCH(CS_Start,$A$21:$A$50,0),0))^2+($AA42-OFFSET($AA$20,MATCH(CS_Start,$A$21:$A$50,0),0))^2),"")</f>
        <v>298.03038144667886</v>
      </c>
      <c r="AD42" s="47">
        <f t="shared" ref="AD42:AD45" ca="1" si="104">IF(ISNUMBER(X42),W42-Min_Z,"")</f>
        <v>3.0502469441153153</v>
      </c>
      <c r="AE42" s="47">
        <f t="shared" ca="1" si="28"/>
        <v>298.02999999999997</v>
      </c>
      <c r="AF42" s="47">
        <f t="shared" ca="1" si="29"/>
        <v>3.05</v>
      </c>
      <c r="AH42" s="2">
        <v>298.02999999999997</v>
      </c>
      <c r="AI42" s="44">
        <f ca="1">OFFSET($AF$22,MATCH(AH42,$AE$23:$AE$58,0),0)</f>
        <v>3.05</v>
      </c>
      <c r="AJ42" s="44" t="str">
        <f t="shared" ca="1" si="86"/>
        <v>298.03,3.05</v>
      </c>
    </row>
    <row r="43" spans="1:36" x14ac:dyDescent="0.25">
      <c r="A43" s="44">
        <v>23</v>
      </c>
      <c r="B43" s="48">
        <v>5.4762500000000003</v>
      </c>
      <c r="C43" s="48">
        <v>3.803587962962963</v>
      </c>
      <c r="D43" s="44">
        <v>317.14800000000002</v>
      </c>
      <c r="E43" s="44">
        <v>8.7395999999999994</v>
      </c>
      <c r="F43" s="44"/>
      <c r="G43" s="43">
        <f t="shared" si="87"/>
        <v>91.286111111111111</v>
      </c>
      <c r="H43" s="43">
        <f t="shared" si="88"/>
        <v>1.5932432002302681</v>
      </c>
      <c r="I43" s="43">
        <f t="shared" si="89"/>
        <v>131.43</v>
      </c>
      <c r="J43" s="49">
        <f t="shared" si="90"/>
        <v>2.2938862358961476</v>
      </c>
      <c r="K43" s="49">
        <f t="shared" si="91"/>
        <v>317.06810392187123</v>
      </c>
      <c r="L43" s="46">
        <f t="shared" si="92"/>
        <v>-7.1183832005227146</v>
      </c>
      <c r="M43" s="45"/>
      <c r="N43" s="47">
        <f t="shared" si="93"/>
        <v>131.43</v>
      </c>
      <c r="O43" s="47">
        <f t="shared" ca="1" si="20"/>
        <v>73.267865112303483</v>
      </c>
      <c r="P43" s="47">
        <f t="shared" ca="1" si="94"/>
        <v>204.69786511230348</v>
      </c>
      <c r="Q43" s="47">
        <f t="shared" ca="1" si="95"/>
        <v>3.5726517180129278</v>
      </c>
      <c r="R43" s="47">
        <f t="shared" ca="1" si="96"/>
        <v>-132.48158737641717</v>
      </c>
      <c r="S43" s="47">
        <f t="shared" ca="1" si="97"/>
        <v>-288.06390181839043</v>
      </c>
      <c r="T43" s="45">
        <f t="shared" ca="1" si="98"/>
        <v>3857410.1854126235</v>
      </c>
      <c r="U43" s="45">
        <f t="shared" ca="1" si="99"/>
        <v>1534304.0640981817</v>
      </c>
      <c r="V43" s="47">
        <f t="shared" si="100"/>
        <v>3476.0450167994777</v>
      </c>
      <c r="W43" s="47">
        <f t="shared" ca="1" si="101"/>
        <v>3471.6187812255589</v>
      </c>
      <c r="X43" s="47">
        <f t="shared" ca="1" si="11"/>
        <v>3857410.1854126235</v>
      </c>
      <c r="Y43" s="47">
        <f t="shared" ca="1" si="102"/>
        <v>1534304.0640981817</v>
      </c>
      <c r="Z43" s="47">
        <f t="shared" ca="1" si="12"/>
        <v>3857411.5378598231</v>
      </c>
      <c r="AA43" s="47">
        <f t="shared" ca="1" si="13"/>
        <v>1534303.487692643</v>
      </c>
      <c r="AB43" s="47">
        <f t="shared" ca="1" si="103"/>
        <v>1.4701553567084795</v>
      </c>
      <c r="AC43" s="47">
        <f ca="1">IF(ISNUMBER(Z43),SQRT(($Z43-OFFSET($Z$20,MATCH(CS_Start,$A$21:$A$50,0),0))^2+($AA43-OFFSET($AA$20,MATCH(CS_Start,$A$21:$A$50,0),0))^2),"")</f>
        <v>314.34512097292014</v>
      </c>
      <c r="AD43" s="47">
        <f t="shared" ca="1" si="104"/>
        <v>6.0431313601739021</v>
      </c>
      <c r="AE43" s="47">
        <f t="shared" ca="1" si="28"/>
        <v>314.35000000000002</v>
      </c>
      <c r="AF43" s="47">
        <f t="shared" ca="1" si="29"/>
        <v>6.04</v>
      </c>
      <c r="AH43" s="2">
        <v>314.35000000000002</v>
      </c>
      <c r="AI43" s="44">
        <f ca="1">OFFSET($AF$22,MATCH(AH43,$AE$23:$AE$58,0),0)</f>
        <v>6.04</v>
      </c>
      <c r="AJ43" s="44" t="str">
        <f t="shared" ca="1" si="86"/>
        <v>314.35,6.04</v>
      </c>
    </row>
    <row r="44" spans="1:36" x14ac:dyDescent="0.25">
      <c r="A44" s="44">
        <v>24</v>
      </c>
      <c r="B44" s="48">
        <v>1.2152777777777778E-3</v>
      </c>
      <c r="C44" s="48">
        <v>3.7952777777777782</v>
      </c>
      <c r="D44" s="44">
        <v>55.771000000000001</v>
      </c>
      <c r="E44" s="44">
        <v>8.7395999999999994</v>
      </c>
      <c r="F44" s="49" t="s">
        <v>69</v>
      </c>
      <c r="G44" s="43">
        <f t="shared" si="87"/>
        <v>91.086666666666673</v>
      </c>
      <c r="H44" s="43">
        <f t="shared" si="88"/>
        <v>1.5897622379999017</v>
      </c>
      <c r="I44" s="43">
        <f t="shared" si="89"/>
        <v>2.9166666666666667E-2</v>
      </c>
      <c r="J44" s="49">
        <f t="shared" si="90"/>
        <v>5.0905436516501281E-4</v>
      </c>
      <c r="K44" s="49">
        <f t="shared" si="91"/>
        <v>55.76096972492104</v>
      </c>
      <c r="L44" s="46">
        <f t="shared" si="92"/>
        <v>-1.0576844219518466</v>
      </c>
      <c r="M44" s="45"/>
      <c r="N44" s="47">
        <f t="shared" si="93"/>
        <v>2.9166666666666667E-2</v>
      </c>
      <c r="O44" s="47">
        <f t="shared" ca="1" si="20"/>
        <v>73.267865112303483</v>
      </c>
      <c r="P44" s="47">
        <f t="shared" ca="1" si="94"/>
        <v>73.297031778970151</v>
      </c>
      <c r="Q44" s="47">
        <f t="shared" ca="1" si="95"/>
        <v>1.2792745364819458</v>
      </c>
      <c r="R44" s="47">
        <f t="shared" ca="1" si="96"/>
        <v>53.408280964083218</v>
      </c>
      <c r="S44" s="47">
        <f t="shared" ca="1" si="97"/>
        <v>16.026268097255421</v>
      </c>
      <c r="T44" s="45">
        <f t="shared" ca="1" si="98"/>
        <v>3857596.0752809639</v>
      </c>
      <c r="U44" s="45">
        <f t="shared" ca="1" si="99"/>
        <v>1534608.1542680974</v>
      </c>
      <c r="V44" s="47">
        <f t="shared" si="100"/>
        <v>3482.1057155780486</v>
      </c>
      <c r="W44" s="47">
        <f t="shared" ca="1" si="101"/>
        <v>3477.6794800041298</v>
      </c>
      <c r="X44" s="47" t="str">
        <f t="shared" si="11"/>
        <v/>
      </c>
      <c r="Y44" s="47" t="str">
        <f t="shared" si="102"/>
        <v/>
      </c>
      <c r="Z44" s="47" t="e">
        <f t="shared" si="12"/>
        <v>#N/A</v>
      </c>
      <c r="AA44" s="47" t="e">
        <f t="shared" si="13"/>
        <v>#N/A</v>
      </c>
      <c r="AB44" s="47" t="str">
        <f t="shared" si="103"/>
        <v/>
      </c>
      <c r="AC44" s="47" t="str">
        <f ca="1">IF(ISNUMBER(Z44),SQRT(($Z44-OFFSET($Z$20,MATCH(CS_Start,$A$21:$A$50,0),0))^2+($AA44-OFFSET($AA$20,MATCH(CS_Start,$A$21:$A$50,0),0))^2),"")</f>
        <v/>
      </c>
      <c r="AD44" s="47" t="str">
        <f t="shared" si="104"/>
        <v/>
      </c>
      <c r="AE44" s="47" t="e">
        <f t="shared" ca="1" si="28"/>
        <v>#VALUE!</v>
      </c>
      <c r="AF44" s="47" t="e">
        <f t="shared" si="29"/>
        <v>#VALUE!</v>
      </c>
      <c r="AI44" s="44"/>
      <c r="AJ44" s="44"/>
    </row>
    <row r="45" spans="1:36" x14ac:dyDescent="0.25">
      <c r="A45" s="44">
        <v>25</v>
      </c>
      <c r="B45" s="48">
        <v>12.898715277777777</v>
      </c>
      <c r="C45" s="48">
        <v>3.7848611111111112</v>
      </c>
      <c r="D45" s="44">
        <v>87.415000000000006</v>
      </c>
      <c r="E45" s="44">
        <v>8.7395999999999994</v>
      </c>
      <c r="F45" s="49" t="s">
        <v>70</v>
      </c>
      <c r="G45" s="43">
        <f t="shared" si="87"/>
        <v>90.836666666666673</v>
      </c>
      <c r="H45" s="43">
        <f t="shared" si="88"/>
        <v>1.5853989148699159</v>
      </c>
      <c r="I45" s="43">
        <f t="shared" si="89"/>
        <v>309.56916666666666</v>
      </c>
      <c r="J45" s="49">
        <f t="shared" si="90"/>
        <v>5.4030012209884122</v>
      </c>
      <c r="K45" s="49">
        <f t="shared" si="91"/>
        <v>87.405680171564896</v>
      </c>
      <c r="L45" s="46">
        <f t="shared" si="92"/>
        <v>-1.2764398717168417</v>
      </c>
      <c r="M45" s="45"/>
      <c r="N45" s="47">
        <f t="shared" si="93"/>
        <v>309.56916666666666</v>
      </c>
      <c r="O45" s="47">
        <f t="shared" ca="1" si="20"/>
        <v>73.267865112303483</v>
      </c>
      <c r="P45" s="47">
        <f t="shared" ca="1" si="94"/>
        <v>382.83703177897013</v>
      </c>
      <c r="Q45" s="47">
        <f t="shared" ca="1" si="95"/>
        <v>6.6817667031051933</v>
      </c>
      <c r="R45" s="47">
        <f t="shared" ca="1" si="96"/>
        <v>33.923134783393834</v>
      </c>
      <c r="S45" s="47">
        <f t="shared" ca="1" si="97"/>
        <v>80.554167196499449</v>
      </c>
      <c r="T45" s="45">
        <f t="shared" ca="1" si="98"/>
        <v>3857576.5901347832</v>
      </c>
      <c r="U45" s="45">
        <f t="shared" ca="1" si="99"/>
        <v>1534672.6821671964</v>
      </c>
      <c r="V45" s="47">
        <f t="shared" si="100"/>
        <v>3481.8869601282836</v>
      </c>
      <c r="W45" s="47">
        <f t="shared" ca="1" si="101"/>
        <v>3477.4607245543648</v>
      </c>
      <c r="X45" s="47" t="str">
        <f t="shared" si="11"/>
        <v/>
      </c>
      <c r="Y45" s="47" t="str">
        <f t="shared" si="102"/>
        <v/>
      </c>
      <c r="Z45" s="47" t="e">
        <f t="shared" si="12"/>
        <v>#N/A</v>
      </c>
      <c r="AA45" s="47" t="e">
        <f t="shared" si="13"/>
        <v>#N/A</v>
      </c>
      <c r="AB45" s="47" t="str">
        <f t="shared" si="103"/>
        <v/>
      </c>
      <c r="AC45" s="47" t="str">
        <f ca="1">IF(ISNUMBER(Z45),SQRT(($Z45-OFFSET($Z$20,MATCH(CS_Start,$A$21:$A$50,0),0))^2+($AA45-OFFSET($AA$20,MATCH(CS_Start,$A$21:$A$50,0),0))^2),"")</f>
        <v/>
      </c>
      <c r="AD45" s="47" t="str">
        <f t="shared" si="104"/>
        <v/>
      </c>
      <c r="AE45" s="47" t="e">
        <f t="shared" ca="1" si="28"/>
        <v>#VALUE!</v>
      </c>
      <c r="AF45" s="47" t="e">
        <f t="shared" si="29"/>
        <v>#VALUE!</v>
      </c>
    </row>
    <row r="46" spans="1:36" x14ac:dyDescent="0.25">
      <c r="A46" s="44"/>
      <c r="B46" s="48"/>
      <c r="C46" s="48"/>
      <c r="D46" s="44"/>
      <c r="E46" s="44"/>
      <c r="F46" s="44"/>
      <c r="G46" s="43"/>
      <c r="H46" s="43"/>
      <c r="I46" s="43"/>
      <c r="J46" s="49"/>
      <c r="K46" s="49"/>
      <c r="L46" s="46"/>
      <c r="M46" s="45"/>
      <c r="N46" s="47"/>
      <c r="O46" s="47"/>
      <c r="P46" s="47"/>
      <c r="Q46" s="47"/>
      <c r="R46" s="47"/>
      <c r="S46" s="47"/>
      <c r="T46" s="45"/>
      <c r="U46" s="45"/>
      <c r="V46" s="47"/>
      <c r="W46" s="47"/>
      <c r="X46" s="47"/>
      <c r="Y46" s="47"/>
      <c r="Z46" s="47"/>
      <c r="AA46" s="47"/>
      <c r="AB46" s="47"/>
      <c r="AC46" s="47"/>
      <c r="AD46" s="47"/>
      <c r="AE46" s="44"/>
      <c r="AF46" s="44"/>
    </row>
    <row r="47" spans="1:36" x14ac:dyDescent="0.25">
      <c r="A47" s="44"/>
      <c r="B47" s="48"/>
      <c r="C47" s="48"/>
      <c r="D47" s="44"/>
      <c r="E47" s="44"/>
      <c r="F47" s="44"/>
      <c r="G47" s="43"/>
      <c r="H47" s="43"/>
      <c r="I47" s="43"/>
      <c r="J47" s="49"/>
      <c r="K47" s="49"/>
      <c r="L47" s="46"/>
      <c r="M47" s="45"/>
      <c r="N47" s="47"/>
      <c r="O47" s="47"/>
      <c r="P47" s="47"/>
      <c r="Q47" s="47"/>
      <c r="R47" s="47"/>
      <c r="S47" s="47"/>
      <c r="T47" s="45"/>
      <c r="U47" s="45"/>
      <c r="V47" s="47"/>
      <c r="W47" s="47"/>
      <c r="X47" s="47"/>
      <c r="Y47" s="47"/>
      <c r="Z47" s="47"/>
      <c r="AA47" s="47"/>
      <c r="AB47" s="47"/>
      <c r="AC47" s="47"/>
      <c r="AD47" s="47"/>
      <c r="AE47" s="44"/>
      <c r="AF47" s="44"/>
    </row>
    <row r="48" spans="1:36" x14ac:dyDescent="0.25">
      <c r="A48" s="44"/>
      <c r="B48" s="48"/>
      <c r="C48" s="48"/>
      <c r="D48" s="44"/>
      <c r="E48" s="44"/>
      <c r="F48" s="44"/>
      <c r="G48" s="43"/>
      <c r="H48" s="43"/>
      <c r="I48" s="43"/>
      <c r="J48" s="49"/>
      <c r="K48" s="49"/>
      <c r="L48" s="46"/>
      <c r="M48" s="45"/>
      <c r="N48" s="47"/>
      <c r="O48" s="47"/>
      <c r="P48" s="47"/>
      <c r="Q48" s="47"/>
      <c r="R48" s="47"/>
      <c r="S48" s="47"/>
      <c r="T48" s="45"/>
      <c r="U48" s="45"/>
      <c r="V48" s="47"/>
      <c r="W48" s="47"/>
      <c r="X48" s="47"/>
      <c r="Y48" s="47"/>
      <c r="Z48" s="47"/>
      <c r="AA48" s="47"/>
      <c r="AB48" s="47"/>
      <c r="AC48" s="47"/>
      <c r="AD48" s="47"/>
      <c r="AE48" s="44"/>
      <c r="AF48" s="44"/>
    </row>
    <row r="49" spans="1:36" x14ac:dyDescent="0.25">
      <c r="A49" s="44"/>
      <c r="B49" s="48"/>
      <c r="C49" s="48"/>
      <c r="D49" s="44"/>
      <c r="E49" s="44"/>
      <c r="F49" s="44"/>
      <c r="G49" s="43"/>
      <c r="H49" s="43"/>
      <c r="I49" s="43"/>
      <c r="J49" s="49"/>
      <c r="K49" s="49"/>
      <c r="L49" s="46"/>
      <c r="M49" s="45"/>
      <c r="N49" s="47"/>
      <c r="O49" s="47"/>
      <c r="P49" s="47"/>
      <c r="Q49" s="47"/>
      <c r="R49" s="47"/>
      <c r="S49" s="47"/>
      <c r="T49" s="45"/>
      <c r="U49" s="45"/>
      <c r="V49" s="47"/>
      <c r="W49" s="47"/>
      <c r="X49" s="47"/>
      <c r="Y49" s="47"/>
      <c r="Z49" s="47"/>
      <c r="AA49" s="47"/>
      <c r="AB49" s="47"/>
      <c r="AC49" s="47"/>
      <c r="AD49" s="47"/>
      <c r="AE49" s="44"/>
      <c r="AF49" s="44"/>
    </row>
    <row r="50" spans="1:36" x14ac:dyDescent="0.25">
      <c r="A50" s="44"/>
      <c r="B50" s="48"/>
      <c r="C50" s="48"/>
      <c r="D50" s="44"/>
      <c r="E50" s="44"/>
      <c r="F50" s="49"/>
      <c r="G50" s="43"/>
      <c r="H50" s="43"/>
      <c r="I50" s="43"/>
      <c r="J50" s="49"/>
      <c r="K50" s="49"/>
      <c r="L50" s="46"/>
      <c r="M50" s="45"/>
      <c r="N50" s="47"/>
      <c r="O50" s="47"/>
      <c r="P50" s="47"/>
      <c r="Q50" s="47"/>
      <c r="R50" s="47"/>
      <c r="S50" s="47"/>
      <c r="T50" s="45"/>
      <c r="U50" s="45"/>
      <c r="V50" s="47"/>
      <c r="W50" s="47"/>
      <c r="X50" s="47"/>
      <c r="Y50" s="47"/>
      <c r="Z50" s="47"/>
      <c r="AA50" s="47"/>
      <c r="AB50" s="47"/>
      <c r="AC50" s="47"/>
      <c r="AD50" s="47"/>
      <c r="AE50" s="44"/>
      <c r="AF50" s="44"/>
    </row>
    <row r="51" spans="1:36" x14ac:dyDescent="0.25">
      <c r="A51" s="44"/>
      <c r="B51" s="48"/>
      <c r="C51" s="48"/>
      <c r="D51" s="44"/>
      <c r="E51" s="44"/>
      <c r="F51" s="44"/>
      <c r="G51" s="43"/>
      <c r="H51" s="43"/>
      <c r="I51" s="43"/>
      <c r="J51" s="49"/>
      <c r="K51" s="49"/>
      <c r="L51" s="46"/>
      <c r="M51" s="45"/>
      <c r="N51" s="47"/>
      <c r="O51" s="47"/>
      <c r="P51" s="47"/>
      <c r="Q51" s="47"/>
      <c r="R51" s="47"/>
      <c r="S51" s="47"/>
      <c r="T51" s="45"/>
      <c r="U51" s="45"/>
      <c r="V51" s="47"/>
      <c r="W51" s="47"/>
      <c r="X51" s="47"/>
      <c r="Y51" s="47"/>
      <c r="Z51" s="47"/>
      <c r="AA51" s="47"/>
      <c r="AB51" s="47"/>
      <c r="AC51" s="47"/>
      <c r="AD51" s="47"/>
      <c r="AE51" s="44"/>
      <c r="AF51" s="44"/>
    </row>
    <row r="52" spans="1:36" x14ac:dyDescent="0.25">
      <c r="A52" s="44"/>
      <c r="B52" s="48"/>
      <c r="C52" s="48"/>
      <c r="D52" s="44"/>
      <c r="E52" s="44"/>
      <c r="F52" s="49"/>
      <c r="G52" s="43"/>
      <c r="H52" s="43"/>
      <c r="I52" s="43"/>
      <c r="J52" s="49"/>
      <c r="K52" s="49"/>
      <c r="L52" s="46"/>
      <c r="M52" s="45"/>
      <c r="N52" s="47"/>
      <c r="O52" s="47"/>
      <c r="P52" s="47"/>
      <c r="Q52" s="47"/>
      <c r="R52" s="47"/>
      <c r="S52" s="47"/>
      <c r="T52" s="45"/>
      <c r="U52" s="45"/>
      <c r="V52" s="47"/>
      <c r="W52" s="47"/>
      <c r="X52" s="47"/>
      <c r="Y52" s="47"/>
      <c r="Z52" s="47"/>
      <c r="AA52" s="47"/>
      <c r="AB52" s="47"/>
      <c r="AC52" s="47"/>
      <c r="AD52" s="47"/>
      <c r="AE52" s="44"/>
      <c r="AF52" s="44"/>
    </row>
    <row r="53" spans="1:36" x14ac:dyDescent="0.25">
      <c r="A53" s="44"/>
      <c r="B53" s="48"/>
      <c r="C53" s="48"/>
      <c r="D53" s="44"/>
      <c r="E53" s="44"/>
      <c r="F53" s="44"/>
      <c r="G53" s="43"/>
      <c r="H53" s="43"/>
      <c r="I53" s="43"/>
      <c r="J53" s="49"/>
      <c r="K53" s="49"/>
      <c r="L53" s="46"/>
      <c r="M53" s="45"/>
      <c r="N53" s="47"/>
      <c r="O53" s="47"/>
      <c r="P53" s="47"/>
      <c r="Q53" s="47"/>
      <c r="R53" s="47"/>
      <c r="S53" s="47"/>
      <c r="T53" s="45"/>
      <c r="U53" s="45"/>
      <c r="V53" s="47"/>
      <c r="W53" s="47"/>
      <c r="X53" s="47"/>
      <c r="Y53" s="47"/>
      <c r="Z53" s="47"/>
      <c r="AA53" s="47"/>
      <c r="AB53" s="47"/>
      <c r="AC53" s="47"/>
      <c r="AD53" s="47"/>
      <c r="AE53" s="44"/>
      <c r="AF53" s="44"/>
    </row>
    <row r="54" spans="1:36" x14ac:dyDescent="0.25">
      <c r="A54" s="44"/>
      <c r="B54" s="48"/>
      <c r="C54" s="48"/>
      <c r="D54" s="44"/>
      <c r="E54" s="44"/>
      <c r="F54" s="44"/>
      <c r="G54" s="43"/>
      <c r="H54" s="43"/>
      <c r="I54" s="43"/>
      <c r="J54" s="49"/>
      <c r="K54" s="49"/>
      <c r="L54" s="46"/>
      <c r="M54" s="45"/>
      <c r="N54" s="47"/>
      <c r="O54" s="47"/>
      <c r="P54" s="47"/>
      <c r="Q54" s="47"/>
      <c r="R54" s="47"/>
      <c r="S54" s="47"/>
      <c r="T54" s="45"/>
      <c r="U54" s="45"/>
      <c r="V54" s="47"/>
      <c r="W54" s="47"/>
      <c r="X54" s="47"/>
      <c r="Y54" s="47"/>
      <c r="Z54" s="47"/>
      <c r="AA54" s="47"/>
      <c r="AB54" s="47"/>
      <c r="AC54" s="47"/>
      <c r="AD54" s="47"/>
      <c r="AE54" s="44"/>
      <c r="AF54" s="44"/>
    </row>
    <row r="55" spans="1:36" x14ac:dyDescent="0.25">
      <c r="A55" s="44"/>
      <c r="B55" s="48"/>
      <c r="C55" s="50"/>
      <c r="D55" s="44"/>
      <c r="E55" s="44"/>
      <c r="F55" s="50"/>
      <c r="G55" s="43"/>
      <c r="H55" s="43"/>
      <c r="I55" s="43"/>
      <c r="J55" s="49"/>
      <c r="K55" s="49"/>
      <c r="L55" s="46"/>
      <c r="M55" s="45"/>
      <c r="N55" s="47"/>
      <c r="O55" s="47"/>
      <c r="P55" s="47"/>
      <c r="Q55" s="47"/>
      <c r="R55" s="47"/>
      <c r="S55" s="47"/>
      <c r="T55" s="45"/>
      <c r="U55" s="45"/>
      <c r="V55" s="47"/>
      <c r="W55" s="47"/>
      <c r="X55" s="47"/>
      <c r="Y55" s="47"/>
      <c r="Z55" s="47"/>
      <c r="AA55" s="47"/>
      <c r="AB55" s="47"/>
      <c r="AC55" s="47"/>
      <c r="AD55" s="47"/>
      <c r="AE55" s="44"/>
      <c r="AF55" s="44"/>
    </row>
    <row r="56" spans="1:36" x14ac:dyDescent="0.25">
      <c r="A56" s="44"/>
      <c r="B56" s="48"/>
      <c r="C56" s="48"/>
      <c r="D56" s="44"/>
      <c r="E56" s="44"/>
      <c r="F56" s="44"/>
      <c r="G56" s="43"/>
      <c r="H56" s="43"/>
      <c r="I56" s="43"/>
      <c r="J56" s="49"/>
      <c r="K56" s="49"/>
      <c r="L56" s="46"/>
      <c r="M56" s="45"/>
      <c r="N56" s="47"/>
      <c r="O56" s="47"/>
      <c r="P56" s="47"/>
      <c r="Q56" s="47"/>
      <c r="R56" s="47"/>
      <c r="S56" s="47"/>
      <c r="T56" s="45"/>
      <c r="U56" s="45"/>
      <c r="V56" s="47"/>
      <c r="W56" s="47"/>
      <c r="X56" s="47"/>
      <c r="Y56" s="47"/>
      <c r="Z56" s="47"/>
      <c r="AA56" s="47"/>
      <c r="AB56" s="47"/>
      <c r="AC56" s="47"/>
      <c r="AD56" s="47"/>
      <c r="AE56" s="44"/>
      <c r="AF56" s="44"/>
    </row>
    <row r="57" spans="1:36" x14ac:dyDescent="0.25">
      <c r="A57" s="44"/>
      <c r="B57" s="48"/>
      <c r="C57" s="48"/>
      <c r="D57" s="44"/>
      <c r="E57" s="44"/>
      <c r="F57" s="44"/>
      <c r="G57" s="43"/>
      <c r="H57" s="43"/>
      <c r="I57" s="43"/>
      <c r="J57" s="49"/>
      <c r="K57" s="49"/>
      <c r="L57" s="46"/>
      <c r="M57" s="45"/>
      <c r="N57" s="47"/>
      <c r="O57" s="47"/>
      <c r="P57" s="47"/>
      <c r="Q57" s="47"/>
      <c r="R57" s="47"/>
      <c r="S57" s="47"/>
      <c r="T57" s="45"/>
      <c r="U57" s="45"/>
      <c r="V57" s="47"/>
      <c r="W57" s="47"/>
      <c r="X57" s="47"/>
      <c r="Y57" s="47"/>
      <c r="Z57" s="47"/>
      <c r="AA57" s="47"/>
      <c r="AB57" s="47"/>
      <c r="AC57" s="47"/>
      <c r="AD57" s="47"/>
      <c r="AE57" s="44"/>
      <c r="AF57" s="44"/>
    </row>
    <row r="58" spans="1:36" x14ac:dyDescent="0.25">
      <c r="A58" s="44"/>
      <c r="B58" s="48"/>
      <c r="C58" s="48"/>
      <c r="D58" s="44"/>
      <c r="E58" s="44"/>
      <c r="F58" s="44"/>
      <c r="G58" s="43"/>
      <c r="H58" s="43"/>
      <c r="I58" s="43"/>
      <c r="J58" s="49"/>
      <c r="K58" s="49"/>
      <c r="L58" s="46"/>
      <c r="M58" s="45"/>
      <c r="N58" s="47"/>
      <c r="O58" s="47"/>
      <c r="P58" s="47"/>
      <c r="Q58" s="47"/>
      <c r="R58" s="47"/>
      <c r="S58" s="47"/>
      <c r="T58" s="45"/>
      <c r="U58" s="45"/>
      <c r="V58" s="47"/>
      <c r="W58" s="47"/>
      <c r="X58" s="47"/>
      <c r="Y58" s="47"/>
      <c r="Z58" s="47"/>
      <c r="AA58" s="47"/>
      <c r="AB58" s="47"/>
      <c r="AC58" s="47"/>
      <c r="AD58" s="47"/>
      <c r="AE58" s="44"/>
      <c r="AF58" s="44"/>
    </row>
    <row r="59" spans="1:36" x14ac:dyDescent="0.25">
      <c r="A59" s="44"/>
      <c r="B59" s="48"/>
      <c r="C59" s="48"/>
      <c r="D59" s="44"/>
      <c r="E59" s="44"/>
      <c r="F59" s="49"/>
      <c r="G59" s="43"/>
      <c r="H59" s="43"/>
      <c r="I59" s="43"/>
      <c r="J59" s="49"/>
      <c r="K59" s="49"/>
      <c r="L59" s="46"/>
      <c r="M59" s="45"/>
      <c r="N59" s="47"/>
      <c r="O59" s="47"/>
      <c r="P59" s="47"/>
      <c r="Q59" s="47"/>
      <c r="R59" s="47"/>
      <c r="S59" s="47"/>
      <c r="T59" s="45"/>
      <c r="U59" s="45"/>
      <c r="V59" s="47"/>
      <c r="W59" s="47"/>
      <c r="X59" s="47"/>
      <c r="Y59" s="47"/>
      <c r="Z59" s="47"/>
      <c r="AA59" s="47"/>
      <c r="AB59" s="47"/>
      <c r="AC59" s="47"/>
      <c r="AD59" s="47"/>
      <c r="AE59" s="44"/>
      <c r="AF59" s="44"/>
      <c r="AH59" s="44"/>
      <c r="AI59" s="44"/>
      <c r="AJ59" s="44"/>
    </row>
    <row r="60" spans="1:36" x14ac:dyDescent="0.25">
      <c r="A60" s="44"/>
      <c r="B60" s="48"/>
      <c r="C60" s="48"/>
      <c r="D60" s="44"/>
      <c r="E60" s="44"/>
      <c r="F60" s="49"/>
      <c r="G60" s="43"/>
      <c r="H60" s="43"/>
      <c r="I60" s="43"/>
      <c r="J60" s="49"/>
      <c r="K60" s="49"/>
      <c r="L60" s="46"/>
      <c r="M60" s="45"/>
      <c r="N60" s="47"/>
      <c r="O60" s="47"/>
      <c r="P60" s="47"/>
      <c r="Q60" s="47"/>
      <c r="R60" s="47"/>
      <c r="S60" s="47"/>
      <c r="T60" s="45"/>
      <c r="U60" s="45"/>
      <c r="V60" s="47"/>
      <c r="W60" s="47"/>
      <c r="X60" s="47"/>
      <c r="Y60" s="47"/>
      <c r="Z60" s="47"/>
      <c r="AA60" s="47"/>
      <c r="AB60" s="47"/>
      <c r="AC60" s="47"/>
      <c r="AD60" s="47"/>
      <c r="AE60" s="44"/>
      <c r="AF60" s="44"/>
      <c r="AH60" s="44"/>
      <c r="AI60" s="44"/>
      <c r="AJ60" s="44"/>
    </row>
    <row r="61" spans="1:36" x14ac:dyDescent="0.25">
      <c r="A61" s="40"/>
      <c r="C61" s="2"/>
      <c r="D61" s="42"/>
      <c r="E61" s="42"/>
      <c r="F61" s="42"/>
      <c r="G61" s="42"/>
      <c r="H61" s="42"/>
      <c r="I61" s="10"/>
      <c r="J61" s="10"/>
      <c r="K61" s="10"/>
      <c r="L61" s="10"/>
      <c r="M61" s="10"/>
      <c r="V61" s="2"/>
      <c r="W61" s="13"/>
      <c r="X61" s="2"/>
      <c r="Y61" s="2"/>
      <c r="Z61" s="2"/>
      <c r="AH61" s="44"/>
      <c r="AI61" s="44"/>
      <c r="AJ61" s="44"/>
    </row>
    <row r="62" spans="1:36" x14ac:dyDescent="0.25">
      <c r="A62" s="40"/>
      <c r="C62" s="2"/>
      <c r="D62" s="42"/>
      <c r="E62" s="42"/>
      <c r="F62" s="42"/>
      <c r="G62" s="42"/>
      <c r="H62" s="42"/>
      <c r="I62" s="10"/>
      <c r="J62" s="10"/>
      <c r="K62" s="10"/>
      <c r="L62" s="10"/>
      <c r="M62" s="10"/>
      <c r="V62" s="2"/>
      <c r="W62" s="13"/>
      <c r="X62" s="2"/>
      <c r="Y62" s="2"/>
      <c r="Z62" s="2"/>
      <c r="AH62" s="44"/>
      <c r="AI62" s="44"/>
      <c r="AJ62" s="44"/>
    </row>
    <row r="63" spans="1:36" x14ac:dyDescent="0.25">
      <c r="A63" s="40"/>
      <c r="C63" s="2"/>
      <c r="D63" s="42"/>
      <c r="E63" s="42"/>
      <c r="F63" s="42"/>
      <c r="G63" s="42"/>
      <c r="H63" s="42"/>
      <c r="I63" s="10"/>
      <c r="J63" s="10"/>
      <c r="K63" s="10"/>
      <c r="L63" s="10"/>
      <c r="M63" s="10"/>
      <c r="V63" s="2"/>
      <c r="W63" s="13"/>
      <c r="X63" s="2"/>
      <c r="Y63" s="2"/>
      <c r="Z63" s="2"/>
      <c r="AH63" s="44"/>
      <c r="AI63" s="44"/>
      <c r="AJ63" s="44"/>
    </row>
    <row r="64" spans="1:36" x14ac:dyDescent="0.25">
      <c r="A64" s="40"/>
      <c r="C64" s="2"/>
      <c r="D64" s="42"/>
      <c r="E64" s="42"/>
      <c r="F64" s="42"/>
      <c r="G64" s="42"/>
      <c r="H64" s="42"/>
      <c r="I64" s="10"/>
      <c r="J64" s="10"/>
      <c r="K64" s="10"/>
      <c r="L64" s="10"/>
      <c r="M64" s="10"/>
      <c r="V64" s="2"/>
      <c r="W64" s="13"/>
      <c r="X64" s="2"/>
      <c r="Y64" s="2"/>
      <c r="Z64" s="2"/>
      <c r="AH64" s="44"/>
      <c r="AI64" s="44"/>
      <c r="AJ64" s="44"/>
    </row>
    <row r="65" spans="1:36" x14ac:dyDescent="0.25">
      <c r="A65" s="40"/>
      <c r="C65" s="2"/>
      <c r="D65" s="42"/>
      <c r="E65" s="42"/>
      <c r="F65" s="42"/>
      <c r="G65" s="42"/>
      <c r="H65" s="42"/>
      <c r="I65" s="10"/>
      <c r="J65" s="10"/>
      <c r="K65" s="10"/>
      <c r="L65" s="10"/>
      <c r="M65" s="10"/>
      <c r="V65" s="2"/>
      <c r="W65" s="13"/>
      <c r="X65" s="2"/>
      <c r="Y65" s="2"/>
      <c r="Z65" s="2"/>
      <c r="AH65" s="44"/>
      <c r="AI65" s="44"/>
      <c r="AJ65" s="44"/>
    </row>
    <row r="66" spans="1:36" x14ac:dyDescent="0.25">
      <c r="A66" s="40"/>
      <c r="C66" s="2"/>
      <c r="D66" s="42"/>
      <c r="E66" s="42"/>
      <c r="F66" s="42"/>
      <c r="G66" s="42"/>
      <c r="H66" s="42"/>
      <c r="I66" s="10"/>
      <c r="J66" s="10"/>
      <c r="K66" s="10"/>
      <c r="L66" s="10"/>
      <c r="M66" s="10"/>
      <c r="V66" s="2"/>
      <c r="W66" s="13"/>
      <c r="X66" s="2"/>
      <c r="Y66" s="2"/>
      <c r="Z66" s="2"/>
    </row>
    <row r="67" spans="1:36" x14ac:dyDescent="0.25">
      <c r="A67" s="40"/>
      <c r="C67" s="2"/>
      <c r="D67" s="42"/>
      <c r="E67" s="42"/>
      <c r="F67" s="42"/>
      <c r="G67" s="42"/>
      <c r="H67" s="42"/>
      <c r="I67" s="10"/>
      <c r="J67" s="10"/>
      <c r="K67" s="10"/>
      <c r="L67" s="10"/>
      <c r="M67" s="10"/>
      <c r="V67" s="2"/>
      <c r="W67" s="13"/>
      <c r="X67" s="2"/>
      <c r="Y67" s="2"/>
      <c r="Z67" s="2"/>
      <c r="AA67" s="2"/>
    </row>
    <row r="68" spans="1:36" x14ac:dyDescent="0.25">
      <c r="A68" s="40"/>
      <c r="C68" s="2"/>
      <c r="D68" s="42"/>
      <c r="E68" s="42"/>
      <c r="F68" s="42"/>
      <c r="G68" s="42"/>
      <c r="H68" s="42"/>
      <c r="I68" s="10"/>
      <c r="J68" s="10"/>
      <c r="K68" s="10"/>
      <c r="L68" s="10"/>
      <c r="M68" s="10"/>
      <c r="V68" s="2"/>
      <c r="W68" s="13"/>
      <c r="X68" s="2"/>
      <c r="Y68" s="2"/>
      <c r="Z68" s="2"/>
      <c r="AA68" s="2"/>
    </row>
    <row r="69" spans="1:36" x14ac:dyDescent="0.25">
      <c r="A69" s="40"/>
      <c r="C69" s="2"/>
      <c r="D69" s="42"/>
      <c r="E69" s="42"/>
      <c r="F69" s="42"/>
      <c r="G69" s="42"/>
      <c r="H69" s="42"/>
      <c r="I69" s="10"/>
      <c r="J69" s="10"/>
      <c r="K69" s="10"/>
      <c r="L69" s="10"/>
      <c r="M69" s="10"/>
      <c r="V69" s="2"/>
      <c r="W69" s="13"/>
      <c r="X69" s="2"/>
      <c r="Y69" s="2"/>
      <c r="Z69" s="2"/>
      <c r="AA69" s="2"/>
    </row>
    <row r="70" spans="1:36" x14ac:dyDescent="0.25">
      <c r="A70" s="40"/>
      <c r="C70" s="2"/>
      <c r="D70" s="42"/>
      <c r="E70" s="42"/>
      <c r="F70" s="42"/>
      <c r="G70" s="42"/>
      <c r="H70" s="42"/>
      <c r="I70" s="10"/>
      <c r="J70" s="10"/>
      <c r="K70" s="10"/>
      <c r="L70" s="10"/>
      <c r="M70" s="10"/>
      <c r="W70" s="2"/>
      <c r="X70" s="13"/>
      <c r="Y70" s="2"/>
      <c r="Z70" s="2"/>
      <c r="AA70" s="2"/>
    </row>
    <row r="71" spans="1:36" x14ac:dyDescent="0.25">
      <c r="A71" s="40"/>
      <c r="C71" s="2"/>
      <c r="D71" s="42"/>
      <c r="E71" s="42"/>
      <c r="F71" s="42"/>
      <c r="G71" s="42"/>
      <c r="H71" s="42"/>
      <c r="I71" s="10"/>
      <c r="J71" s="10"/>
      <c r="K71" s="10"/>
      <c r="L71" s="10"/>
      <c r="M71" s="10"/>
      <c r="W71" s="2"/>
      <c r="X71" s="13"/>
      <c r="Y71" s="2"/>
      <c r="Z71" s="2"/>
      <c r="AA71" s="2"/>
    </row>
    <row r="72" spans="1:36" x14ac:dyDescent="0.25">
      <c r="A72" s="40"/>
      <c r="C72" s="2"/>
      <c r="D72" s="42"/>
      <c r="E72" s="42"/>
      <c r="F72" s="42"/>
      <c r="G72" s="42"/>
      <c r="H72" s="42"/>
      <c r="I72" s="10"/>
      <c r="J72" s="10"/>
      <c r="K72" s="10"/>
      <c r="L72" s="10"/>
      <c r="M72" s="10"/>
      <c r="W72" s="2"/>
      <c r="X72" s="13"/>
      <c r="Y72" s="2"/>
      <c r="Z72" s="2"/>
      <c r="AA72" s="2"/>
    </row>
    <row r="73" spans="1:36" x14ac:dyDescent="0.25">
      <c r="A73" s="40"/>
      <c r="C73" s="2"/>
      <c r="D73" s="42"/>
      <c r="E73" s="42"/>
      <c r="F73" s="42"/>
      <c r="G73" s="42"/>
      <c r="H73" s="42"/>
      <c r="I73" s="10"/>
      <c r="J73" s="10"/>
      <c r="K73" s="10"/>
      <c r="L73" s="10"/>
      <c r="M73" s="10"/>
      <c r="X73" s="13"/>
      <c r="Y73" s="2"/>
      <c r="Z73" s="2"/>
      <c r="AA73" s="2"/>
    </row>
    <row r="74" spans="1:36" x14ac:dyDescent="0.25">
      <c r="A74" s="17"/>
      <c r="C74" s="2"/>
      <c r="D74" s="42"/>
      <c r="E74" s="42"/>
      <c r="F74" s="42"/>
      <c r="G74" s="42"/>
      <c r="H74" s="42"/>
      <c r="I74" s="10"/>
      <c r="J74" s="10"/>
      <c r="K74" s="10"/>
      <c r="L74" s="10"/>
      <c r="M74" s="10"/>
      <c r="X74" s="13"/>
      <c r="Y74" s="2"/>
      <c r="Z74" s="2"/>
      <c r="AA74" s="2"/>
    </row>
    <row r="75" spans="1:36" x14ac:dyDescent="0.25">
      <c r="A75" s="17"/>
      <c r="C75" s="2"/>
      <c r="D75" s="42"/>
      <c r="E75" s="42"/>
      <c r="F75" s="42"/>
      <c r="G75" s="42"/>
      <c r="H75" s="42"/>
      <c r="I75" s="10"/>
      <c r="J75" s="10"/>
      <c r="K75" s="10"/>
      <c r="L75" s="10"/>
      <c r="M75" s="10"/>
      <c r="X75" s="13"/>
      <c r="Y75" s="2"/>
      <c r="Z75" s="2"/>
      <c r="AA75" s="2"/>
    </row>
    <row r="76" spans="1:36" x14ac:dyDescent="0.25">
      <c r="A76" s="17"/>
      <c r="C76" s="2"/>
      <c r="D76" s="42"/>
      <c r="E76" s="42"/>
      <c r="F76" s="42"/>
      <c r="G76" s="42"/>
      <c r="H76" s="42"/>
      <c r="I76" s="10"/>
      <c r="J76" s="10"/>
      <c r="K76" s="10"/>
      <c r="L76" s="10"/>
      <c r="M76" s="10"/>
      <c r="X76" s="13"/>
      <c r="Y76" s="2"/>
      <c r="Z76" s="2"/>
      <c r="AA76" s="2"/>
    </row>
    <row r="77" spans="1:36" x14ac:dyDescent="0.25">
      <c r="A77" s="17"/>
      <c r="C77" s="2"/>
      <c r="D77" s="42"/>
      <c r="E77" s="42"/>
      <c r="F77" s="42"/>
      <c r="G77" s="42"/>
      <c r="H77" s="42"/>
      <c r="I77" s="10"/>
      <c r="J77" s="10"/>
      <c r="K77" s="10"/>
      <c r="L77" s="10"/>
      <c r="M77" s="10"/>
      <c r="X77" s="13"/>
      <c r="Y77" s="2"/>
      <c r="Z77" s="2"/>
      <c r="AA77" s="2"/>
    </row>
    <row r="78" spans="1:36" x14ac:dyDescent="0.25">
      <c r="A78" s="17"/>
      <c r="C78" s="2"/>
      <c r="D78" s="42"/>
      <c r="E78" s="42"/>
      <c r="F78" s="42"/>
      <c r="G78" s="42"/>
      <c r="H78" s="42"/>
      <c r="I78" s="10"/>
      <c r="J78" s="10"/>
      <c r="K78" s="10"/>
      <c r="L78" s="10"/>
      <c r="M78" s="10"/>
      <c r="X78" s="13"/>
      <c r="Y78" s="2"/>
      <c r="Z78" s="2"/>
      <c r="AA78" s="2"/>
    </row>
    <row r="79" spans="1:36" x14ac:dyDescent="0.25">
      <c r="A79" s="17"/>
      <c r="C79" s="2"/>
      <c r="D79" s="42"/>
      <c r="E79" s="42"/>
      <c r="F79" s="42"/>
      <c r="G79" s="42"/>
      <c r="H79" s="42"/>
      <c r="I79" s="10"/>
      <c r="J79" s="10"/>
      <c r="K79" s="10"/>
      <c r="L79" s="10"/>
      <c r="M79" s="10"/>
      <c r="X79" s="13"/>
      <c r="Y79" s="2"/>
      <c r="Z79" s="2"/>
      <c r="AA79" s="2"/>
    </row>
    <row r="80" spans="1:36" x14ac:dyDescent="0.25">
      <c r="A80" s="17"/>
      <c r="C80" s="2"/>
      <c r="D80" s="42"/>
      <c r="E80" s="42"/>
      <c r="F80" s="42"/>
      <c r="G80" s="42"/>
      <c r="H80" s="42"/>
      <c r="I80" s="10"/>
      <c r="J80" s="10"/>
      <c r="K80" s="10"/>
      <c r="L80" s="10"/>
      <c r="M80" s="10"/>
      <c r="X80" s="13"/>
      <c r="Y80" s="2"/>
      <c r="Z80" s="2"/>
      <c r="AA80" s="2"/>
    </row>
    <row r="81" spans="1:27" x14ac:dyDescent="0.25">
      <c r="A81" s="17"/>
      <c r="C81" s="2"/>
      <c r="D81" s="42"/>
      <c r="E81" s="42"/>
      <c r="F81" s="42"/>
      <c r="G81" s="42"/>
      <c r="H81" s="42"/>
      <c r="I81" s="10"/>
      <c r="J81" s="10"/>
      <c r="K81" s="10"/>
      <c r="L81" s="10"/>
      <c r="M81" s="10"/>
      <c r="X81" s="13"/>
      <c r="Y81" s="2"/>
      <c r="Z81" s="2"/>
      <c r="AA81" s="2"/>
    </row>
    <row r="82" spans="1:27" x14ac:dyDescent="0.25">
      <c r="A82" s="17"/>
      <c r="C82" s="2"/>
      <c r="D82" s="42"/>
      <c r="E82" s="42"/>
      <c r="F82" s="42"/>
      <c r="G82" s="42"/>
      <c r="H82" s="42"/>
      <c r="I82" s="10"/>
      <c r="J82" s="10"/>
      <c r="K82" s="10"/>
      <c r="L82" s="10"/>
      <c r="M82" s="10"/>
      <c r="X82" s="13"/>
      <c r="Y82" s="2"/>
      <c r="Z82" s="2"/>
      <c r="AA82" s="2"/>
    </row>
    <row r="83" spans="1:27" x14ac:dyDescent="0.25">
      <c r="A83" s="17"/>
      <c r="C83" s="2"/>
      <c r="D83" s="42"/>
      <c r="E83" s="42"/>
      <c r="F83" s="42"/>
      <c r="G83" s="42"/>
      <c r="H83" s="42"/>
      <c r="I83" s="10"/>
      <c r="J83" s="10"/>
      <c r="K83" s="10"/>
      <c r="L83" s="10"/>
      <c r="M83" s="10"/>
      <c r="X83" s="13"/>
      <c r="Y83" s="2"/>
      <c r="Z83" s="2"/>
      <c r="AA83" s="2"/>
    </row>
    <row r="84" spans="1:27" x14ac:dyDescent="0.25">
      <c r="A84" s="17"/>
      <c r="C84" s="2"/>
      <c r="D84" s="42"/>
      <c r="E84" s="42"/>
      <c r="F84" s="42"/>
      <c r="G84" s="42"/>
      <c r="H84" s="42"/>
      <c r="I84" s="10"/>
      <c r="J84" s="10"/>
      <c r="K84" s="10"/>
      <c r="L84" s="10"/>
      <c r="M84" s="10"/>
      <c r="X84" s="13"/>
      <c r="Y84" s="2"/>
      <c r="Z84" s="2"/>
      <c r="AA84" s="2"/>
    </row>
  </sheetData>
  <sortState ref="AH23:AH38">
    <sortCondition ref="AH23"/>
  </sortState>
  <mergeCells count="20">
    <mergeCell ref="A1:B1"/>
    <mergeCell ref="A6:B6"/>
    <mergeCell ref="A7:B7"/>
    <mergeCell ref="A4:B4"/>
    <mergeCell ref="A3:B3"/>
    <mergeCell ref="A2:B2"/>
    <mergeCell ref="AA1:AC1"/>
    <mergeCell ref="T19:U19"/>
    <mergeCell ref="X19:Y19"/>
    <mergeCell ref="Z19:AA19"/>
    <mergeCell ref="M1:Q1"/>
    <mergeCell ref="Q8:R8"/>
    <mergeCell ref="O8:P8"/>
    <mergeCell ref="M10:N10"/>
    <mergeCell ref="M11:N11"/>
    <mergeCell ref="M12:N12"/>
    <mergeCell ref="M14:N14"/>
    <mergeCell ref="M15:N15"/>
    <mergeCell ref="M17:N17"/>
    <mergeCell ref="W1:Y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5"/>
  <sheetViews>
    <sheetView zoomScale="90" zoomScaleNormal="90" workbookViewId="0">
      <selection sqref="A1:H35"/>
    </sheetView>
  </sheetViews>
  <sheetFormatPr defaultRowHeight="15" x14ac:dyDescent="0.25"/>
  <cols>
    <col min="2" max="3" width="12.7109375" style="33" bestFit="1" customWidth="1"/>
    <col min="4" max="4" width="11.5703125" style="33" customWidth="1"/>
    <col min="5" max="5" width="47.42578125" bestFit="1" customWidth="1"/>
    <col min="6" max="6" width="8.85546875" style="34"/>
  </cols>
  <sheetData>
    <row r="1" spans="1:8" x14ac:dyDescent="0.25">
      <c r="A1" t="s">
        <v>57</v>
      </c>
      <c r="B1" s="33" t="s">
        <v>7</v>
      </c>
      <c r="C1" s="33" t="s">
        <v>6</v>
      </c>
      <c r="D1" s="33" t="s">
        <v>58</v>
      </c>
      <c r="E1" t="s">
        <v>63</v>
      </c>
      <c r="F1" s="34" t="s">
        <v>59</v>
      </c>
      <c r="G1" s="33" t="s">
        <v>61</v>
      </c>
      <c r="H1" s="33" t="s">
        <v>62</v>
      </c>
    </row>
    <row r="2" spans="1:8" s="10" customFormat="1" x14ac:dyDescent="0.25">
      <c r="A2" s="10" t="str">
        <f>IF(ISNUMBER(Calculations!M4),CONCATENATE("GPS",Calculations!M4),"")</f>
        <v>GPS0</v>
      </c>
      <c r="B2" s="33">
        <f>IF(ISNUMBER(Calculations!N4),CONVERT(Calculations!N4,Units_In,Units_Out),"")</f>
        <v>3857542.6669999999</v>
      </c>
      <c r="C2" s="33">
        <f>IF(ISNUMBER(Calculations!O4),CONVERT(Calculations!O4,Units_In,Units_Out),"")</f>
        <v>1534592.128</v>
      </c>
      <c r="D2" s="33" t="s">
        <v>60</v>
      </c>
      <c r="E2" s="10" t="str">
        <f>CONCATENATE("0503 ",B2,"EUSft ",C2,"NUSft")</f>
        <v>0503 3857542.667EUSft 1534592.128NUSft</v>
      </c>
      <c r="F2" s="34">
        <v>98</v>
      </c>
      <c r="G2" s="10" t="str">
        <f>IF(F2=98,"Lime",IF(F2=94,"Yellow",""))</f>
        <v>Lime</v>
      </c>
      <c r="H2" s="10" t="str">
        <f>Calculations!$A$1</f>
        <v>DSS4</v>
      </c>
    </row>
    <row r="3" spans="1:8" s="10" customFormat="1" x14ac:dyDescent="0.25">
      <c r="A3" s="10" t="str">
        <f>IF(ISNUMBER(Calculations!M5),CONCATENATE("GPS",Calculations!M5),"")</f>
        <v>GPS1</v>
      </c>
      <c r="B3" s="33">
        <f>IF(ISNUMBER(Calculations!N5),CONVERT(Calculations!N5,Units_In,Units_Out),"")</f>
        <v>3857583.5</v>
      </c>
      <c r="C3" s="33">
        <f>IF(ISNUMBER(Calculations!O5),CONVERT(Calculations!O5,Units_In,Units_Out),"")</f>
        <v>1534628.817</v>
      </c>
      <c r="D3" s="33" t="s">
        <v>60</v>
      </c>
      <c r="E3" s="10" t="str">
        <f t="shared" ref="E3:E4" si="0">CONCATENATE("0503 ",B3,"EUSft ",C3,"NUSft")</f>
        <v>0503 3857583.5EUSft 1534628.817NUSft</v>
      </c>
      <c r="F3" s="34">
        <v>98</v>
      </c>
      <c r="G3" s="10" t="str">
        <f t="shared" ref="G3:G65" si="1">IF(F3=98,"Lime",IF(F3=94,"Yellow",""))</f>
        <v>Lime</v>
      </c>
      <c r="H3" s="10" t="str">
        <f>Calculations!$A$1</f>
        <v>DSS4</v>
      </c>
    </row>
    <row r="4" spans="1:8" s="10" customFormat="1" x14ac:dyDescent="0.25">
      <c r="A4" s="10" t="str">
        <f>IF(ISNUMBER(Calculations!M6),CONCATENATE("GPS",Calculations!M6),"")</f>
        <v>GPS2</v>
      </c>
      <c r="B4" s="33">
        <f>IF(ISNUMBER(Calculations!N6),CONVERT(Calculations!N6,Units_In,Units_Out),"")</f>
        <v>3857540.1439999999</v>
      </c>
      <c r="C4" s="33">
        <f>IF(ISNUMBER(Calculations!O6),CONVERT(Calculations!O6,Units_In,Units_Out),"")</f>
        <v>1534683.456</v>
      </c>
      <c r="D4" s="33" t="s">
        <v>60</v>
      </c>
      <c r="E4" s="10" t="str">
        <f t="shared" si="0"/>
        <v>0503 3857540.144EUSft 1534683.456NUSft</v>
      </c>
      <c r="F4" s="34">
        <v>98</v>
      </c>
      <c r="G4" s="10" t="str">
        <f t="shared" si="1"/>
        <v>Lime</v>
      </c>
      <c r="H4" s="10" t="str">
        <f>Calculations!$A$1</f>
        <v>DSS4</v>
      </c>
    </row>
    <row r="5" spans="1:8" x14ac:dyDescent="0.25">
      <c r="A5">
        <f>IF(ISNUMBER(Calculations!A21),Calculations!A21,"")</f>
        <v>1</v>
      </c>
      <c r="B5" s="33">
        <f ca="1">IF(ISNUMBER(A5),CONVERT(Calculations!T21,Units_In,Units_Out),"")</f>
        <v>3857596.1016050498</v>
      </c>
      <c r="C5" s="33">
        <f ca="1">IF(ISNUMBER(A5),CONVERT(Calculations!U21,Units_In,Units_Out),"")</f>
        <v>1534608.1918220965</v>
      </c>
      <c r="D5" s="33" t="str">
        <f>IF(ISTEXT(Calculations!F21),Calculations!F21,"")</f>
        <v>BS/ZERO</v>
      </c>
      <c r="E5" t="str">
        <f ca="1">IF(ISNUMBER(A5),CONCATENATE("0503 ",B5,"EUSft ",C5,"NUSft"),"")</f>
        <v>0503 3857596.10160505EUSft 1534608.1918221NUSft</v>
      </c>
      <c r="F5" s="34">
        <f>IF(ISNUMBER(A5),94,"")</f>
        <v>94</v>
      </c>
      <c r="G5" s="10" t="str">
        <f t="shared" si="1"/>
        <v>Yellow</v>
      </c>
      <c r="H5" s="10" t="str">
        <f>IF(ISNUMBER(A5),Calculations!$A$1,"")</f>
        <v>DSS4</v>
      </c>
    </row>
    <row r="6" spans="1:8" x14ac:dyDescent="0.25">
      <c r="A6" s="10">
        <f>IF(ISNUMBER(Calculations!A22),Calculations!A22,"")</f>
        <v>2</v>
      </c>
      <c r="B6" s="33">
        <f ca="1">IF(ISNUMBER(A6),CONVERT(Calculations!T22,Units_In,Units_Out),"")</f>
        <v>3857576.5862565087</v>
      </c>
      <c r="C6" s="33">
        <f ca="1">IF(ISNUMBER(A6),CONVERT(Calculations!U22,Units_In,Units_Out),"")</f>
        <v>1534672.6707744356</v>
      </c>
      <c r="D6" s="33" t="str">
        <f>IF(ISTEXT(Calculations!F22),Calculations!F22,"")</f>
        <v xml:space="preserve">BS </v>
      </c>
      <c r="E6" s="10" t="str">
        <f t="shared" ref="E6:E65" ca="1" si="2">IF(ISNUMBER(A6),CONCATENATE("0503 ",B6,"EUSft ",C6,"NUSft"),"")</f>
        <v>0503 3857576.58625651EUSft 1534672.67077444NUSft</v>
      </c>
      <c r="F6" s="34">
        <f t="shared" ref="F6:F65" si="3">IF(ISNUMBER(A6),94,"")</f>
        <v>94</v>
      </c>
      <c r="G6" s="10" t="str">
        <f t="shared" si="1"/>
        <v>Yellow</v>
      </c>
      <c r="H6" s="10" t="str">
        <f>IF(ISNUMBER(A6),Calculations!$A$1,"")</f>
        <v>DSS4</v>
      </c>
    </row>
    <row r="7" spans="1:8" x14ac:dyDescent="0.25">
      <c r="A7" s="10">
        <f>IF(ISNUMBER(Calculations!A23),Calculations!A23,"")</f>
        <v>3</v>
      </c>
      <c r="B7" s="33">
        <f ca="1">IF(ISNUMBER(A7),CONVERT(Calculations!T23,Units_In,Units_Out),"")</f>
        <v>3857526.1514763837</v>
      </c>
      <c r="C7" s="33">
        <f ca="1">IF(ISNUMBER(A7),CONVERT(Calculations!U23,Units_In,Units_Out),"")</f>
        <v>1534596.3436652543</v>
      </c>
      <c r="D7" s="33" t="str">
        <f>IF(ISTEXT(Calculations!F23),Calculations!F23,"")</f>
        <v/>
      </c>
      <c r="E7" s="10" t="str">
        <f t="shared" ca="1" si="2"/>
        <v>0503 3857526.15147638EUSft 1534596.34366525NUSft</v>
      </c>
      <c r="F7" s="34">
        <f t="shared" si="3"/>
        <v>94</v>
      </c>
      <c r="G7" s="10" t="str">
        <f t="shared" si="1"/>
        <v>Yellow</v>
      </c>
      <c r="H7" s="10" t="str">
        <f>IF(ISNUMBER(A7),Calculations!$A$1,"")</f>
        <v>DSS4</v>
      </c>
    </row>
    <row r="8" spans="1:8" x14ac:dyDescent="0.25">
      <c r="A8" s="10">
        <f>IF(ISNUMBER(Calculations!A24),Calculations!A24,"")</f>
        <v>4</v>
      </c>
      <c r="B8" s="33">
        <f ca="1">IF(ISNUMBER(A8),CONVERT(Calculations!T24,Units_In,Units_Out),"")</f>
        <v>3857526.2714965651</v>
      </c>
      <c r="C8" s="33">
        <f ca="1">IF(ISNUMBER(A8),CONVERT(Calculations!U24,Units_In,Units_Out),"")</f>
        <v>1534580.3861624612</v>
      </c>
      <c r="D8" s="33" t="str">
        <f>IF(ISTEXT(Calculations!F24),Calculations!F24,"")</f>
        <v/>
      </c>
      <c r="E8" s="10" t="str">
        <f t="shared" ca="1" si="2"/>
        <v>0503 3857526.27149657EUSft 1534580.38616246NUSft</v>
      </c>
      <c r="F8" s="34">
        <f t="shared" si="3"/>
        <v>94</v>
      </c>
      <c r="G8" s="10" t="str">
        <f t="shared" si="1"/>
        <v>Yellow</v>
      </c>
      <c r="H8" s="10" t="str">
        <f>IF(ISNUMBER(A8),Calculations!$A$1,"")</f>
        <v>DSS4</v>
      </c>
    </row>
    <row r="9" spans="1:8" x14ac:dyDescent="0.25">
      <c r="A9" s="10">
        <f>IF(ISNUMBER(Calculations!A25),Calculations!A25,"")</f>
        <v>5</v>
      </c>
      <c r="B9" s="33">
        <f ca="1">IF(ISNUMBER(A9),CONVERT(Calculations!T25,Units_In,Units_Out),"")</f>
        <v>3857523.2822434194</v>
      </c>
      <c r="C9" s="33">
        <f ca="1">IF(ISNUMBER(A9),CONVERT(Calculations!U25,Units_In,Units_Out),"")</f>
        <v>1534565.0231603123</v>
      </c>
      <c r="D9" s="33" t="str">
        <f>IF(ISTEXT(Calculations!F25),Calculations!F25,"")</f>
        <v/>
      </c>
      <c r="E9" s="10" t="str">
        <f t="shared" ca="1" si="2"/>
        <v>0503 3857523.28224342EUSft 1534565.02316031NUSft</v>
      </c>
      <c r="F9" s="34">
        <f t="shared" si="3"/>
        <v>94</v>
      </c>
      <c r="G9" s="10" t="str">
        <f t="shared" si="1"/>
        <v>Yellow</v>
      </c>
      <c r="H9" s="10" t="str">
        <f>IF(ISNUMBER(A9),Calculations!$A$1,"")</f>
        <v>DSS4</v>
      </c>
    </row>
    <row r="10" spans="1:8" x14ac:dyDescent="0.25">
      <c r="A10" s="10">
        <f>IF(ISNUMBER(Calculations!A26),Calculations!A26,"")</f>
        <v>6</v>
      </c>
      <c r="B10" s="33">
        <f ca="1">IF(ISNUMBER(A10),CONVERT(Calculations!T26,Units_In,Units_Out),"")</f>
        <v>3857508.9077312611</v>
      </c>
      <c r="C10" s="33">
        <f ca="1">IF(ISNUMBER(A10),CONVERT(Calculations!U26,Units_In,Units_Out),"")</f>
        <v>1534530.2750033624</v>
      </c>
      <c r="D10" s="33" t="str">
        <f>IF(ISTEXT(Calculations!F26),Calculations!F26,"")</f>
        <v/>
      </c>
      <c r="E10" s="10" t="str">
        <f t="shared" ca="1" si="2"/>
        <v>0503 3857508.90773126EUSft 1534530.27500336NUSft</v>
      </c>
      <c r="F10" s="34">
        <f t="shared" si="3"/>
        <v>94</v>
      </c>
      <c r="G10" s="10" t="str">
        <f t="shared" si="1"/>
        <v>Yellow</v>
      </c>
      <c r="H10" s="10" t="str">
        <f>IF(ISNUMBER(A10),Calculations!$A$1,"")</f>
        <v>DSS4</v>
      </c>
    </row>
    <row r="11" spans="1:8" x14ac:dyDescent="0.25">
      <c r="A11" s="10">
        <f>IF(ISNUMBER(Calculations!A27),Calculations!A27,"")</f>
        <v>7</v>
      </c>
      <c r="B11" s="33">
        <f ca="1">IF(ISNUMBER(A11),CONVERT(Calculations!T27,Units_In,Units_Out),"")</f>
        <v>3857510.1856510225</v>
      </c>
      <c r="C11" s="33">
        <f ca="1">IF(ISNUMBER(A11),CONVERT(Calculations!U27,Units_In,Units_Out),"")</f>
        <v>1534523.6413176041</v>
      </c>
      <c r="D11" s="33" t="str">
        <f>IF(ISTEXT(Calculations!F27),Calculations!F27,"")</f>
        <v/>
      </c>
      <c r="E11" s="10" t="str">
        <f t="shared" ca="1" si="2"/>
        <v>0503 3857510.18565102EUSft 1534523.6413176NUSft</v>
      </c>
      <c r="F11" s="34">
        <f t="shared" si="3"/>
        <v>94</v>
      </c>
      <c r="G11" s="10" t="str">
        <f t="shared" si="1"/>
        <v>Yellow</v>
      </c>
      <c r="H11" s="10" t="str">
        <f>IF(ISNUMBER(A11),Calculations!$A$1,"")</f>
        <v>DSS4</v>
      </c>
    </row>
    <row r="12" spans="1:8" x14ac:dyDescent="0.25">
      <c r="A12" s="10">
        <f>IF(ISNUMBER(Calculations!A28),Calculations!A28,"")</f>
        <v>8</v>
      </c>
      <c r="B12" s="33">
        <f ca="1">IF(ISNUMBER(A12),CONVERT(Calculations!T28,Units_In,Units_Out),"")</f>
        <v>3857488.5820258609</v>
      </c>
      <c r="C12" s="33">
        <f ca="1">IF(ISNUMBER(A12),CONVERT(Calculations!U28,Units_In,Units_Out),"")</f>
        <v>1534470.3976191331</v>
      </c>
      <c r="D12" s="33" t="str">
        <f>IF(ISTEXT(Calculations!F28),Calculations!F28,"")</f>
        <v/>
      </c>
      <c r="E12" s="10" t="str">
        <f t="shared" ca="1" si="2"/>
        <v>0503 3857488.58202586EUSft 1534470.39761913NUSft</v>
      </c>
      <c r="F12" s="34">
        <f t="shared" si="3"/>
        <v>94</v>
      </c>
      <c r="G12" s="10" t="str">
        <f t="shared" si="1"/>
        <v>Yellow</v>
      </c>
      <c r="H12" s="10" t="str">
        <f>IF(ISNUMBER(A12),Calculations!$A$1,"")</f>
        <v>DSS4</v>
      </c>
    </row>
    <row r="13" spans="1:8" x14ac:dyDescent="0.25">
      <c r="A13" s="10">
        <f>IF(ISNUMBER(Calculations!A29),Calculations!A29,"")</f>
        <v>9</v>
      </c>
      <c r="B13" s="33">
        <f ca="1">IF(ISNUMBER(A13),CONVERT(Calculations!T29,Units_In,Units_Out),"")</f>
        <v>3857481.1016707509</v>
      </c>
      <c r="C13" s="33">
        <f ca="1">IF(ISNUMBER(A13),CONVERT(Calculations!U29,Units_In,Units_Out),"")</f>
        <v>1534458.0602466054</v>
      </c>
      <c r="D13" s="33" t="str">
        <f>IF(ISTEXT(Calculations!F29),Calculations!F29,"")</f>
        <v/>
      </c>
      <c r="E13" s="10" t="str">
        <f t="shared" ca="1" si="2"/>
        <v>0503 3857481.10167075EUSft 1534458.06024661NUSft</v>
      </c>
      <c r="F13" s="34">
        <f t="shared" si="3"/>
        <v>94</v>
      </c>
      <c r="G13" s="10" t="str">
        <f t="shared" si="1"/>
        <v>Yellow</v>
      </c>
      <c r="H13" s="10" t="str">
        <f>IF(ISNUMBER(A13),Calculations!$A$1,"")</f>
        <v>DSS4</v>
      </c>
    </row>
    <row r="14" spans="1:8" x14ac:dyDescent="0.25">
      <c r="A14" s="10">
        <f>IF(ISNUMBER(Calculations!A30),Calculations!A30,"")</f>
        <v>10</v>
      </c>
      <c r="B14" s="33">
        <f ca="1">IF(ISNUMBER(A14),CONVERT(Calculations!T30,Units_In,Units_Out),"")</f>
        <v>3857473.1401099851</v>
      </c>
      <c r="C14" s="33">
        <f ca="1">IF(ISNUMBER(A14),CONVERT(Calculations!U30,Units_In,Units_Out),"")</f>
        <v>1534441.9665567824</v>
      </c>
      <c r="D14" s="33" t="str">
        <f>IF(ISTEXT(Calculations!F30),Calculations!F30,"")</f>
        <v/>
      </c>
      <c r="E14" s="10" t="str">
        <f t="shared" ca="1" si="2"/>
        <v>0503 3857473.14010999EUSft 1534441.96655678NUSft</v>
      </c>
      <c r="F14" s="34">
        <f t="shared" si="3"/>
        <v>94</v>
      </c>
      <c r="G14" s="10" t="str">
        <f t="shared" si="1"/>
        <v>Yellow</v>
      </c>
      <c r="H14" s="10" t="str">
        <f>IF(ISNUMBER(A14),Calculations!$A$1,"")</f>
        <v>DSS4</v>
      </c>
    </row>
    <row r="15" spans="1:8" x14ac:dyDescent="0.25">
      <c r="A15" s="10">
        <f>IF(ISNUMBER(Calculations!A31),Calculations!A31,"")</f>
        <v>11</v>
      </c>
      <c r="B15" s="33">
        <f ca="1">IF(ISNUMBER(A15),CONVERT(Calculations!T31,Units_In,Units_Out),"")</f>
        <v>3857470.6280434849</v>
      </c>
      <c r="C15" s="33">
        <f ca="1">IF(ISNUMBER(A15),CONVERT(Calculations!U31,Units_In,Units_Out),"")</f>
        <v>1534437.0619462123</v>
      </c>
      <c r="D15" s="33" t="str">
        <f>IF(ISTEXT(Calculations!F31),Calculations!F31,"")</f>
        <v/>
      </c>
      <c r="E15" s="10" t="str">
        <f t="shared" ca="1" si="2"/>
        <v>0503 3857470.62804348EUSft 1534437.06194621NUSft</v>
      </c>
      <c r="F15" s="34">
        <f t="shared" si="3"/>
        <v>94</v>
      </c>
      <c r="G15" s="10" t="str">
        <f t="shared" si="1"/>
        <v>Yellow</v>
      </c>
      <c r="H15" s="10" t="str">
        <f>IF(ISNUMBER(A15),Calculations!$A$1,"")</f>
        <v>DSS4</v>
      </c>
    </row>
    <row r="16" spans="1:8" x14ac:dyDescent="0.25">
      <c r="A16" s="10">
        <f>IF(ISNUMBER(Calculations!A32),Calculations!A32,"")</f>
        <v>12</v>
      </c>
      <c r="B16" s="33">
        <f ca="1">IF(ISNUMBER(A16),CONVERT(Calculations!T32,Units_In,Units_Out),"")</f>
        <v>3857453.6445173989</v>
      </c>
      <c r="C16" s="33">
        <f ca="1">IF(ISNUMBER(A16),CONVERT(Calculations!U32,Units_In,Units_Out),"")</f>
        <v>1534400.1196027431</v>
      </c>
      <c r="D16" s="33" t="str">
        <f>IF(ISTEXT(Calculations!F32),Calculations!F32,"")</f>
        <v/>
      </c>
      <c r="E16" s="10" t="str">
        <f t="shared" ca="1" si="2"/>
        <v>0503 3857453.6445174EUSft 1534400.11960274NUSft</v>
      </c>
      <c r="F16" s="34">
        <f t="shared" si="3"/>
        <v>94</v>
      </c>
      <c r="G16" s="10" t="str">
        <f t="shared" si="1"/>
        <v>Yellow</v>
      </c>
      <c r="H16" s="10" t="str">
        <f>IF(ISNUMBER(A16),Calculations!$A$1,"")</f>
        <v>DSS4</v>
      </c>
    </row>
    <row r="17" spans="1:8" x14ac:dyDescent="0.25">
      <c r="A17" s="10">
        <f>IF(ISNUMBER(Calculations!A33),Calculations!A33,"")</f>
        <v>13</v>
      </c>
      <c r="B17" s="33">
        <f ca="1">IF(ISNUMBER(A17),CONVERT(Calculations!T33,Units_In,Units_Out),"")</f>
        <v>3857449.0186675615</v>
      </c>
      <c r="C17" s="33">
        <f ca="1">IF(ISNUMBER(A17),CONVERT(Calculations!U33,Units_In,Units_Out),"")</f>
        <v>1534390.833229318</v>
      </c>
      <c r="D17" s="33" t="str">
        <f>IF(ISTEXT(Calculations!F33),Calculations!F33,"")</f>
        <v/>
      </c>
      <c r="E17" s="10" t="str">
        <f t="shared" ca="1" si="2"/>
        <v>0503 3857449.01866756EUSft 1534390.83322932NUSft</v>
      </c>
      <c r="F17" s="34">
        <f t="shared" si="3"/>
        <v>94</v>
      </c>
      <c r="G17" s="10" t="str">
        <f t="shared" si="1"/>
        <v>Yellow</v>
      </c>
      <c r="H17" s="10" t="str">
        <f>IF(ISNUMBER(A17),Calculations!$A$1,"")</f>
        <v>DSS4</v>
      </c>
    </row>
    <row r="18" spans="1:8" x14ac:dyDescent="0.25">
      <c r="A18" s="10">
        <f>IF(ISNUMBER(Calculations!A34),Calculations!A34,"")</f>
        <v>14</v>
      </c>
      <c r="B18" s="33">
        <f ca="1">IF(ISNUMBER(A18),CONVERT(Calculations!T34,Units_In,Units_Out),"")</f>
        <v>3857443.6344820466</v>
      </c>
      <c r="C18" s="33">
        <f ca="1">IF(ISNUMBER(A18),CONVERT(Calculations!U34,Units_In,Units_Out),"")</f>
        <v>1534379.2330690257</v>
      </c>
      <c r="D18" s="33" t="str">
        <f>IF(ISTEXT(Calculations!F34),Calculations!F34,"")</f>
        <v/>
      </c>
      <c r="E18" s="10" t="str">
        <f t="shared" ca="1" si="2"/>
        <v>0503 3857443.63448205EUSft 1534379.23306903NUSft</v>
      </c>
      <c r="F18" s="34">
        <f t="shared" si="3"/>
        <v>94</v>
      </c>
      <c r="G18" s="10" t="str">
        <f t="shared" si="1"/>
        <v>Yellow</v>
      </c>
      <c r="H18" s="10" t="str">
        <f>IF(ISNUMBER(A18),Calculations!$A$1,"")</f>
        <v>DSS4</v>
      </c>
    </row>
    <row r="19" spans="1:8" x14ac:dyDescent="0.25">
      <c r="A19" s="10">
        <f>IF(ISNUMBER(Calculations!A35),Calculations!A35,"")</f>
        <v>15</v>
      </c>
      <c r="B19" s="33">
        <f ca="1">IF(ISNUMBER(A19),CONVERT(Calculations!T35,Units_In,Units_Out),"")</f>
        <v>3857441.9329780792</v>
      </c>
      <c r="C19" s="33">
        <f ca="1">IF(ISNUMBER(A19),CONVERT(Calculations!U35,Units_In,Units_Out),"")</f>
        <v>1534374.6440573572</v>
      </c>
      <c r="D19" s="33" t="str">
        <f>IF(ISTEXT(Calculations!F35),Calculations!F35,"")</f>
        <v/>
      </c>
      <c r="E19" s="10" t="str">
        <f t="shared" ca="1" si="2"/>
        <v>0503 3857441.93297808EUSft 1534374.64405736NUSft</v>
      </c>
      <c r="F19" s="34">
        <f t="shared" si="3"/>
        <v>94</v>
      </c>
      <c r="G19" s="10" t="str">
        <f t="shared" si="1"/>
        <v>Yellow</v>
      </c>
      <c r="H19" s="10" t="str">
        <f>IF(ISNUMBER(A19),Calculations!$A$1,"")</f>
        <v>DSS4</v>
      </c>
    </row>
    <row r="20" spans="1:8" x14ac:dyDescent="0.25">
      <c r="A20" s="10">
        <f>IF(ISNUMBER(Calculations!A36),Calculations!A36,"")</f>
        <v>16</v>
      </c>
      <c r="B20" s="33">
        <f ca="1">IF(ISNUMBER(A20),CONVERT(Calculations!T36,Units_In,Units_Out),"")</f>
        <v>3857440.1755317347</v>
      </c>
      <c r="C20" s="33">
        <f ca="1">IF(ISNUMBER(A20),CONVERT(Calculations!U36,Units_In,Units_Out),"")</f>
        <v>1534371.5595625001</v>
      </c>
      <c r="D20" s="33" t="str">
        <f>IF(ISTEXT(Calculations!F36),Calculations!F36,"")</f>
        <v>WS</v>
      </c>
      <c r="E20" s="10" t="str">
        <f t="shared" ca="1" si="2"/>
        <v>0503 3857440.17553173EUSft 1534371.5595625NUSft</v>
      </c>
      <c r="F20" s="34">
        <f t="shared" si="3"/>
        <v>94</v>
      </c>
      <c r="G20" s="10" t="str">
        <f t="shared" si="1"/>
        <v>Yellow</v>
      </c>
      <c r="H20" s="10" t="str">
        <f>IF(ISNUMBER(A20),Calculations!$A$1,"")</f>
        <v>DSS4</v>
      </c>
    </row>
    <row r="21" spans="1:8" x14ac:dyDescent="0.25">
      <c r="A21" s="10">
        <f>IF(ISNUMBER(Calculations!A37),Calculations!A37,"")</f>
        <v>17</v>
      </c>
      <c r="B21" s="33">
        <f ca="1">IF(ISNUMBER(A21),CONVERT(Calculations!T37,Units_In,Units_Out),"")</f>
        <v>3857438.7350520534</v>
      </c>
      <c r="C21" s="33">
        <f ca="1">IF(ISNUMBER(A21),CONVERT(Calculations!U37,Units_In,Units_Out),"")</f>
        <v>1534367.9706230739</v>
      </c>
      <c r="D21" s="33" t="str">
        <f>IF(ISTEXT(Calculations!F37),Calculations!F37,"")</f>
        <v/>
      </c>
      <c r="E21" s="10" t="str">
        <f t="shared" ca="1" si="2"/>
        <v>0503 3857438.73505205EUSft 1534367.97062307NUSft</v>
      </c>
      <c r="F21" s="34">
        <f t="shared" si="3"/>
        <v>94</v>
      </c>
      <c r="G21" s="10" t="str">
        <f t="shared" si="1"/>
        <v>Yellow</v>
      </c>
      <c r="H21" s="10" t="str">
        <f>IF(ISNUMBER(A21),Calculations!$A$1,"")</f>
        <v>DSS4</v>
      </c>
    </row>
    <row r="22" spans="1:8" x14ac:dyDescent="0.25">
      <c r="A22" s="10">
        <f>IF(ISNUMBER(Calculations!A38),Calculations!A38,"")</f>
        <v>18</v>
      </c>
      <c r="B22" s="33">
        <f ca="1">IF(ISNUMBER(A22),CONVERT(Calculations!T38,Units_In,Units_Out),"")</f>
        <v>3857427.0582665754</v>
      </c>
      <c r="C22" s="33">
        <f ca="1">IF(ISNUMBER(A22),CONVERT(Calculations!U38,Units_In,Units_Out),"")</f>
        <v>1534343.248251271</v>
      </c>
      <c r="D22" s="33" t="str">
        <f>IF(ISTEXT(Calculations!F38),Calculations!F38,"")</f>
        <v/>
      </c>
      <c r="E22" s="10" t="str">
        <f t="shared" ca="1" si="2"/>
        <v>0503 3857427.05826658EUSft 1534343.24825127NUSft</v>
      </c>
      <c r="F22" s="34">
        <f t="shared" si="3"/>
        <v>94</v>
      </c>
      <c r="G22" s="10" t="str">
        <f t="shared" si="1"/>
        <v>Yellow</v>
      </c>
      <c r="H22" s="10" t="str">
        <f>IF(ISNUMBER(A22),Calculations!$A$1,"")</f>
        <v>DSS4</v>
      </c>
    </row>
    <row r="23" spans="1:8" x14ac:dyDescent="0.25">
      <c r="A23" s="10">
        <f>IF(ISNUMBER(Calculations!A39),Calculations!A39,"")</f>
        <v>19</v>
      </c>
      <c r="B23" s="33">
        <f ca="1">IF(ISNUMBER(A23),CONVERT(Calculations!T39,Units_In,Units_Out),"")</f>
        <v>3857424.675129347</v>
      </c>
      <c r="C23" s="33">
        <f ca="1">IF(ISNUMBER(A23),CONVERT(Calculations!U39,Units_In,Units_Out),"")</f>
        <v>1534336.8882210571</v>
      </c>
      <c r="D23" s="33" t="str">
        <f>IF(ISTEXT(Calculations!F39),Calculations!F39,"")</f>
        <v/>
      </c>
      <c r="E23" s="10" t="str">
        <f t="shared" ca="1" si="2"/>
        <v>0503 3857424.67512935EUSft 1534336.88822106NUSft</v>
      </c>
      <c r="F23" s="34">
        <f t="shared" si="3"/>
        <v>94</v>
      </c>
      <c r="G23" s="10" t="str">
        <f t="shared" si="1"/>
        <v>Yellow</v>
      </c>
      <c r="H23" s="10" t="str">
        <f>IF(ISNUMBER(A23),Calculations!$A$1,"")</f>
        <v>DSS4</v>
      </c>
    </row>
    <row r="24" spans="1:8" x14ac:dyDescent="0.25">
      <c r="A24" s="10">
        <f>IF(ISNUMBER(Calculations!A40),Calculations!A40,"")</f>
        <v>20</v>
      </c>
      <c r="B24" s="33">
        <f ca="1">IF(ISNUMBER(A24),CONVERT(Calculations!T40,Units_In,Units_Out),"")</f>
        <v>3857424.2212970816</v>
      </c>
      <c r="C24" s="33">
        <f ca="1">IF(ISNUMBER(A24),CONVERT(Calculations!U40,Units_In,Units_Out),"")</f>
        <v>1534333.8976409934</v>
      </c>
      <c r="D24" s="33" t="str">
        <f>IF(ISTEXT(Calculations!F40),Calculations!F40,"")</f>
        <v>WS</v>
      </c>
      <c r="E24" s="10" t="str">
        <f t="shared" ca="1" si="2"/>
        <v>0503 3857424.22129708EUSft 1534333.89764099NUSft</v>
      </c>
      <c r="F24" s="34">
        <f t="shared" si="3"/>
        <v>94</v>
      </c>
      <c r="G24" s="10" t="str">
        <f t="shared" si="1"/>
        <v>Yellow</v>
      </c>
      <c r="H24" s="10" t="str">
        <f>IF(ISNUMBER(A24),Calculations!$A$1,"")</f>
        <v>DSS4</v>
      </c>
    </row>
    <row r="25" spans="1:8" x14ac:dyDescent="0.25">
      <c r="A25" s="10">
        <f>IF(ISNUMBER(Calculations!A41),Calculations!A41,"")</f>
        <v>21</v>
      </c>
      <c r="B25" s="33">
        <f ca="1">IF(ISNUMBER(A25),CONVERT(Calculations!T41,Units_In,Units_Out),"")</f>
        <v>3857419.2860625628</v>
      </c>
      <c r="C25" s="33">
        <f ca="1">IF(ISNUMBER(A25),CONVERT(Calculations!U41,Units_In,Units_Out),"")</f>
        <v>1534324.904137966</v>
      </c>
      <c r="D25" s="33" t="str">
        <f>IF(ISTEXT(Calculations!F41),Calculations!F41,"")</f>
        <v/>
      </c>
      <c r="E25" s="10" t="str">
        <f t="shared" ca="1" si="2"/>
        <v>0503 3857419.28606256EUSft 1534324.90413797NUSft</v>
      </c>
      <c r="F25" s="34">
        <f t="shared" si="3"/>
        <v>94</v>
      </c>
      <c r="G25" s="10" t="str">
        <f t="shared" si="1"/>
        <v>Yellow</v>
      </c>
      <c r="H25" s="10" t="str">
        <f>IF(ISNUMBER(A25),Calculations!$A$1,"")</f>
        <v>DSS4</v>
      </c>
    </row>
    <row r="26" spans="1:8" x14ac:dyDescent="0.25">
      <c r="A26" s="10">
        <f>IF(ISNUMBER(Calculations!A42),Calculations!A42,"")</f>
        <v>22</v>
      </c>
      <c r="B26" s="33">
        <f ca="1">IF(ISNUMBER(A26),CONVERT(Calculations!T42,Units_In,Units_Out),"")</f>
        <v>3857416.8372250767</v>
      </c>
      <c r="C26" s="33">
        <f ca="1">IF(ISNUMBER(A26),CONVERT(Calculations!U42,Units_In,Units_Out),"")</f>
        <v>1534318.9638001241</v>
      </c>
      <c r="D26" s="33" t="str">
        <f>IF(ISTEXT(Calculations!F42),Calculations!F42,"")</f>
        <v/>
      </c>
      <c r="E26" s="10" t="str">
        <f t="shared" ca="1" si="2"/>
        <v>0503 3857416.83722508EUSft 1534318.96380012NUSft</v>
      </c>
      <c r="F26" s="34">
        <f t="shared" si="3"/>
        <v>94</v>
      </c>
      <c r="G26" s="10" t="str">
        <f t="shared" si="1"/>
        <v>Yellow</v>
      </c>
      <c r="H26" s="10" t="str">
        <f>IF(ISNUMBER(A26),Calculations!$A$1,"")</f>
        <v>DSS4</v>
      </c>
    </row>
    <row r="27" spans="1:8" x14ac:dyDescent="0.25">
      <c r="A27" s="10">
        <f>IF(ISNUMBER(Calculations!A43),Calculations!A43,"")</f>
        <v>23</v>
      </c>
      <c r="B27" s="33">
        <f ca="1">IF(ISNUMBER(A27),CONVERT(Calculations!T43,Units_In,Units_Out),"")</f>
        <v>3857410.1854126235</v>
      </c>
      <c r="C27" s="33">
        <f ca="1">IF(ISNUMBER(A27),CONVERT(Calculations!U43,Units_In,Units_Out),"")</f>
        <v>1534304.0640981817</v>
      </c>
      <c r="D27" s="33" t="str">
        <f>IF(ISTEXT(Calculations!F43),Calculations!F43,"")</f>
        <v/>
      </c>
      <c r="E27" s="10" t="str">
        <f t="shared" ca="1" si="2"/>
        <v>0503 3857410.18541262EUSft 1534304.06409818NUSft</v>
      </c>
      <c r="F27" s="34">
        <f t="shared" si="3"/>
        <v>94</v>
      </c>
      <c r="G27" s="10" t="str">
        <f t="shared" si="1"/>
        <v>Yellow</v>
      </c>
      <c r="H27" s="10" t="str">
        <f>IF(ISNUMBER(A27),Calculations!$A$1,"")</f>
        <v>DSS4</v>
      </c>
    </row>
    <row r="28" spans="1:8" x14ac:dyDescent="0.25">
      <c r="A28" s="10">
        <f>IF(ISNUMBER(Calculations!A44),Calculations!A44,"")</f>
        <v>24</v>
      </c>
      <c r="B28" s="33">
        <f ca="1">IF(ISNUMBER(A28),CONVERT(Calculations!T44,Units_In,Units_Out),"")</f>
        <v>3857596.0752809639</v>
      </c>
      <c r="C28" s="33">
        <f ca="1">IF(ISNUMBER(A28),CONVERT(Calculations!U44,Units_In,Units_Out),"")</f>
        <v>1534608.1542680974</v>
      </c>
      <c r="D28" s="33" t="str">
        <f>IF(ISTEXT(Calculations!F44),Calculations!F44,"")</f>
        <v>PT1</v>
      </c>
      <c r="E28" s="10" t="str">
        <f t="shared" ca="1" si="2"/>
        <v>0503 3857596.07528096EUSft 1534608.1542681NUSft</v>
      </c>
      <c r="F28" s="34">
        <f t="shared" si="3"/>
        <v>94</v>
      </c>
      <c r="G28" s="10" t="str">
        <f t="shared" si="1"/>
        <v>Yellow</v>
      </c>
      <c r="H28" s="10" t="str">
        <f>IF(ISNUMBER(A28),Calculations!$A$1,"")</f>
        <v>DSS4</v>
      </c>
    </row>
    <row r="29" spans="1:8" x14ac:dyDescent="0.25">
      <c r="A29" s="10">
        <f>IF(ISNUMBER(Calculations!A45),Calculations!A45,"")</f>
        <v>25</v>
      </c>
      <c r="B29" s="33">
        <f ca="1">IF(ISNUMBER(A29),CONVERT(Calculations!T45,Units_In,Units_Out),"")</f>
        <v>3857576.5901347836</v>
      </c>
      <c r="C29" s="33">
        <f ca="1">IF(ISNUMBER(A29),CONVERT(Calculations!U45,Units_In,Units_Out),"")</f>
        <v>1534672.6821671964</v>
      </c>
      <c r="D29" s="33" t="str">
        <f>IF(ISTEXT(Calculations!F45),Calculations!F45,"")</f>
        <v>PT2</v>
      </c>
      <c r="E29" s="10" t="str">
        <f t="shared" ca="1" si="2"/>
        <v>0503 3857576.59013478EUSft 1534672.6821672NUSft</v>
      </c>
      <c r="F29" s="34">
        <f t="shared" si="3"/>
        <v>94</v>
      </c>
      <c r="G29" s="10" t="str">
        <f t="shared" si="1"/>
        <v>Yellow</v>
      </c>
      <c r="H29" s="10" t="str">
        <f>IF(ISNUMBER(A29),Calculations!$A$1,"")</f>
        <v>DSS4</v>
      </c>
    </row>
    <row r="30" spans="1:8" x14ac:dyDescent="0.25">
      <c r="A30" s="10" t="str">
        <f>IF(ISNUMBER(Calculations!#REF!),Calculations!#REF!,"")</f>
        <v/>
      </c>
      <c r="B30" s="33" t="str">
        <f>IF(ISNUMBER(A30),CONVERT(Calculations!#REF!,Units_In,Units_Out),"")</f>
        <v/>
      </c>
      <c r="C30" s="33" t="str">
        <f>IF(ISNUMBER(A30),CONVERT(Calculations!#REF!,Units_In,Units_Out),"")</f>
        <v/>
      </c>
      <c r="D30" s="33" t="str">
        <f>IF(ISTEXT(Calculations!#REF!),Calculations!#REF!,"")</f>
        <v/>
      </c>
      <c r="E30" s="10" t="str">
        <f t="shared" si="2"/>
        <v/>
      </c>
      <c r="F30" s="34" t="str">
        <f t="shared" si="3"/>
        <v/>
      </c>
      <c r="G30" s="10" t="str">
        <f t="shared" si="1"/>
        <v/>
      </c>
      <c r="H30" s="10" t="str">
        <f>IF(ISNUMBER(A30),Calculations!$A$1,"")</f>
        <v/>
      </c>
    </row>
    <row r="31" spans="1:8" x14ac:dyDescent="0.25">
      <c r="A31" s="10" t="str">
        <f>IF(ISNUMBER(Calculations!A46),Calculations!A46,"")</f>
        <v/>
      </c>
      <c r="B31" s="33" t="str">
        <f>IF(ISNUMBER(A31),CONVERT(Calculations!T46,Units_In,Units_Out),"")</f>
        <v/>
      </c>
      <c r="C31" s="33" t="str">
        <f>IF(ISNUMBER(A31),CONVERT(Calculations!U46,Units_In,Units_Out),"")</f>
        <v/>
      </c>
      <c r="D31" s="33" t="str">
        <f>IF(ISTEXT(Calculations!F46),Calculations!F46,"")</f>
        <v/>
      </c>
      <c r="E31" s="10" t="str">
        <f t="shared" si="2"/>
        <v/>
      </c>
      <c r="F31" s="34" t="str">
        <f t="shared" si="3"/>
        <v/>
      </c>
      <c r="G31" s="10" t="str">
        <f t="shared" si="1"/>
        <v/>
      </c>
      <c r="H31" s="10" t="str">
        <f>IF(ISNUMBER(A31),Calculations!$A$1,"")</f>
        <v/>
      </c>
    </row>
    <row r="32" spans="1:8" x14ac:dyDescent="0.25">
      <c r="A32" s="10" t="str">
        <f>IF(ISNUMBER(Calculations!A47),Calculations!A47,"")</f>
        <v/>
      </c>
      <c r="B32" s="33" t="str">
        <f>IF(ISNUMBER(A32),CONVERT(Calculations!T47,Units_In,Units_Out),"")</f>
        <v/>
      </c>
      <c r="C32" s="33" t="str">
        <f>IF(ISNUMBER(A32),CONVERT(Calculations!U47,Units_In,Units_Out),"")</f>
        <v/>
      </c>
      <c r="D32" s="33" t="str">
        <f>IF(ISTEXT(Calculations!F47),Calculations!F47,"")</f>
        <v/>
      </c>
      <c r="E32" s="10" t="str">
        <f t="shared" si="2"/>
        <v/>
      </c>
      <c r="F32" s="34" t="str">
        <f t="shared" si="3"/>
        <v/>
      </c>
      <c r="G32" s="10" t="str">
        <f t="shared" si="1"/>
        <v/>
      </c>
      <c r="H32" s="10" t="str">
        <f>IF(ISNUMBER(A32),Calculations!$A$1,"")</f>
        <v/>
      </c>
    </row>
    <row r="33" spans="1:8" x14ac:dyDescent="0.25">
      <c r="A33" s="10" t="str">
        <f>IF(ISNUMBER(Calculations!A48),Calculations!A48,"")</f>
        <v/>
      </c>
      <c r="B33" s="33" t="str">
        <f>IF(ISNUMBER(A33),CONVERT(Calculations!T48,Units_In,Units_Out),"")</f>
        <v/>
      </c>
      <c r="C33" s="33" t="str">
        <f>IF(ISNUMBER(A33),CONVERT(Calculations!U48,Units_In,Units_Out),"")</f>
        <v/>
      </c>
      <c r="D33" s="33" t="str">
        <f>IF(ISTEXT(Calculations!F48),Calculations!F48,"")</f>
        <v/>
      </c>
      <c r="E33" s="10" t="str">
        <f t="shared" si="2"/>
        <v/>
      </c>
      <c r="F33" s="34" t="str">
        <f t="shared" si="3"/>
        <v/>
      </c>
      <c r="G33" s="10" t="str">
        <f t="shared" si="1"/>
        <v/>
      </c>
      <c r="H33" s="10" t="str">
        <f>IF(ISNUMBER(A33),Calculations!$A$1,"")</f>
        <v/>
      </c>
    </row>
    <row r="34" spans="1:8" x14ac:dyDescent="0.25">
      <c r="A34" s="10" t="str">
        <f>IF(ISNUMBER(Calculations!A49),Calculations!A49,"")</f>
        <v/>
      </c>
      <c r="B34" s="33" t="str">
        <f>IF(ISNUMBER(A34),CONVERT(Calculations!T49,Units_In,Units_Out),"")</f>
        <v/>
      </c>
      <c r="C34" s="33" t="str">
        <f>IF(ISNUMBER(A34),CONVERT(Calculations!U49,Units_In,Units_Out),"")</f>
        <v/>
      </c>
      <c r="D34" s="33" t="str">
        <f>IF(ISTEXT(Calculations!F49),Calculations!F49,"")</f>
        <v/>
      </c>
      <c r="E34" s="10" t="str">
        <f t="shared" si="2"/>
        <v/>
      </c>
      <c r="F34" s="34" t="str">
        <f t="shared" si="3"/>
        <v/>
      </c>
      <c r="G34" s="10" t="str">
        <f t="shared" si="1"/>
        <v/>
      </c>
      <c r="H34" s="10" t="str">
        <f>IF(ISNUMBER(A34),Calculations!$A$1,"")</f>
        <v/>
      </c>
    </row>
    <row r="35" spans="1:8" x14ac:dyDescent="0.25">
      <c r="A35" s="10" t="str">
        <f>IF(ISNUMBER(Calculations!A50),Calculations!A50,"")</f>
        <v/>
      </c>
      <c r="B35" s="33" t="str">
        <f>IF(ISNUMBER(A35),CONVERT(Calculations!T50,Units_In,Units_Out),"")</f>
        <v/>
      </c>
      <c r="C35" s="33" t="str">
        <f>IF(ISNUMBER(A35),CONVERT(Calculations!U50,Units_In,Units_Out),"")</f>
        <v/>
      </c>
      <c r="D35" s="33" t="str">
        <f>IF(ISTEXT(Calculations!F50),Calculations!F50,"")</f>
        <v/>
      </c>
      <c r="E35" s="10" t="str">
        <f t="shared" si="2"/>
        <v/>
      </c>
      <c r="F35" s="34" t="str">
        <f t="shared" si="3"/>
        <v/>
      </c>
      <c r="G35" s="10" t="str">
        <f t="shared" si="1"/>
        <v/>
      </c>
      <c r="H35" s="10" t="str">
        <f>IF(ISNUMBER(A35),Calculations!$A$1,"")</f>
        <v/>
      </c>
    </row>
    <row r="36" spans="1:8" x14ac:dyDescent="0.25">
      <c r="A36" s="10" t="str">
        <f>IF(ISNUMBER(Calculations!A51),Calculations!A51,"")</f>
        <v/>
      </c>
      <c r="B36" s="33" t="str">
        <f>IF(ISNUMBER(A36),CONVERT(Calculations!U51,Units_In,Units_Out),"")</f>
        <v/>
      </c>
      <c r="C36" s="33" t="str">
        <f>IF(ISNUMBER(A36),CONVERT(Calculations!V51,Units_In,Units_Out),"")</f>
        <v/>
      </c>
      <c r="D36" s="33" t="str">
        <f>IF(ISTEXT(Calculations!F51),Calculations!F51,"")</f>
        <v/>
      </c>
      <c r="E36" s="10" t="str">
        <f t="shared" si="2"/>
        <v/>
      </c>
      <c r="F36" s="34" t="str">
        <f t="shared" si="3"/>
        <v/>
      </c>
      <c r="G36" s="10" t="str">
        <f t="shared" si="1"/>
        <v/>
      </c>
      <c r="H36" s="10" t="str">
        <f>IF(ISNUMBER(A36),Calculations!$A$1,"")</f>
        <v/>
      </c>
    </row>
    <row r="37" spans="1:8" x14ac:dyDescent="0.25">
      <c r="A37" s="10" t="str">
        <f>IF(ISNUMBER(Calculations!A52),Calculations!A52,"")</f>
        <v/>
      </c>
      <c r="B37" s="33" t="str">
        <f>IF(ISNUMBER(A37),CONVERT(Calculations!U52,Units_In,Units_Out),"")</f>
        <v/>
      </c>
      <c r="C37" s="33" t="str">
        <f>IF(ISNUMBER(A37),CONVERT(Calculations!V52,Units_In,Units_Out),"")</f>
        <v/>
      </c>
      <c r="D37" s="33" t="str">
        <f>IF(ISTEXT(Calculations!F52),Calculations!F52,"")</f>
        <v/>
      </c>
      <c r="E37" s="10" t="str">
        <f t="shared" si="2"/>
        <v/>
      </c>
      <c r="F37" s="34" t="str">
        <f t="shared" si="3"/>
        <v/>
      </c>
      <c r="G37" s="10" t="str">
        <f t="shared" si="1"/>
        <v/>
      </c>
      <c r="H37" s="10" t="str">
        <f>IF(ISNUMBER(A37),Calculations!$A$1,"")</f>
        <v/>
      </c>
    </row>
    <row r="38" spans="1:8" x14ac:dyDescent="0.25">
      <c r="A38" s="10" t="str">
        <f>IF(ISNUMBER(Calculations!#REF!),Calculations!#REF!,"")</f>
        <v/>
      </c>
      <c r="B38" s="33" t="str">
        <f>IF(ISNUMBER(A38),CONVERT(Calculations!#REF!,Units_In,Units_Out),"")</f>
        <v/>
      </c>
      <c r="C38" s="33" t="str">
        <f>IF(ISNUMBER(A38),CONVERT(Calculations!#REF!,Units_In,Units_Out),"")</f>
        <v/>
      </c>
      <c r="D38" s="33" t="str">
        <f>IF(ISTEXT(Calculations!#REF!),Calculations!#REF!,"")</f>
        <v/>
      </c>
      <c r="E38" s="10" t="str">
        <f t="shared" si="2"/>
        <v/>
      </c>
      <c r="F38" s="34" t="str">
        <f t="shared" si="3"/>
        <v/>
      </c>
      <c r="G38" s="10" t="str">
        <f t="shared" si="1"/>
        <v/>
      </c>
      <c r="H38" s="10" t="str">
        <f>IF(ISNUMBER(A38),Calculations!$A$1,"")</f>
        <v/>
      </c>
    </row>
    <row r="39" spans="1:8" x14ac:dyDescent="0.25">
      <c r="A39" s="10" t="str">
        <f>IF(ISNUMBER(Calculations!#REF!),Calculations!#REF!,"")</f>
        <v/>
      </c>
      <c r="B39" s="33" t="str">
        <f>IF(ISNUMBER(A39),CONVERT(Calculations!#REF!,Units_In,Units_Out),"")</f>
        <v/>
      </c>
      <c r="C39" s="33" t="str">
        <f>IF(ISNUMBER(A39),CONVERT(Calculations!#REF!,Units_In,Units_Out),"")</f>
        <v/>
      </c>
      <c r="D39" s="33" t="str">
        <f>IF(ISTEXT(Calculations!#REF!),Calculations!#REF!,"")</f>
        <v/>
      </c>
      <c r="E39" s="10" t="str">
        <f t="shared" si="2"/>
        <v/>
      </c>
      <c r="F39" s="34" t="str">
        <f t="shared" si="3"/>
        <v/>
      </c>
      <c r="G39" s="10" t="str">
        <f t="shared" si="1"/>
        <v/>
      </c>
      <c r="H39" s="10" t="str">
        <f>IF(ISNUMBER(A39),Calculations!$A$1,"")</f>
        <v/>
      </c>
    </row>
    <row r="40" spans="1:8" x14ac:dyDescent="0.25">
      <c r="A40" s="10" t="str">
        <f>IF(ISNUMBER(Calculations!#REF!),Calculations!#REF!,"")</f>
        <v/>
      </c>
      <c r="B40" s="33" t="str">
        <f>IF(ISNUMBER(A40),CONVERT(Calculations!#REF!,Units_In,Units_Out),"")</f>
        <v/>
      </c>
      <c r="C40" s="33" t="str">
        <f>IF(ISNUMBER(A40),CONVERT(Calculations!#REF!,Units_In,Units_Out),"")</f>
        <v/>
      </c>
      <c r="D40" s="33" t="str">
        <f>IF(ISTEXT(Calculations!#REF!),Calculations!#REF!,"")</f>
        <v/>
      </c>
      <c r="E40" s="10" t="str">
        <f t="shared" si="2"/>
        <v/>
      </c>
      <c r="F40" s="34" t="str">
        <f t="shared" si="3"/>
        <v/>
      </c>
      <c r="G40" s="10" t="str">
        <f t="shared" si="1"/>
        <v/>
      </c>
      <c r="H40" s="10" t="str">
        <f>IF(ISNUMBER(A40),Calculations!$A$1,"")</f>
        <v/>
      </c>
    </row>
    <row r="41" spans="1:8" x14ac:dyDescent="0.25">
      <c r="A41" s="10" t="str">
        <f>IF(ISNUMBER(Calculations!#REF!),Calculations!#REF!,"")</f>
        <v/>
      </c>
      <c r="B41" s="33" t="str">
        <f>IF(ISNUMBER(A41),CONVERT(Calculations!#REF!,Units_In,Units_Out),"")</f>
        <v/>
      </c>
      <c r="C41" s="33" t="str">
        <f>IF(ISNUMBER(A41),CONVERT(Calculations!#REF!,Units_In,Units_Out),"")</f>
        <v/>
      </c>
      <c r="D41" s="33" t="str">
        <f>IF(ISTEXT(Calculations!#REF!),Calculations!#REF!,"")</f>
        <v/>
      </c>
      <c r="E41" s="10" t="str">
        <f t="shared" si="2"/>
        <v/>
      </c>
      <c r="F41" s="34" t="str">
        <f t="shared" si="3"/>
        <v/>
      </c>
      <c r="G41" s="10" t="str">
        <f t="shared" si="1"/>
        <v/>
      </c>
      <c r="H41" s="10" t="str">
        <f>IF(ISNUMBER(A41),Calculations!$A$1,"")</f>
        <v/>
      </c>
    </row>
    <row r="42" spans="1:8" x14ac:dyDescent="0.25">
      <c r="A42" s="10" t="str">
        <f>IF(ISNUMBER(Calculations!#REF!),Calculations!#REF!,"")</f>
        <v/>
      </c>
      <c r="B42" s="33" t="str">
        <f>IF(ISNUMBER(A42),CONVERT(Calculations!#REF!,Units_In,Units_Out),"")</f>
        <v/>
      </c>
      <c r="C42" s="33" t="str">
        <f>IF(ISNUMBER(A42),CONVERT(Calculations!#REF!,Units_In,Units_Out),"")</f>
        <v/>
      </c>
      <c r="D42" s="33" t="str">
        <f>IF(ISTEXT(Calculations!#REF!),Calculations!#REF!,"")</f>
        <v/>
      </c>
      <c r="E42" s="10" t="str">
        <f t="shared" si="2"/>
        <v/>
      </c>
      <c r="F42" s="34" t="str">
        <f t="shared" si="3"/>
        <v/>
      </c>
      <c r="G42" s="10" t="str">
        <f t="shared" si="1"/>
        <v/>
      </c>
      <c r="H42" s="10" t="str">
        <f>IF(ISNUMBER(A42),Calculations!$A$1,"")</f>
        <v/>
      </c>
    </row>
    <row r="43" spans="1:8" x14ac:dyDescent="0.25">
      <c r="A43" s="10" t="str">
        <f>IF(ISNUMBER(Calculations!#REF!),Calculations!#REF!,"")</f>
        <v/>
      </c>
      <c r="B43" s="33" t="str">
        <f>IF(ISNUMBER(A43),CONVERT(Calculations!#REF!,Units_In,Units_Out),"")</f>
        <v/>
      </c>
      <c r="C43" s="33" t="str">
        <f>IF(ISNUMBER(A43),CONVERT(Calculations!#REF!,Units_In,Units_Out),"")</f>
        <v/>
      </c>
      <c r="D43" s="33" t="str">
        <f>IF(ISTEXT(Calculations!#REF!),Calculations!#REF!,"")</f>
        <v/>
      </c>
      <c r="E43" s="10" t="str">
        <f t="shared" si="2"/>
        <v/>
      </c>
      <c r="F43" s="34" t="str">
        <f t="shared" si="3"/>
        <v/>
      </c>
      <c r="G43" s="10" t="str">
        <f t="shared" si="1"/>
        <v/>
      </c>
      <c r="H43" s="10" t="str">
        <f>IF(ISNUMBER(A43),Calculations!$A$1,"")</f>
        <v/>
      </c>
    </row>
    <row r="44" spans="1:8" x14ac:dyDescent="0.25">
      <c r="A44" s="10" t="str">
        <f>IF(ISNUMBER(Calculations!#REF!),Calculations!#REF!,"")</f>
        <v/>
      </c>
      <c r="B44" s="33" t="str">
        <f>IF(ISNUMBER(A44),CONVERT(Calculations!#REF!,Units_In,Units_Out),"")</f>
        <v/>
      </c>
      <c r="C44" s="33" t="str">
        <f>IF(ISNUMBER(A44),CONVERT(Calculations!#REF!,Units_In,Units_Out),"")</f>
        <v/>
      </c>
      <c r="D44" s="33" t="str">
        <f>IF(ISTEXT(Calculations!#REF!),Calculations!#REF!,"")</f>
        <v/>
      </c>
      <c r="E44" s="10" t="str">
        <f t="shared" si="2"/>
        <v/>
      </c>
      <c r="F44" s="34" t="str">
        <f t="shared" si="3"/>
        <v/>
      </c>
      <c r="G44" s="10" t="str">
        <f t="shared" si="1"/>
        <v/>
      </c>
      <c r="H44" s="10" t="str">
        <f>IF(ISNUMBER(A44),Calculations!$A$1,"")</f>
        <v/>
      </c>
    </row>
    <row r="45" spans="1:8" x14ac:dyDescent="0.25">
      <c r="A45" s="10" t="str">
        <f>IF(ISNUMBER(Calculations!#REF!),Calculations!#REF!,"")</f>
        <v/>
      </c>
      <c r="B45" s="33" t="str">
        <f>IF(ISNUMBER(A45),CONVERT(Calculations!#REF!,Units_In,Units_Out),"")</f>
        <v/>
      </c>
      <c r="C45" s="33" t="str">
        <f>IF(ISNUMBER(A45),CONVERT(Calculations!#REF!,Units_In,Units_Out),"")</f>
        <v/>
      </c>
      <c r="D45" s="33" t="str">
        <f>IF(ISTEXT(Calculations!#REF!),Calculations!#REF!,"")</f>
        <v/>
      </c>
      <c r="E45" s="10" t="str">
        <f t="shared" si="2"/>
        <v/>
      </c>
      <c r="F45" s="34" t="str">
        <f t="shared" si="3"/>
        <v/>
      </c>
      <c r="G45" s="10" t="str">
        <f t="shared" si="1"/>
        <v/>
      </c>
      <c r="H45" s="10" t="str">
        <f>IF(ISNUMBER(A45),Calculations!$A$1,"")</f>
        <v/>
      </c>
    </row>
    <row r="46" spans="1:8" x14ac:dyDescent="0.25">
      <c r="A46" s="10" t="str">
        <f>IF(ISNUMBER(Calculations!#REF!),Calculations!#REF!,"")</f>
        <v/>
      </c>
      <c r="B46" s="33" t="str">
        <f>IF(ISNUMBER(A46),CONVERT(Calculations!#REF!,Units_In,Units_Out),"")</f>
        <v/>
      </c>
      <c r="C46" s="33" t="str">
        <f>IF(ISNUMBER(A46),CONVERT(Calculations!#REF!,Units_In,Units_Out),"")</f>
        <v/>
      </c>
      <c r="D46" s="33" t="str">
        <f>IF(ISTEXT(Calculations!#REF!),Calculations!#REF!,"")</f>
        <v/>
      </c>
      <c r="E46" s="10" t="str">
        <f t="shared" si="2"/>
        <v/>
      </c>
      <c r="F46" s="34" t="str">
        <f t="shared" si="3"/>
        <v/>
      </c>
      <c r="G46" s="10" t="str">
        <f t="shared" si="1"/>
        <v/>
      </c>
      <c r="H46" s="10" t="str">
        <f>IF(ISNUMBER(A46),Calculations!$A$1,"")</f>
        <v/>
      </c>
    </row>
    <row r="47" spans="1:8" x14ac:dyDescent="0.25">
      <c r="A47" s="10" t="str">
        <f>IF(ISNUMBER(Calculations!#REF!),Calculations!#REF!,"")</f>
        <v/>
      </c>
      <c r="B47" s="33" t="str">
        <f>IF(ISNUMBER(A47),CONVERT(Calculations!#REF!,Units_In,Units_Out),"")</f>
        <v/>
      </c>
      <c r="C47" s="33" t="str">
        <f>IF(ISNUMBER(A47),CONVERT(Calculations!#REF!,Units_In,Units_Out),"")</f>
        <v/>
      </c>
      <c r="D47" s="33" t="str">
        <f>IF(ISTEXT(Calculations!#REF!),Calculations!#REF!,"")</f>
        <v/>
      </c>
      <c r="E47" s="10" t="str">
        <f t="shared" si="2"/>
        <v/>
      </c>
      <c r="F47" s="34" t="str">
        <f t="shared" si="3"/>
        <v/>
      </c>
      <c r="G47" s="10" t="str">
        <f t="shared" si="1"/>
        <v/>
      </c>
      <c r="H47" s="10" t="str">
        <f>IF(ISNUMBER(A47),Calculations!$A$1,"")</f>
        <v/>
      </c>
    </row>
    <row r="48" spans="1:8" x14ac:dyDescent="0.25">
      <c r="A48" s="10" t="str">
        <f>IF(ISNUMBER(Calculations!#REF!),Calculations!#REF!,"")</f>
        <v/>
      </c>
      <c r="B48" s="33" t="str">
        <f>IF(ISNUMBER(A48),CONVERT(Calculations!#REF!,Units_In,Units_Out),"")</f>
        <v/>
      </c>
      <c r="C48" s="33" t="str">
        <f>IF(ISNUMBER(A48),CONVERT(Calculations!#REF!,Units_In,Units_Out),"")</f>
        <v/>
      </c>
      <c r="D48" s="33" t="str">
        <f>IF(ISTEXT(Calculations!#REF!),Calculations!#REF!,"")</f>
        <v/>
      </c>
      <c r="E48" s="10" t="str">
        <f t="shared" si="2"/>
        <v/>
      </c>
      <c r="F48" s="34" t="str">
        <f t="shared" si="3"/>
        <v/>
      </c>
      <c r="G48" s="10" t="str">
        <f t="shared" si="1"/>
        <v/>
      </c>
      <c r="H48" s="10" t="str">
        <f>IF(ISNUMBER(A48),Calculations!$A$1,"")</f>
        <v/>
      </c>
    </row>
    <row r="49" spans="1:8" x14ac:dyDescent="0.25">
      <c r="A49" s="10" t="str">
        <f>IF(ISNUMBER(Calculations!#REF!),Calculations!#REF!,"")</f>
        <v/>
      </c>
      <c r="B49" s="33" t="str">
        <f>IF(ISNUMBER(A49),CONVERT(Calculations!#REF!,Units_In,Units_Out),"")</f>
        <v/>
      </c>
      <c r="C49" s="33" t="str">
        <f>IF(ISNUMBER(A49),CONVERT(Calculations!#REF!,Units_In,Units_Out),"")</f>
        <v/>
      </c>
      <c r="D49" s="33" t="str">
        <f>IF(ISTEXT(Calculations!#REF!),Calculations!#REF!,"")</f>
        <v/>
      </c>
      <c r="E49" s="10" t="str">
        <f t="shared" si="2"/>
        <v/>
      </c>
      <c r="F49" s="34" t="str">
        <f t="shared" si="3"/>
        <v/>
      </c>
      <c r="G49" s="10" t="str">
        <f t="shared" si="1"/>
        <v/>
      </c>
      <c r="H49" s="10" t="str">
        <f>IF(ISNUMBER(A49),Calculations!$A$1,"")</f>
        <v/>
      </c>
    </row>
    <row r="50" spans="1:8" x14ac:dyDescent="0.25">
      <c r="A50" s="10" t="str">
        <f>IF(ISNUMBER(Calculations!#REF!),Calculations!#REF!,"")</f>
        <v/>
      </c>
      <c r="B50" s="33" t="str">
        <f>IF(ISNUMBER(A50),CONVERT(Calculations!#REF!,Units_In,Units_Out),"")</f>
        <v/>
      </c>
      <c r="C50" s="33" t="str">
        <f>IF(ISNUMBER(A50),CONVERT(Calculations!#REF!,Units_In,Units_Out),"")</f>
        <v/>
      </c>
      <c r="D50" s="33" t="str">
        <f>IF(ISTEXT(Calculations!#REF!),Calculations!#REF!,"")</f>
        <v/>
      </c>
      <c r="E50" s="10" t="str">
        <f t="shared" si="2"/>
        <v/>
      </c>
      <c r="F50" s="34" t="str">
        <f t="shared" si="3"/>
        <v/>
      </c>
      <c r="G50" s="10" t="str">
        <f t="shared" si="1"/>
        <v/>
      </c>
      <c r="H50" s="10" t="str">
        <f>IF(ISNUMBER(A50),Calculations!$A$1,"")</f>
        <v/>
      </c>
    </row>
    <row r="51" spans="1:8" x14ac:dyDescent="0.25">
      <c r="A51" s="10" t="str">
        <f>IF(ISNUMBER(Calculations!#REF!),Calculations!#REF!,"")</f>
        <v/>
      </c>
      <c r="B51" s="33" t="str">
        <f>IF(ISNUMBER(A51),CONVERT(Calculations!#REF!,Units_In,Units_Out),"")</f>
        <v/>
      </c>
      <c r="C51" s="33" t="str">
        <f>IF(ISNUMBER(A51),CONVERT(Calculations!#REF!,Units_In,Units_Out),"")</f>
        <v/>
      </c>
      <c r="D51" s="33" t="str">
        <f>IF(ISTEXT(Calculations!#REF!),Calculations!#REF!,"")</f>
        <v/>
      </c>
      <c r="E51" s="10" t="str">
        <f t="shared" si="2"/>
        <v/>
      </c>
      <c r="F51" s="34" t="str">
        <f t="shared" si="3"/>
        <v/>
      </c>
      <c r="G51" s="10" t="str">
        <f t="shared" si="1"/>
        <v/>
      </c>
      <c r="H51" s="10" t="str">
        <f>IF(ISNUMBER(A51),Calculations!$A$1,"")</f>
        <v/>
      </c>
    </row>
    <row r="52" spans="1:8" x14ac:dyDescent="0.25">
      <c r="A52" s="10" t="str">
        <f>IF(ISNUMBER(Calculations!#REF!),Calculations!#REF!,"")</f>
        <v/>
      </c>
      <c r="B52" s="33" t="str">
        <f>IF(ISNUMBER(A52),CONVERT(Calculations!#REF!,Units_In,Units_Out),"")</f>
        <v/>
      </c>
      <c r="C52" s="33" t="str">
        <f>IF(ISNUMBER(A52),CONVERT(Calculations!#REF!,Units_In,Units_Out),"")</f>
        <v/>
      </c>
      <c r="D52" s="33" t="str">
        <f>IF(ISTEXT(Calculations!#REF!),Calculations!#REF!,"")</f>
        <v/>
      </c>
      <c r="E52" s="10" t="str">
        <f t="shared" si="2"/>
        <v/>
      </c>
      <c r="F52" s="34" t="str">
        <f t="shared" si="3"/>
        <v/>
      </c>
      <c r="G52" s="10" t="str">
        <f t="shared" si="1"/>
        <v/>
      </c>
      <c r="H52" s="10" t="str">
        <f>IF(ISNUMBER(A52),Calculations!$A$1,"")</f>
        <v/>
      </c>
    </row>
    <row r="53" spans="1:8" x14ac:dyDescent="0.25">
      <c r="A53" s="10" t="str">
        <f>IF(ISNUMBER(Calculations!#REF!),Calculations!#REF!,"")</f>
        <v/>
      </c>
      <c r="B53" s="33" t="str">
        <f>IF(ISNUMBER(A53),CONVERT(Calculations!#REF!,Units_In,Units_Out),"")</f>
        <v/>
      </c>
      <c r="C53" s="33" t="str">
        <f>IF(ISNUMBER(A53),CONVERT(Calculations!#REF!,Units_In,Units_Out),"")</f>
        <v/>
      </c>
      <c r="D53" s="33" t="str">
        <f>IF(ISTEXT(Calculations!#REF!),Calculations!#REF!,"")</f>
        <v/>
      </c>
      <c r="E53" s="10" t="str">
        <f t="shared" si="2"/>
        <v/>
      </c>
      <c r="F53" s="34" t="str">
        <f t="shared" si="3"/>
        <v/>
      </c>
      <c r="G53" s="10" t="str">
        <f t="shared" si="1"/>
        <v/>
      </c>
      <c r="H53" s="10" t="str">
        <f>IF(ISNUMBER(A53),Calculations!$A$1,"")</f>
        <v/>
      </c>
    </row>
    <row r="54" spans="1:8" x14ac:dyDescent="0.25">
      <c r="A54" s="10" t="str">
        <f>IF(ISNUMBER(Calculations!#REF!),Calculations!#REF!,"")</f>
        <v/>
      </c>
      <c r="B54" s="33" t="str">
        <f>IF(ISNUMBER(A54),CONVERT(Calculations!#REF!,Units_In,Units_Out),"")</f>
        <v/>
      </c>
      <c r="C54" s="33" t="str">
        <f>IF(ISNUMBER(A54),CONVERT(Calculations!#REF!,Units_In,Units_Out),"")</f>
        <v/>
      </c>
      <c r="D54" s="33" t="str">
        <f>IF(ISTEXT(Calculations!#REF!),Calculations!#REF!,"")</f>
        <v/>
      </c>
      <c r="E54" s="10" t="str">
        <f t="shared" si="2"/>
        <v/>
      </c>
      <c r="F54" s="34" t="str">
        <f t="shared" si="3"/>
        <v/>
      </c>
      <c r="G54" s="10" t="str">
        <f t="shared" si="1"/>
        <v/>
      </c>
      <c r="H54" s="10" t="str">
        <f>IF(ISNUMBER(A54),Calculations!$A$1,"")</f>
        <v/>
      </c>
    </row>
    <row r="55" spans="1:8" x14ac:dyDescent="0.25">
      <c r="A55" s="10" t="str">
        <f>IF(ISNUMBER(Calculations!#REF!),Calculations!#REF!,"")</f>
        <v/>
      </c>
      <c r="B55" s="33" t="str">
        <f>IF(ISNUMBER(A55),CONVERT(Calculations!#REF!,Units_In,Units_Out),"")</f>
        <v/>
      </c>
      <c r="C55" s="33" t="str">
        <f>IF(ISNUMBER(A55),CONVERT(Calculations!#REF!,Units_In,Units_Out),"")</f>
        <v/>
      </c>
      <c r="D55" s="33" t="str">
        <f>IF(ISTEXT(Calculations!#REF!),Calculations!#REF!,"")</f>
        <v/>
      </c>
      <c r="E55" s="10" t="str">
        <f t="shared" si="2"/>
        <v/>
      </c>
      <c r="F55" s="34" t="str">
        <f t="shared" si="3"/>
        <v/>
      </c>
      <c r="G55" s="10" t="str">
        <f t="shared" si="1"/>
        <v/>
      </c>
      <c r="H55" s="10" t="str">
        <f>IF(ISNUMBER(A55),Calculations!$A$1,"")</f>
        <v/>
      </c>
    </row>
    <row r="56" spans="1:8" x14ac:dyDescent="0.25">
      <c r="A56" s="10" t="str">
        <f>IF(ISNUMBER(Calculations!#REF!),Calculations!#REF!,"")</f>
        <v/>
      </c>
      <c r="B56" s="33" t="str">
        <f>IF(ISNUMBER(A56),CONVERT(Calculations!#REF!,Units_In,Units_Out),"")</f>
        <v/>
      </c>
      <c r="C56" s="33" t="str">
        <f>IF(ISNUMBER(A56),CONVERT(Calculations!#REF!,Units_In,Units_Out),"")</f>
        <v/>
      </c>
      <c r="D56" s="33" t="str">
        <f>IF(ISTEXT(Calculations!#REF!),Calculations!#REF!,"")</f>
        <v/>
      </c>
      <c r="E56" s="10" t="str">
        <f t="shared" si="2"/>
        <v/>
      </c>
      <c r="F56" s="34" t="str">
        <f t="shared" si="3"/>
        <v/>
      </c>
      <c r="G56" s="10" t="str">
        <f t="shared" si="1"/>
        <v/>
      </c>
      <c r="H56" s="10" t="str">
        <f>IF(ISNUMBER(A56),Calculations!$A$1,"")</f>
        <v/>
      </c>
    </row>
    <row r="57" spans="1:8" x14ac:dyDescent="0.25">
      <c r="A57" s="10" t="str">
        <f>IF(ISNUMBER(Calculations!#REF!),Calculations!#REF!,"")</f>
        <v/>
      </c>
      <c r="B57" s="33" t="str">
        <f>IF(ISNUMBER(A57),CONVERT(Calculations!#REF!,Units_In,Units_Out),"")</f>
        <v/>
      </c>
      <c r="C57" s="33" t="str">
        <f>IF(ISNUMBER(A57),CONVERT(Calculations!#REF!,Units_In,Units_Out),"")</f>
        <v/>
      </c>
      <c r="D57" s="33" t="str">
        <f>IF(ISTEXT(Calculations!#REF!),Calculations!#REF!,"")</f>
        <v/>
      </c>
      <c r="E57" s="10" t="str">
        <f t="shared" si="2"/>
        <v/>
      </c>
      <c r="F57" s="34" t="str">
        <f t="shared" si="3"/>
        <v/>
      </c>
      <c r="G57" s="10" t="str">
        <f t="shared" si="1"/>
        <v/>
      </c>
      <c r="H57" s="10" t="str">
        <f>IF(ISNUMBER(A57),Calculations!$A$1,"")</f>
        <v/>
      </c>
    </row>
    <row r="58" spans="1:8" x14ac:dyDescent="0.25">
      <c r="A58" s="10" t="str">
        <f>IF(ISNUMBER(Calculations!#REF!),Calculations!#REF!,"")</f>
        <v/>
      </c>
      <c r="B58" s="33" t="str">
        <f>IF(ISNUMBER(A58),CONVERT(Calculations!#REF!,Units_In,Units_Out),"")</f>
        <v/>
      </c>
      <c r="C58" s="33" t="str">
        <f>IF(ISNUMBER(A58),CONVERT(Calculations!#REF!,Units_In,Units_Out),"")</f>
        <v/>
      </c>
      <c r="D58" s="33" t="str">
        <f>IF(ISTEXT(Calculations!#REF!),Calculations!#REF!,"")</f>
        <v/>
      </c>
      <c r="E58" s="10" t="str">
        <f t="shared" si="2"/>
        <v/>
      </c>
      <c r="F58" s="34" t="str">
        <f t="shared" si="3"/>
        <v/>
      </c>
      <c r="G58" s="10" t="str">
        <f t="shared" si="1"/>
        <v/>
      </c>
      <c r="H58" s="10" t="str">
        <f>IF(ISNUMBER(A58),Calculations!$A$1,"")</f>
        <v/>
      </c>
    </row>
    <row r="59" spans="1:8" x14ac:dyDescent="0.25">
      <c r="A59" s="10" t="str">
        <f>IF(ISNUMBER(Calculations!#REF!),Calculations!#REF!,"")</f>
        <v/>
      </c>
      <c r="B59" s="33" t="str">
        <f>IF(ISNUMBER(A59),CONVERT(Calculations!#REF!,Units_In,Units_Out),"")</f>
        <v/>
      </c>
      <c r="C59" s="33" t="str">
        <f>IF(ISNUMBER(A59),CONVERT(Calculations!#REF!,Units_In,Units_Out),"")</f>
        <v/>
      </c>
      <c r="D59" s="33" t="str">
        <f>IF(ISTEXT(Calculations!#REF!),Calculations!#REF!,"")</f>
        <v/>
      </c>
      <c r="E59" s="10" t="str">
        <f t="shared" si="2"/>
        <v/>
      </c>
      <c r="F59" s="34" t="str">
        <f t="shared" si="3"/>
        <v/>
      </c>
      <c r="G59" s="10" t="str">
        <f t="shared" si="1"/>
        <v/>
      </c>
      <c r="H59" s="10" t="str">
        <f>IF(ISNUMBER(A59),Calculations!$A$1,"")</f>
        <v/>
      </c>
    </row>
    <row r="60" spans="1:8" x14ac:dyDescent="0.25">
      <c r="A60" s="10" t="str">
        <f>IF(ISNUMBER(Calculations!#REF!),Calculations!#REF!,"")</f>
        <v/>
      </c>
      <c r="B60" s="33" t="str">
        <f>IF(ISNUMBER(A60),CONVERT(Calculations!#REF!,Units_In,Units_Out),"")</f>
        <v/>
      </c>
      <c r="C60" s="33" t="str">
        <f>IF(ISNUMBER(A60),CONVERT(Calculations!#REF!,Units_In,Units_Out),"")</f>
        <v/>
      </c>
      <c r="D60" s="33" t="str">
        <f>IF(ISTEXT(Calculations!#REF!),Calculations!#REF!,"")</f>
        <v/>
      </c>
      <c r="E60" s="10" t="str">
        <f t="shared" si="2"/>
        <v/>
      </c>
      <c r="F60" s="34" t="str">
        <f t="shared" si="3"/>
        <v/>
      </c>
      <c r="G60" s="10" t="str">
        <f t="shared" si="1"/>
        <v/>
      </c>
      <c r="H60" s="10" t="str">
        <f>IF(ISNUMBER(A60),Calculations!$A$1,"")</f>
        <v/>
      </c>
    </row>
    <row r="61" spans="1:8" x14ac:dyDescent="0.25">
      <c r="A61" s="10" t="str">
        <f>IF(ISNUMBER(Calculations!#REF!),Calculations!#REF!,"")</f>
        <v/>
      </c>
      <c r="B61" s="33" t="str">
        <f>IF(ISNUMBER(A61),CONVERT(Calculations!#REF!,Units_In,Units_Out),"")</f>
        <v/>
      </c>
      <c r="C61" s="33" t="str">
        <f>IF(ISNUMBER(A61),CONVERT(Calculations!#REF!,Units_In,Units_Out),"")</f>
        <v/>
      </c>
      <c r="D61" s="33" t="str">
        <f>IF(ISTEXT(Calculations!#REF!),Calculations!#REF!,"")</f>
        <v/>
      </c>
      <c r="E61" s="10" t="str">
        <f t="shared" si="2"/>
        <v/>
      </c>
      <c r="F61" s="34" t="str">
        <f t="shared" si="3"/>
        <v/>
      </c>
      <c r="G61" s="10" t="str">
        <f t="shared" si="1"/>
        <v/>
      </c>
      <c r="H61" s="10" t="str">
        <f>IF(ISNUMBER(A61),Calculations!$A$1,"")</f>
        <v/>
      </c>
    </row>
    <row r="62" spans="1:8" x14ac:dyDescent="0.25">
      <c r="A62" s="10" t="str">
        <f>IF(ISNUMBER(Calculations!#REF!),Calculations!#REF!,"")</f>
        <v/>
      </c>
      <c r="B62" s="33" t="str">
        <f>IF(ISNUMBER(A62),CONVERT(Calculations!#REF!,Units_In,Units_Out),"")</f>
        <v/>
      </c>
      <c r="C62" s="33" t="str">
        <f>IF(ISNUMBER(A62),CONVERT(Calculations!#REF!,Units_In,Units_Out),"")</f>
        <v/>
      </c>
      <c r="D62" s="33" t="str">
        <f>IF(ISTEXT(Calculations!#REF!),Calculations!#REF!,"")</f>
        <v/>
      </c>
      <c r="E62" s="10" t="str">
        <f t="shared" si="2"/>
        <v/>
      </c>
      <c r="F62" s="34" t="str">
        <f t="shared" si="3"/>
        <v/>
      </c>
      <c r="G62" s="10" t="str">
        <f t="shared" si="1"/>
        <v/>
      </c>
      <c r="H62" s="10" t="str">
        <f>IF(ISNUMBER(A62),Calculations!$A$1,"")</f>
        <v/>
      </c>
    </row>
    <row r="63" spans="1:8" x14ac:dyDescent="0.25">
      <c r="A63" s="10" t="str">
        <f>IF(ISNUMBER(Calculations!#REF!),Calculations!#REF!,"")</f>
        <v/>
      </c>
      <c r="B63" s="33" t="str">
        <f>IF(ISNUMBER(A63),CONVERT(Calculations!#REF!,Units_In,Units_Out),"")</f>
        <v/>
      </c>
      <c r="C63" s="33" t="str">
        <f>IF(ISNUMBER(A63),CONVERT(Calculations!#REF!,Units_In,Units_Out),"")</f>
        <v/>
      </c>
      <c r="D63" s="33" t="str">
        <f>IF(ISTEXT(Calculations!#REF!),Calculations!#REF!,"")</f>
        <v/>
      </c>
      <c r="E63" s="10" t="str">
        <f t="shared" si="2"/>
        <v/>
      </c>
      <c r="F63" s="34" t="str">
        <f t="shared" si="3"/>
        <v/>
      </c>
      <c r="G63" s="10" t="str">
        <f t="shared" si="1"/>
        <v/>
      </c>
      <c r="H63" s="10" t="str">
        <f>IF(ISNUMBER(A63),Calculations!$A$1,"")</f>
        <v/>
      </c>
    </row>
    <row r="64" spans="1:8" x14ac:dyDescent="0.25">
      <c r="A64" s="10" t="str">
        <f>IF(ISNUMBER(Calculations!#REF!),Calculations!#REF!,"")</f>
        <v/>
      </c>
      <c r="B64" s="33" t="str">
        <f>IF(ISNUMBER(A64),CONVERT(Calculations!#REF!,Units_In,Units_Out),"")</f>
        <v/>
      </c>
      <c r="C64" s="33" t="str">
        <f>IF(ISNUMBER(A64),CONVERT(Calculations!#REF!,Units_In,Units_Out),"")</f>
        <v/>
      </c>
      <c r="D64" s="33" t="str">
        <f>IF(ISTEXT(Calculations!#REF!),Calculations!#REF!,"")</f>
        <v/>
      </c>
      <c r="E64" s="10" t="str">
        <f t="shared" si="2"/>
        <v/>
      </c>
      <c r="F64" s="34" t="str">
        <f t="shared" si="3"/>
        <v/>
      </c>
      <c r="G64" s="10" t="str">
        <f t="shared" si="1"/>
        <v/>
      </c>
      <c r="H64" s="10" t="str">
        <f>IF(ISNUMBER(A64),Calculations!$A$1,"")</f>
        <v/>
      </c>
    </row>
    <row r="65" spans="1:8" x14ac:dyDescent="0.25">
      <c r="A65" s="10" t="str">
        <f>IF(ISNUMBER(Calculations!#REF!),Calculations!#REF!,"")</f>
        <v/>
      </c>
      <c r="B65" s="33" t="str">
        <f>IF(ISNUMBER(A65),CONVERT(Calculations!#REF!,Units_In,Units_Out),"")</f>
        <v/>
      </c>
      <c r="C65" s="33" t="str">
        <f>IF(ISNUMBER(A65),CONVERT(Calculations!#REF!,Units_In,Units_Out),"")</f>
        <v/>
      </c>
      <c r="D65" s="33" t="str">
        <f>IF(ISTEXT(Calculations!#REF!),Calculations!#REF!,"")</f>
        <v/>
      </c>
      <c r="E65" s="10" t="str">
        <f t="shared" si="2"/>
        <v/>
      </c>
      <c r="F65" s="34" t="str">
        <f t="shared" si="3"/>
        <v/>
      </c>
      <c r="G65" s="10" t="str">
        <f t="shared" si="1"/>
        <v/>
      </c>
      <c r="H65" s="10" t="str">
        <f>IF(ISNUMBER(A65),Calculations!$A$1,"")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sqref="A1:L32"/>
    </sheetView>
  </sheetViews>
  <sheetFormatPr defaultRowHeight="15" x14ac:dyDescent="0.25"/>
  <cols>
    <col min="1" max="1" width="10" bestFit="1" customWidth="1"/>
    <col min="2" max="2" width="9" bestFit="1" customWidth="1"/>
    <col min="3" max="3" width="12" bestFit="1" customWidth="1"/>
    <col min="4" max="4" width="7.85546875" bestFit="1" customWidth="1"/>
    <col min="5" max="6" width="12.7109375" bestFit="1" customWidth="1"/>
    <col min="7" max="7" width="12.7109375" style="10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Calculations</vt:lpstr>
      <vt:lpstr>GoogleEarth</vt:lpstr>
      <vt:lpstr>Sheet1</vt:lpstr>
      <vt:lpstr>bA</vt:lpstr>
      <vt:lpstr>CS_End</vt:lpstr>
      <vt:lpstr>CS_Start</vt:lpstr>
      <vt:lpstr>DfromL</vt:lpstr>
      <vt:lpstr>dZ</vt:lpstr>
      <vt:lpstr>HI</vt:lpstr>
      <vt:lpstr>mA</vt:lpstr>
      <vt:lpstr>mB</vt:lpstr>
      <vt:lpstr>Min_Z</vt:lpstr>
      <vt:lpstr>Old_X0</vt:lpstr>
      <vt:lpstr>Old_X1</vt:lpstr>
      <vt:lpstr>Old_X2</vt:lpstr>
      <vt:lpstr>Old_Y0</vt:lpstr>
      <vt:lpstr>Old_Y1</vt:lpstr>
      <vt:lpstr>Old_Y2</vt:lpstr>
      <vt:lpstr>Old_Z0</vt:lpstr>
      <vt:lpstr>Old_Z1</vt:lpstr>
      <vt:lpstr>Old_Z2</vt:lpstr>
      <vt:lpstr>Units_In</vt:lpstr>
      <vt:lpstr>Units_Out</vt:lpstr>
      <vt:lpstr>xB</vt:lpstr>
      <vt:lpstr>yB</vt:lpstr>
      <vt:lpstr>Zs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kmorse</cp:lastModifiedBy>
  <dcterms:created xsi:type="dcterms:W3CDTF">2011-11-09T05:33:48Z</dcterms:created>
  <dcterms:modified xsi:type="dcterms:W3CDTF">2013-09-16T18:43:42Z</dcterms:modified>
</cp:coreProperties>
</file>