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Calculations!$AB$21:$AB$45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Calculations!$X$21:$X$61</definedName>
    <definedName name="yB">Calculations!$Y$21:$Y$61</definedName>
    <definedName name="Zs">Calculations!$W$21:$W$44</definedName>
  </definedNames>
  <calcPr calcId="145621"/>
</workbook>
</file>

<file path=xl/calcChain.xml><?xml version="1.0" encoding="utf-8"?>
<calcChain xmlns="http://schemas.openxmlformats.org/spreadsheetml/2006/main">
  <c r="I40" i="1" l="1"/>
  <c r="J40" i="1" s="1"/>
  <c r="G40" i="1"/>
  <c r="H40" i="1" s="1"/>
  <c r="I39" i="1"/>
  <c r="J39" i="1" s="1"/>
  <c r="G39" i="1"/>
  <c r="H39" i="1" s="1"/>
  <c r="I38" i="1"/>
  <c r="J38" i="1" s="1"/>
  <c r="G38" i="1"/>
  <c r="H38" i="1" s="1"/>
  <c r="L40" i="1" l="1"/>
  <c r="K40" i="1"/>
  <c r="N40" i="1"/>
  <c r="L39" i="1"/>
  <c r="K39" i="1"/>
  <c r="N39" i="1"/>
  <c r="L38" i="1"/>
  <c r="K38" i="1"/>
  <c r="N38" i="1"/>
  <c r="G36" i="1"/>
  <c r="H36" i="1" s="1"/>
  <c r="I36" i="1"/>
  <c r="J36" i="1" s="1"/>
  <c r="N36" i="1"/>
  <c r="G37" i="1"/>
  <c r="H37" i="1" s="1"/>
  <c r="I37" i="1"/>
  <c r="J37" i="1" s="1"/>
  <c r="K37" i="1" l="1"/>
  <c r="L37" i="1"/>
  <c r="N37" i="1"/>
  <c r="K36" i="1"/>
  <c r="L36" i="1"/>
  <c r="X22" i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 l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39" i="1" l="1"/>
  <c r="V38" i="1"/>
  <c r="V40" i="1"/>
  <c r="V36" i="1"/>
  <c r="V37" i="1"/>
  <c r="V34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40" i="1" l="1"/>
  <c r="P40" i="1" s="1"/>
  <c r="Q40" i="1" s="1"/>
  <c r="S40" i="1" s="1"/>
  <c r="U40" i="1" s="1"/>
  <c r="O38" i="1"/>
  <c r="P38" i="1" s="1"/>
  <c r="Q38" i="1" s="1"/>
  <c r="R38" i="1" s="1"/>
  <c r="T38" i="1" s="1"/>
  <c r="O39" i="1"/>
  <c r="P39" i="1" s="1"/>
  <c r="Q39" i="1" s="1"/>
  <c r="O37" i="1"/>
  <c r="P37" i="1" s="1"/>
  <c r="Q37" i="1" s="1"/>
  <c r="O36" i="1"/>
  <c r="P36" i="1" s="1"/>
  <c r="Q36" i="1" s="1"/>
  <c r="O35" i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R40" i="1" l="1"/>
  <c r="T40" i="1" s="1"/>
  <c r="X40" i="1" s="1"/>
  <c r="S38" i="1"/>
  <c r="U38" i="1" s="1"/>
  <c r="S39" i="1"/>
  <c r="U39" i="1" s="1"/>
  <c r="R39" i="1"/>
  <c r="T39" i="1" s="1"/>
  <c r="X38" i="1"/>
  <c r="R36" i="1"/>
  <c r="T36" i="1" s="1"/>
  <c r="X36" i="1" s="1"/>
  <c r="S36" i="1"/>
  <c r="U36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Y40" i="1" l="1"/>
  <c r="X39" i="1"/>
  <c r="Y38" i="1"/>
  <c r="Y36" i="1"/>
  <c r="X37" i="1"/>
  <c r="Y35" i="1"/>
  <c r="Y34" i="1"/>
  <c r="Y5" i="1"/>
  <c r="Y8" i="1" s="1"/>
  <c r="X9" i="1"/>
  <c r="Y9" i="1"/>
  <c r="Y39" i="1" l="1"/>
  <c r="Y37" i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40" i="1" l="1"/>
  <c r="W38" i="1"/>
  <c r="W39" i="1"/>
  <c r="W37" i="1"/>
  <c r="W36" i="1"/>
  <c r="W35" i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E7" i="2" l="1"/>
  <c r="E19" i="2"/>
  <c r="Y28" i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40" i="1" l="1"/>
  <c r="AF40" i="1" s="1"/>
  <c r="AD38" i="1"/>
  <c r="AF38" i="1" s="1"/>
  <c r="AD39" i="1"/>
  <c r="AF39" i="1" s="1"/>
  <c r="AD36" i="1"/>
  <c r="AF36" i="1" s="1"/>
  <c r="AD37" i="1"/>
  <c r="AF37" i="1" s="1"/>
  <c r="AD34" i="1"/>
  <c r="AF34" i="1" s="1"/>
  <c r="AD35" i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40" i="1" l="1"/>
  <c r="Z39" i="1"/>
  <c r="Z38" i="1"/>
  <c r="Z36" i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AA31" i="1" s="1"/>
  <c r="Z29" i="1"/>
  <c r="AA29" i="1" s="1"/>
  <c r="Z33" i="1"/>
  <c r="AA33" i="1" s="1"/>
  <c r="Z27" i="1"/>
  <c r="AA27" i="1" s="1"/>
  <c r="Z26" i="1"/>
  <c r="Z30" i="1"/>
  <c r="AA30" i="1" s="1"/>
  <c r="AA26" i="1" l="1"/>
  <c r="AC26" i="1" s="1"/>
  <c r="AE26" i="1" s="1"/>
  <c r="AA40" i="1"/>
  <c r="AB40" i="1" s="1"/>
  <c r="AA39" i="1"/>
  <c r="AB39" i="1" s="1"/>
  <c r="AA38" i="1"/>
  <c r="AA36" i="1"/>
  <c r="AB36" i="1" s="1"/>
  <c r="AA37" i="1"/>
  <c r="AB37" i="1" s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4" i="1"/>
  <c r="AB31" i="1"/>
  <c r="AB25" i="1"/>
  <c r="AB30" i="1"/>
  <c r="AB26" i="1" l="1"/>
  <c r="AC40" i="1"/>
  <c r="AE40" i="1" s="1"/>
  <c r="AC38" i="1"/>
  <c r="AE38" i="1" s="1"/>
  <c r="AB38" i="1"/>
  <c r="AC39" i="1"/>
  <c r="AE39" i="1" s="1"/>
  <c r="AC36" i="1"/>
  <c r="AE36" i="1" s="1"/>
  <c r="AC37" i="1"/>
  <c r="AE37" i="1" s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32" i="1"/>
  <c r="AE32" i="1" s="1"/>
  <c r="AC29" i="1"/>
  <c r="AE29" i="1" s="1"/>
  <c r="AC30" i="1"/>
  <c r="AE30" i="1" s="1"/>
  <c r="AC28" i="1"/>
  <c r="AE28" i="1" s="1"/>
  <c r="AB23" i="1"/>
  <c r="AC9" i="1" l="1"/>
  <c r="AI39" i="1"/>
  <c r="AJ39" i="1" s="1"/>
  <c r="AI38" i="1"/>
  <c r="AJ38" i="1" s="1"/>
  <c r="AI40" i="1"/>
  <c r="AJ40" i="1" s="1"/>
  <c r="AI36" i="1"/>
  <c r="AJ36" i="1" s="1"/>
  <c r="AI37" i="1"/>
  <c r="AJ37" i="1" s="1"/>
  <c r="AI34" i="1"/>
  <c r="AJ34" i="1" s="1"/>
  <c r="AI35" i="1"/>
  <c r="AJ35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<sst xmlns="http://schemas.openxmlformats.org/spreadsheetml/2006/main" count="106" uniqueCount="91">
  <si>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</si>
  <si>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</si>
  <si>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</si>
  <si>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</si>
  <si>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</si>
  <si>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</si>
  <si>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</si>
  <si>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</si>
  <si>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</si>
  <si>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</si>
  <si>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</si>
  <si>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</si>
  <si>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</si>
  <si>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</si>
  <si>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</si>
  <si>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</si>
  <si>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</si>
  <si>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</si>
  <si>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</si>
  <si>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</si>
  <si>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</si>
  <si>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</si>
  <si>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</si>
  <si>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</si>
  <si>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</si>
  <si>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</si>
  <si>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</si>
  <si>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</si>
  <si>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</si>
  <si>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</si>
  <si>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</si>
  <si>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</si>
  <si>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</si>
  <si>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</si>
  <si>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</si>
  <si>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</si>
  <si>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</si>
  <si>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</si>
  <si>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</si>
  <si>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</si>
  <si>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</si>
  <si>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</si>
  <si>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</si>
  <si>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</si>
  <si>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</si>
  <si>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</si>
  <si>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</si>
  <si>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</si>
  <si>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</si>
  <si>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</si>
  <si>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</si>
  <si>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</si>
  <si>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</si>
  <si>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</si>
  <si>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</si>
  <si>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</si>
  <si>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</si>
  <si>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</si>
  <si>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</si>
  <si>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</si>
  <si>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</si>
  <si>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</si>
  <si>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</si>
  <si>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</si>
  <si>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</si>
  <si>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</si>
  <si>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</si>
  <si>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</si>
  <si>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</si>
  <si>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</si>
  <si>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</si>
  <si>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</si>
  <si>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</si>
  <si>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</si>
  <si>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</si>
  <si>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</si>
  <si>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</si>
  <si>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</si>
  <si>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</si>
  <si>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</si>
  <si>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</si>
  <si>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</si>
  <si>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</si>
  <si>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</si>
  <si>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</si>
  <si>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 xml:space="preserve">BS </t>
  </si>
  <si>
    <t>DSS5</t>
  </si>
  <si>
    <t>1,1535292.856,3864526.527,3468.322,3468.322,</t>
  </si>
  <si>
    <t>2,1535230.765,3864476.682,3469.793,3469.793,</t>
  </si>
  <si>
    <t>3,1535257.687,3864628.068,3468.136,3468.136,</t>
  </si>
  <si>
    <t>Dfence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</si>
</sst>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Calculations!$AH$23:$AH$60</c:f>
              <c:numCache>
                <c:formatCode>General</c:formatCode>
                <c:ptCount val="38"/>
                <c:pt idx="0">
                  <c:v>0</c:v>
                </c:pt>
                <c:pt idx="1">
                  <c:v>14.31</c:v>
                </c:pt>
                <c:pt idx="2">
                  <c:v>33.119999999999997</c:v>
                </c:pt>
                <c:pt idx="3">
                  <c:v>37.159999999999997</c:v>
                </c:pt>
                <c:pt idx="4">
                  <c:v>38.869999999999997</c:v>
                </c:pt>
                <c:pt idx="5">
                  <c:v>40.32</c:v>
                </c:pt>
                <c:pt idx="6">
                  <c:v>68.8</c:v>
                </c:pt>
                <c:pt idx="7">
                  <c:v>104.39</c:v>
                </c:pt>
                <c:pt idx="8">
                  <c:v>106.11</c:v>
                </c:pt>
                <c:pt idx="9">
                  <c:v>108.33</c:v>
                </c:pt>
                <c:pt idx="10">
                  <c:v>114.25</c:v>
                </c:pt>
                <c:pt idx="11">
                  <c:v>136.57</c:v>
                </c:pt>
                <c:pt idx="12">
                  <c:v>153.68</c:v>
                </c:pt>
              </c:numCache>
            </c:numRef>
          </c:xVal>
          <c:yVal>
            <c:numRef>
              <c:f>Calculations!$AI$23:$AI$60</c:f>
              <c:numCache>
                <c:formatCode>General</c:formatCode>
                <c:ptCount val="38"/>
                <c:pt idx="0">
                  <c:v>4.3</c:v>
                </c:pt>
                <c:pt idx="1">
                  <c:v>3.06</c:v>
                </c:pt>
                <c:pt idx="2">
                  <c:v>2.0499999999999998</c:v>
                </c:pt>
                <c:pt idx="3">
                  <c:v>1</c:v>
                </c:pt>
                <c:pt idx="4">
                  <c:v>0.4</c:v>
                </c:pt>
                <c:pt idx="5">
                  <c:v>0.05</c:v>
                </c:pt>
                <c:pt idx="6">
                  <c:v>0</c:v>
                </c:pt>
                <c:pt idx="7">
                  <c:v>0.16</c:v>
                </c:pt>
                <c:pt idx="8">
                  <c:v>0.38</c:v>
                </c:pt>
                <c:pt idx="9">
                  <c:v>0.79</c:v>
                </c:pt>
                <c:pt idx="10">
                  <c:v>1.69</c:v>
                </c:pt>
                <c:pt idx="11">
                  <c:v>1.71</c:v>
                </c:pt>
                <c:pt idx="12">
                  <c:v>1.51</c:v>
                </c:pt>
                <c:pt idx="13">
                  <c:v>4.3</c:v>
                </c:pt>
                <c:pt idx="14">
                  <c:v>4.3</c:v>
                </c:pt>
                <c:pt idx="15">
                  <c:v>4.3</c:v>
                </c:pt>
                <c:pt idx="16">
                  <c:v>4.3</c:v>
                </c:pt>
                <c:pt idx="17">
                  <c:v>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6624"/>
        <c:axId val="106268160"/>
      </c:scatterChart>
      <c:valAx>
        <c:axId val="1062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68160"/>
        <c:crosses val="autoZero"/>
        <c:crossBetween val="midCat"/>
      </c:valAx>
      <c:valAx>
        <c:axId val="1062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6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Calculations!$R$23:$R$38</c:f>
              <c:numCache>
                <c:formatCode>0.00</c:formatCode>
                <c:ptCount val="16"/>
                <c:pt idx="0">
                  <c:v>90.171977951840347</c:v>
                </c:pt>
                <c:pt idx="1">
                  <c:v>64.413267702472169</c:v>
                </c:pt>
                <c:pt idx="2">
                  <c:v>28.014514665258456</c:v>
                </c:pt>
                <c:pt idx="3">
                  <c:v>22.721708293298548</c:v>
                </c:pt>
                <c:pt idx="4">
                  <c:v>23.713270371707395</c:v>
                </c:pt>
                <c:pt idx="5">
                  <c:v>23.382883528768275</c:v>
                </c:pt>
                <c:pt idx="6">
                  <c:v>25.816247208485759</c:v>
                </c:pt>
                <c:pt idx="7">
                  <c:v>27.057816054331088</c:v>
                </c:pt>
                <c:pt idx="8">
                  <c:v>28.020852813339662</c:v>
                </c:pt>
                <c:pt idx="9">
                  <c:v>36.224485740956524</c:v>
                </c:pt>
                <c:pt idx="10">
                  <c:v>48.08206525153598</c:v>
                </c:pt>
                <c:pt idx="11">
                  <c:v>49.169573775916838</c:v>
                </c:pt>
                <c:pt idx="12">
                  <c:v>50.414409487362583</c:v>
                </c:pt>
                <c:pt idx="13">
                  <c:v>52.417529806430423</c:v>
                </c:pt>
                <c:pt idx="14">
                  <c:v>60.203204839794509</c:v>
                </c:pt>
                <c:pt idx="15">
                  <c:v>65.39644032398634</c:v>
                </c:pt>
              </c:numCache>
            </c:numRef>
          </c:xVal>
          <c:yVal>
            <c:numRef>
              <c:f>Calculations!$S$23:$S$38</c:f>
              <c:numCache>
                <c:formatCode>0.00</c:formatCode>
                <c:ptCount val="16"/>
                <c:pt idx="0">
                  <c:v>-219.71451497182883</c:v>
                </c:pt>
                <c:pt idx="1">
                  <c:v>-137.94153401052446</c:v>
                </c:pt>
                <c:pt idx="2">
                  <c:v>-44.342845536815069</c:v>
                </c:pt>
                <c:pt idx="3">
                  <c:v>-6.7094403958494517</c:v>
                </c:pt>
                <c:pt idx="4">
                  <c:v>8.0383670187769543</c:v>
                </c:pt>
                <c:pt idx="5">
                  <c:v>27.949531413094654</c:v>
                </c:pt>
                <c:pt idx="6">
                  <c:v>31.401146151889993</c:v>
                </c:pt>
                <c:pt idx="7">
                  <c:v>32.789928689103107</c:v>
                </c:pt>
                <c:pt idx="8">
                  <c:v>34.008000956478497</c:v>
                </c:pt>
                <c:pt idx="9">
                  <c:v>61.28521512686109</c:v>
                </c:pt>
                <c:pt idx="10">
                  <c:v>94.847404542400071</c:v>
                </c:pt>
                <c:pt idx="11">
                  <c:v>96.301658255521517</c:v>
                </c:pt>
                <c:pt idx="12">
                  <c:v>98.227696068876838</c:v>
                </c:pt>
                <c:pt idx="13">
                  <c:v>103.80734033427257</c:v>
                </c:pt>
                <c:pt idx="14">
                  <c:v>124.73472409424824</c:v>
                </c:pt>
                <c:pt idx="15">
                  <c:v>141.0396034459271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2480"/>
        <c:axId val="106413440"/>
      </c:scatterChart>
      <c:valAx>
        <c:axId val="106372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413440"/>
        <c:crosses val="autoZero"/>
        <c:crossBetween val="midCat"/>
      </c:valAx>
      <c:valAx>
        <c:axId val="106413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37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Calculations!$Z$21:$Z$40</c:f>
              <c:numCache>
                <c:formatCode>0.00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3864542.8899423219</c:v>
                </c:pt>
                <c:pt idx="6">
                  <c:v>3864547.3809017269</c:v>
                </c:pt>
                <c:pt idx="7">
                  <c:v>3864553.2798968432</c:v>
                </c:pt>
                <c:pt idx="8">
                  <c:v>3864554.547652334</c:v>
                </c:pt>
                <c:pt idx="9">
                  <c:v>3864555.0835804157</c:v>
                </c:pt>
                <c:pt idx="10">
                  <c:v>3864555.5412373734</c:v>
                </c:pt>
                <c:pt idx="11">
                  <c:v>3864564.474599184</c:v>
                </c:pt>
                <c:pt idx="12">
                  <c:v>3864575.6399171986</c:v>
                </c:pt>
                <c:pt idx="13">
                  <c:v>3864576.1801844831</c:v>
                </c:pt>
                <c:pt idx="14">
                  <c:v>3864576.8764819433</c:v>
                </c:pt>
                <c:pt idx="15">
                  <c:v>3864578.7358252327</c:v>
                </c:pt>
                <c:pt idx="16">
                  <c:v>3864585.7364381091</c:v>
                </c:pt>
                <c:pt idx="17">
                  <c:v>3864591.10483034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Calculations!$AA$21:$AA$40</c:f>
              <c:numCache>
                <c:formatCode>0.00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1535288.247645501</c:v>
                </c:pt>
                <c:pt idx="6">
                  <c:v>1535301.8391696997</c:v>
                </c:pt>
                <c:pt idx="7">
                  <c:v>1535319.6919997148</c:v>
                </c:pt>
                <c:pt idx="8">
                  <c:v>1535323.5287588295</c:v>
                </c:pt>
                <c:pt idx="9">
                  <c:v>1535325.1507016774</c:v>
                </c:pt>
                <c:pt idx="10">
                  <c:v>1535326.5357633214</c:v>
                </c:pt>
                <c:pt idx="11">
                  <c:v>1535353.5718578976</c:v>
                </c:pt>
                <c:pt idx="12">
                  <c:v>1535387.3627868034</c:v>
                </c:pt>
                <c:pt idx="13">
                  <c:v>1535388.9978618957</c:v>
                </c:pt>
                <c:pt idx="14">
                  <c:v>1535391.1051496547</c:v>
                </c:pt>
                <c:pt idx="15">
                  <c:v>1535396.7323012352</c:v>
                </c:pt>
                <c:pt idx="16">
                  <c:v>1535417.9190880042</c:v>
                </c:pt>
                <c:pt idx="17">
                  <c:v>1535434.1660914458</c:v>
                </c:pt>
                <c:pt idx="18">
                  <c:v>#N/A</c:v>
                </c:pt>
                <c:pt idx="1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6960"/>
        <c:axId val="108068864"/>
      </c:scatterChart>
      <c:valAx>
        <c:axId val="1074969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8068864"/>
        <c:crosses val="autoZero"/>
        <c:crossBetween val="midCat"/>
      </c:valAx>
      <c:valAx>
        <c:axId val="108068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49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Calculations!$L$51:$L$77</c:f>
              <c:numCache>
                <c:formatCode>General</c:formatCode>
                <c:ptCount val="27"/>
              </c:numCache>
            </c:numRef>
          </c:xVal>
          <c:yVal>
            <c:numRef>
              <c:f>Calculations!$M$51:$M$77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(Calculations!$L$49:$L$50,Calculations!$L$78:$L$79)</c:f>
              <c:numCache>
                <c:formatCode>General</c:formatCode>
                <c:ptCount val="4"/>
              </c:numCache>
            </c:numRef>
          </c:xVal>
          <c:yVal>
            <c:numRef>
              <c:f>(Calculations!$M$49:$M$50,Calculations!$M$78:$M$79)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3648"/>
        <c:axId val="121965184"/>
      </c:scatterChart>
      <c:valAx>
        <c:axId val="1219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65184"/>
        <c:crosses val="autoZero"/>
        <c:crossBetween val="midCat"/>
      </c:valAx>
      <c:valAx>
        <c:axId val="121965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963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599262</xdr:colOff>
      <xdr:row>41</xdr:row>
      <xdr:rowOff>123749</xdr:rowOff>
    </xdr:from>
    <xdr:to>
      <xdr:col>34</xdr:col>
      <xdr:colOff>167833</xdr:colOff>
      <xdr:row>56</xdr:row>
      <xdr:rowOff>9449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705971</xdr:colOff>
      <xdr:row>42</xdr:row>
      <xdr:rowOff>8988</xdr:rowOff>
    </xdr:from>
    <xdr:to>
      <xdr:col>20</xdr:col>
      <xdr:colOff>654100</xdr:colOff>
      <xdr:row>56</xdr:row>
      <xdr:rowOff>85188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179294</xdr:colOff>
      <xdr:row>41</xdr:row>
      <xdr:rowOff>129988</xdr:rowOff>
    </xdr:from>
    <xdr:to>
      <xdr:col>27</xdr:col>
      <xdr:colOff>392206</xdr:colOff>
      <xdr:row>56</xdr:row>
      <xdr:rowOff>15688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79"/>
  <sheetViews>
    <sheetView tabSelected="1" topLeftCell="M10" zoomScale="85" zoomScaleNormal="85" workbookViewId="0">
      <selection activeCell="AJ23" sqref="AJ23:AJ35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86</v>
      </c>
      <c r="B1" s="61"/>
      <c r="C1" s="51">
        <v>40839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4.6822999999999997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71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3.0264188499167495</v>
      </c>
    </row>
    <row r="4" spans="1:29" ht="18" x14ac:dyDescent="0.35">
      <c r="A4" s="60" t="s">
        <v>67</v>
      </c>
      <c r="B4" s="61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3864526.5269999998</v>
      </c>
      <c r="O4" s="20">
        <f>VALUE(MID(C10,FIND(",",C10,1)+1,FIND(",",C10,5)-FIND(",",C10,1)-1))</f>
        <v>1535292.8559999999</v>
      </c>
      <c r="P4" s="20">
        <f>VALUE(MID(C10,FIND(",",C10,17)+1,FIND(",",C10,27)-FIND(",",C10,17)-1))</f>
        <v>3468.3220000000001</v>
      </c>
      <c r="Q4" s="23"/>
      <c r="R4" s="22"/>
      <c r="W4" s="27"/>
      <c r="X4" s="20">
        <f ca="1">VALUE(OFFSET($P$3,MATCH($O$10,$M$4:$M$6,0),0))</f>
        <v>3469.7930000000001</v>
      </c>
      <c r="Y4" s="20">
        <f ca="1">OFFSET($P$3,MATCH($Q$10,$M$4:$M$6,0),0)</f>
        <v>3468.136</v>
      </c>
      <c r="Z4" s="2"/>
      <c r="AA4" s="26" t="s">
        <v>41</v>
      </c>
      <c r="AB4" s="26" t="s">
        <v>54</v>
      </c>
      <c r="AC4" s="28">
        <f ca="1">INTERCEPT(yB,xB)</f>
        <v>-10160437.200787691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3864476.682</v>
      </c>
      <c r="O5" s="20">
        <f t="shared" ref="O5:O6" si="1">VALUE(MID(C11,FIND(",",C11,1)+1,FIND(",",C11,5)-FIND(",",C11,1)-1))</f>
        <v>1535230.7649999999</v>
      </c>
      <c r="P5" s="20">
        <f t="shared" ref="P5:P6" si="2">VALUE(MID(C11,FIND(",",C11,17)+1,FIND(",",C11,27)-FIND(",",C11,17)-1))</f>
        <v>3469.7930000000001</v>
      </c>
      <c r="Q5" s="24">
        <f>DEGREES(ATAN2(Old_Y1-Old_Y0,Old_X1-Old_X0))+IF(Old_X1-Old_X0&lt;0,360)</f>
        <v>218.75656822385506</v>
      </c>
      <c r="R5" s="22"/>
      <c r="W5" s="21"/>
      <c r="X5" s="20">
        <f ca="1">VALUE(OFFSET($V$20,MATCH($O11,$A$21:$A$45,0),0))</f>
        <v>3469.3941173087542</v>
      </c>
      <c r="Y5" s="20">
        <f ca="1">OFFSET($V$20,MATCH($Q11,$A$21:$A$45,0),0)</f>
        <v>3469.0731946712331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6</v>
      </c>
      <c r="D6" s="4"/>
      <c r="E6" s="44"/>
      <c r="F6" s="44"/>
      <c r="M6" s="22">
        <v>2</v>
      </c>
      <c r="N6" s="20">
        <f t="shared" si="0"/>
        <v>3864628.068</v>
      </c>
      <c r="O6" s="20">
        <f t="shared" si="1"/>
        <v>1535257.6869999999</v>
      </c>
      <c r="P6" s="20">
        <f t="shared" si="2"/>
        <v>3468.136</v>
      </c>
      <c r="Q6" s="24">
        <f>DEGREES(ATAN2(Old_Y2-Old_Y0,Old_X2-Old_X0))+IF(Old_X2-Old_X0&lt;0,360)</f>
        <v>109.10366598955345</v>
      </c>
      <c r="R6" s="22"/>
      <c r="W6" s="21"/>
      <c r="X6" s="20">
        <f ca="1">VALUE(OFFSET($V$20,MATCH($O12,$A$21:$A$55,0),0))</f>
        <v>3469.3936808949393</v>
      </c>
      <c r="Y6" s="20">
        <f ca="1">VALUE(OFFSET($V$20,MATCH($O12,$A$21:$A$55,0),0))</f>
        <v>3469.3936808949393</v>
      </c>
      <c r="Z6" s="5"/>
      <c r="AA6" s="26" t="s">
        <v>42</v>
      </c>
      <c r="AB6" s="21" t="s">
        <v>55</v>
      </c>
      <c r="AC6" s="20">
        <f ca="1">-1/mA</f>
        <v>-0.33042353011629833</v>
      </c>
    </row>
    <row r="7" spans="1:29" x14ac:dyDescent="0.25">
      <c r="A7" s="62" t="s">
        <v>18</v>
      </c>
      <c r="B7" s="62"/>
      <c r="C7" s="38">
        <v>18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-0.39888269124594444</v>
      </c>
      <c r="Y8" s="20">
        <f ca="1">Y5-Y4</f>
        <v>0.93719467123310096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-0.39931910506084023</v>
      </c>
      <c r="Y9" s="20">
        <f ca="1">Y6-Y4</f>
        <v>1.2576808949393126</v>
      </c>
      <c r="AA9" s="31" t="s">
        <v>49</v>
      </c>
      <c r="AB9" s="31"/>
      <c r="AC9" s="20">
        <f ca="1">AVERAGE(DfromL)</f>
        <v>1.8315773393220094</v>
      </c>
    </row>
    <row r="10" spans="1:29" s="16" customFormat="1" x14ac:dyDescent="0.25">
      <c r="A10" s="53"/>
      <c r="B10" s="48"/>
      <c r="C10" s="35" t="s">
        <v>87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218.75656822385506</v>
      </c>
      <c r="Q10" s="32">
        <v>2</v>
      </c>
      <c r="R10" s="20">
        <f ca="1">OFFSET($Q$3,MATCH($O$10,$M$4:$M$6,0),0)</f>
        <v>218.75656822385506</v>
      </c>
      <c r="W10" s="22"/>
      <c r="X10" s="22"/>
      <c r="Y10" s="22"/>
      <c r="AA10" s="31" t="s">
        <v>50</v>
      </c>
      <c r="AB10" s="31"/>
      <c r="AC10" s="20">
        <f ca="1">_xlfn.STDEV.P(DfromL)</f>
        <v>1.7209649292619187</v>
      </c>
    </row>
    <row r="11" spans="1:29" s="16" customFormat="1" x14ac:dyDescent="0.25">
      <c r="A11" s="14"/>
      <c r="B11" s="48"/>
      <c r="C11" s="35" t="s">
        <v>88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OFFSET($N$20,MATCH($O11,$A$21:$A$45,0),0)</f>
        <v>0</v>
      </c>
      <c r="Q11" s="32">
        <v>2</v>
      </c>
      <c r="R11" s="20">
        <f ca="1">OFFSET($N$20,MATCH($Q11,$A$21:$A$45,0),0)</f>
        <v>251.10972222222222</v>
      </c>
      <c r="W11" s="21" t="s">
        <v>37</v>
      </c>
      <c r="X11" s="20">
        <f ca="1">AVERAGE(X8:Y9)</f>
        <v>0.34916844246640721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89</v>
      </c>
      <c r="D12" s="36"/>
      <c r="E12" s="37"/>
      <c r="F12" s="47"/>
      <c r="M12" s="55" t="s">
        <v>30</v>
      </c>
      <c r="N12" s="55"/>
      <c r="O12" s="32">
        <v>19</v>
      </c>
      <c r="P12" s="20">
        <f ca="1">OFFSET($N$20,MATCH($O12,$A$21:$A$55,0),0)</f>
        <v>359.98694444444442</v>
      </c>
      <c r="Q12" s="32">
        <v>20</v>
      </c>
      <c r="R12" s="20">
        <f ca="1">OFFSET($N$20,MATCH($Q12,$A$21:$A$45,0),0)</f>
        <v>251.0647222222222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3464.2866935233487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218.75656822385506</v>
      </c>
      <c r="Q14" s="20"/>
      <c r="R14" s="20">
        <f ca="1">R10-R11+IF(R11&gt;R10,360)</f>
        <v>327.64684600163287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218.76962377941064</v>
      </c>
      <c r="Q15" s="20"/>
      <c r="R15" s="20">
        <f ca="1">R10-R12+IF(R12&gt;R10,360)</f>
        <v>327.69184600163283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273.21622100163285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82</v>
      </c>
      <c r="H20" s="12" t="s">
        <v>76</v>
      </c>
      <c r="I20" s="12" t="s">
        <v>81</v>
      </c>
      <c r="J20" s="12" t="s">
        <v>80</v>
      </c>
      <c r="K20" s="3" t="s">
        <v>74</v>
      </c>
      <c r="L20" s="3" t="s">
        <v>75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79</v>
      </c>
      <c r="R20" s="19" t="s">
        <v>77</v>
      </c>
      <c r="S20" s="19" t="s">
        <v>78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72</v>
      </c>
      <c r="AF20" s="19" t="s">
        <v>73</v>
      </c>
      <c r="AG20" s="19"/>
      <c r="AH20" s="19"/>
      <c r="AI20" s="19"/>
    </row>
    <row r="21" spans="1:36" x14ac:dyDescent="0.25">
      <c r="A21" s="44">
        <v>1</v>
      </c>
      <c r="B21" s="48">
        <v>0</v>
      </c>
      <c r="C21" s="48">
        <v>3.7120601851851851</v>
      </c>
      <c r="D21" s="44">
        <v>81.554000000000002</v>
      </c>
      <c r="E21" s="44">
        <v>4.9062000000000001</v>
      </c>
      <c r="F21" s="49" t="s">
        <v>84</v>
      </c>
      <c r="G21" s="43">
        <f>C21*24</f>
        <v>89.089444444444439</v>
      </c>
      <c r="H21" s="43">
        <f>RADIANS(G21)</f>
        <v>1.5549041343281258</v>
      </c>
      <c r="I21" s="43">
        <f t="shared" ref="I21:I33" si="3">B21*24</f>
        <v>0</v>
      </c>
      <c r="J21" s="39">
        <f>RADIANS(I21)</f>
        <v>0</v>
      </c>
      <c r="K21" s="39">
        <f>D21*SIN(H21)</f>
        <v>81.543701504993081</v>
      </c>
      <c r="L21" s="15">
        <f>D21*COS(H21)</f>
        <v>1.2960173087541487</v>
      </c>
      <c r="M21" s="13"/>
      <c r="N21" s="16">
        <f t="shared" ref="N21:N33" si="4">I21+M21</f>
        <v>0</v>
      </c>
      <c r="O21" s="16">
        <f ca="1">$O$17</f>
        <v>273.21622100163285</v>
      </c>
      <c r="P21" s="16">
        <f ca="1">SUM(N21,O21)</f>
        <v>273.21622100163285</v>
      </c>
      <c r="Q21" s="16">
        <f ca="1">RADIANS(P21)</f>
        <v>4.7685226263349731</v>
      </c>
      <c r="R21" s="16">
        <f t="shared" ref="R21:R33" ca="1" si="5">K21*SIN(Q21)</f>
        <v>-81.415263696405091</v>
      </c>
      <c r="S21" s="16">
        <f t="shared" ref="S21:S33" ca="1" si="6">K21*COS(Q21)</f>
        <v>4.5749417898192632</v>
      </c>
      <c r="T21" s="13">
        <f t="shared" ref="T21:T33" ca="1" si="7">Old_X0+R21</f>
        <v>3864445.1117363032</v>
      </c>
      <c r="U21" s="13">
        <f t="shared" ref="U21:U33" ca="1" si="8">Old_Y0+S21</f>
        <v>1535297.4309417896</v>
      </c>
      <c r="V21" s="16">
        <f t="shared" ref="V21:V33" si="9">Old_Z0+HI+L21-E21</f>
        <v>3469.3941173087542</v>
      </c>
      <c r="W21" s="16">
        <f t="shared" ref="W21:W33" ca="1" si="10">IF(ISNUMBER(T21),V21+dZ,"")</f>
        <v>3469.7432857512204</v>
      </c>
      <c r="X21" s="16" t="str">
        <f t="shared" ref="X21:X40" si="11">IF(AND(A21&gt;=CS_Start,A21&lt;=CS_End),IF(OR(LEFT(UPPER(F21))="D"),"",T21),"")</f>
        <v/>
      </c>
      <c r="Y21" s="16" t="str">
        <f>IF(ISNUMBER(X21),U21,"")</f>
        <v/>
      </c>
      <c r="Z21" s="16" t="e">
        <f t="shared" ref="Z21:Z40" si="12">IF(X21="",NA(),VALUE((-mB*X21+Y21-bA)/(mA-mB)))</f>
        <v>#N/A</v>
      </c>
      <c r="AA21" s="16" t="e">
        <f t="shared" ref="AA21:AA40" si="13">IF(ISNA(Z21),NA(),VALUE(mA*Z21+bA))</f>
        <v>#N/A</v>
      </c>
      <c r="AB21" s="16" t="str">
        <f>IF(ISNUMBER(X21),SQRT((X21-Z21)^2+(Y21-AA21)^2),"")</f>
        <v/>
      </c>
      <c r="AC21" s="16" t="str">
        <f ca="1">IF(ISNUMBER(Z21),SQRT(($Z21-OFFSET($Z$20,MATCH(CS_Start,$A$21:$A$45,0),0))^2+($AA21-OFFSET($AA$20,MATCH(CS_Start,$A$21:$A$45,0),0))^2),"")</f>
        <v/>
      </c>
      <c r="AD21" s="16" t="str">
        <f t="shared" ref="AD21:AD23" si="14">IF(ISNUMBER(X21),W21-Min_Z,"")</f>
        <v/>
      </c>
    </row>
    <row r="22" spans="1:36" x14ac:dyDescent="0.25">
      <c r="A22" s="44">
        <v>2</v>
      </c>
      <c r="B22" s="48">
        <v>10.462905092592592</v>
      </c>
      <c r="C22" s="48">
        <v>3.7277662037037036</v>
      </c>
      <c r="D22" s="44">
        <v>104.70099999999999</v>
      </c>
      <c r="E22" s="44">
        <v>4.9062000000000001</v>
      </c>
      <c r="F22" s="49" t="s">
        <v>85</v>
      </c>
      <c r="G22" s="43">
        <f t="shared" ref="G22:G33" si="15">C22*24</f>
        <v>89.466388888888886</v>
      </c>
      <c r="H22" s="43">
        <f t="shared" ref="H22:H33" si="16">RADIANS(G22)</f>
        <v>1.5614830559807824</v>
      </c>
      <c r="I22" s="43">
        <f t="shared" si="3"/>
        <v>251.10972222222222</v>
      </c>
      <c r="J22" s="39">
        <f t="shared" ref="J22:J33" si="17">RADIANS(I22)</f>
        <v>4.3826914365461498</v>
      </c>
      <c r="K22" s="39">
        <f t="shared" ref="K22:K33" si="18">D22*SIN(H22)</f>
        <v>104.69645930680814</v>
      </c>
      <c r="L22" s="15">
        <f t="shared" ref="L22:L33" si="19">D22*COS(H22)</f>
        <v>0.97509467123268978</v>
      </c>
      <c r="M22" s="13"/>
      <c r="N22" s="16">
        <f t="shared" si="4"/>
        <v>251.10972222222222</v>
      </c>
      <c r="O22" s="16">
        <f t="shared" ref="O22:O40" ca="1" si="20">$O$17</f>
        <v>273.21622100163285</v>
      </c>
      <c r="P22" s="16">
        <f t="shared" ref="P22:P33" ca="1" si="21">SUM(N22,O22)</f>
        <v>524.32594322385512</v>
      </c>
      <c r="Q22" s="16">
        <f t="shared" ref="Q22:Q33" ca="1" si="22">RADIANS(P22)</f>
        <v>9.1512140628811238</v>
      </c>
      <c r="R22" s="16">
        <f t="shared" ca="1" si="5"/>
        <v>28.285268313622211</v>
      </c>
      <c r="S22" s="16">
        <f t="shared" ca="1" si="6"/>
        <v>-100.80323500666302</v>
      </c>
      <c r="T22" s="13">
        <f t="shared" ca="1" si="7"/>
        <v>3864554.8122683135</v>
      </c>
      <c r="U22" s="13">
        <f t="shared" ca="1" si="8"/>
        <v>1535192.0527649932</v>
      </c>
      <c r="V22" s="16">
        <f t="shared" si="9"/>
        <v>3469.0731946712331</v>
      </c>
      <c r="W22" s="16">
        <f t="shared" ca="1" si="10"/>
        <v>3469.4223631136992</v>
      </c>
      <c r="X22" s="47" t="str">
        <f t="shared" si="11"/>
        <v/>
      </c>
      <c r="Y22" s="47" t="str">
        <f t="shared" ref="Y22:Y35" si="23">IF(ISNUMBER(X22),U22,"")</f>
        <v/>
      </c>
      <c r="Z22" s="47" t="e">
        <f t="shared" si="12"/>
        <v>#N/A</v>
      </c>
      <c r="AA22" s="47" t="e">
        <f t="shared" si="13"/>
        <v>#N/A</v>
      </c>
      <c r="AB22" s="16" t="str">
        <f t="shared" ref="AB22:AB23" si="24">IF(ISNUMBER(X22),SQRT((X22-Z22)^2+(Y22-AA22)^2),"")</f>
        <v/>
      </c>
      <c r="AC22" s="16" t="str">
        <f ca="1">IF(ISNUMBER(Z22),SQRT(($Z22-OFFSET($Z$20,MATCH(CS_Start,$A$21:$A$45,0),0))^2+($AA22-OFFSET($AA$20,MATCH(CS_Start,$A$21:$A$45,0),0))^2),"")</f>
        <v/>
      </c>
      <c r="AD22" s="16" t="str">
        <f t="shared" si="14"/>
        <v/>
      </c>
    </row>
    <row r="23" spans="1:36" x14ac:dyDescent="0.25">
      <c r="A23" s="44">
        <v>3</v>
      </c>
      <c r="B23" s="48">
        <v>10.186261574074074</v>
      </c>
      <c r="C23" s="48">
        <v>3.741030092592593</v>
      </c>
      <c r="D23" s="44">
        <v>237.5</v>
      </c>
      <c r="E23" s="44">
        <v>4.9062000000000001</v>
      </c>
      <c r="F23" s="44" t="s">
        <v>90</v>
      </c>
      <c r="G23" s="43">
        <f t="shared" si="15"/>
        <v>89.784722222222229</v>
      </c>
      <c r="H23" s="43">
        <f t="shared" si="16"/>
        <v>1.5670390207662979</v>
      </c>
      <c r="I23" s="43">
        <f t="shared" si="3"/>
        <v>244.47027777777777</v>
      </c>
      <c r="J23" s="39">
        <f t="shared" si="17"/>
        <v>4.2668112704873487</v>
      </c>
      <c r="K23" s="39">
        <f t="shared" si="18"/>
        <v>237.49832356682685</v>
      </c>
      <c r="L23" s="15">
        <f t="shared" si="19"/>
        <v>0.89235808216706058</v>
      </c>
      <c r="M23" s="13"/>
      <c r="N23" s="16">
        <f t="shared" si="4"/>
        <v>244.47027777777777</v>
      </c>
      <c r="O23" s="16">
        <f t="shared" ca="1" si="20"/>
        <v>273.21622100163285</v>
      </c>
      <c r="P23" s="16">
        <f t="shared" ca="1" si="21"/>
        <v>517.68649877941061</v>
      </c>
      <c r="Q23" s="16">
        <f t="shared" ca="1" si="22"/>
        <v>9.0353338968223209</v>
      </c>
      <c r="R23" s="16">
        <f t="shared" ca="1" si="5"/>
        <v>90.171977951840347</v>
      </c>
      <c r="S23" s="16">
        <f t="shared" ca="1" si="6"/>
        <v>-219.71451497182883</v>
      </c>
      <c r="T23" s="13">
        <f t="shared" ca="1" si="7"/>
        <v>3864616.6989779514</v>
      </c>
      <c r="U23" s="13">
        <f t="shared" ca="1" si="8"/>
        <v>1535073.141485028</v>
      </c>
      <c r="V23" s="16">
        <f t="shared" si="9"/>
        <v>3468.9904580821672</v>
      </c>
      <c r="W23" s="16">
        <f t="shared" ca="1" si="10"/>
        <v>3469.3396265246338</v>
      </c>
      <c r="X23" s="47" t="str">
        <f t="shared" si="11"/>
        <v/>
      </c>
      <c r="Y23" s="47" t="str">
        <f t="shared" si="23"/>
        <v/>
      </c>
      <c r="Z23" s="47" t="e">
        <f t="shared" si="12"/>
        <v>#N/A</v>
      </c>
      <c r="AA23" s="47" t="e">
        <f t="shared" si="13"/>
        <v>#N/A</v>
      </c>
      <c r="AB23" s="16" t="str">
        <f t="shared" si="24"/>
        <v/>
      </c>
      <c r="AC23" s="16" t="str">
        <f ca="1">IF(ISNUMBER(Z23),SQRT(($Z23-OFFSET($Z$20,MATCH(CS_Start,$A$21:$A$45,0),0))^2+($AA23-OFFSET($AA$20,MATCH(CS_Start,$A$21:$A$45,0),0))^2),"")</f>
        <v/>
      </c>
      <c r="AD23" s="16" t="str">
        <f t="shared" si="14"/>
        <v/>
      </c>
      <c r="AE23" s="47" t="e">
        <f ca="1">ROUND(AC23,2)</f>
        <v>#VALUE!</v>
      </c>
      <c r="AF23" s="47" t="e">
        <f>ROUND(AD23,2)</f>
        <v>#VALUE!</v>
      </c>
      <c r="AH23" s="44">
        <v>0</v>
      </c>
      <c r="AI23" s="2">
        <f ca="1">OFFSET($AF$22,MATCH(AH23,$AE$23:$AE$53,0),0)</f>
        <v>4.3</v>
      </c>
      <c r="AJ23" s="2" t="str">
        <f t="shared" ref="AJ23:AJ31" ca="1" si="25">CONCATENATE(AH23,",",AI23)</f>
        <v>0,4.3</v>
      </c>
    </row>
    <row r="24" spans="1:36" x14ac:dyDescent="0.25">
      <c r="A24" s="44">
        <v>4</v>
      </c>
      <c r="B24" s="48">
        <v>10.073043981481481</v>
      </c>
      <c r="C24" s="48">
        <v>3.7369675925925923</v>
      </c>
      <c r="D24" s="44">
        <v>152.24199999999999</v>
      </c>
      <c r="E24" s="44">
        <v>4.9062000000000001</v>
      </c>
      <c r="F24" s="44" t="s">
        <v>90</v>
      </c>
      <c r="G24" s="43">
        <f t="shared" si="15"/>
        <v>89.687222222222218</v>
      </c>
      <c r="H24" s="43">
        <f t="shared" si="16"/>
        <v>1.5653373247456031</v>
      </c>
      <c r="I24" s="43">
        <f t="shared" si="3"/>
        <v>241.75305555555553</v>
      </c>
      <c r="J24" s="39">
        <f t="shared" si="17"/>
        <v>4.2193867962012135</v>
      </c>
      <c r="K24" s="39">
        <f t="shared" si="18"/>
        <v>152.23973154629189</v>
      </c>
      <c r="L24" s="15">
        <f t="shared" si="19"/>
        <v>0.83108526215330347</v>
      </c>
      <c r="M24" s="13"/>
      <c r="N24" s="16">
        <f t="shared" si="4"/>
        <v>241.75305555555553</v>
      </c>
      <c r="O24" s="16">
        <f t="shared" ca="1" si="20"/>
        <v>273.21622100163285</v>
      </c>
      <c r="P24" s="16">
        <f t="shared" ca="1" si="21"/>
        <v>514.96927655718832</v>
      </c>
      <c r="Q24" s="16">
        <f t="shared" ca="1" si="22"/>
        <v>8.9879094225361857</v>
      </c>
      <c r="R24" s="16">
        <f t="shared" ca="1" si="5"/>
        <v>64.413267702472169</v>
      </c>
      <c r="S24" s="16">
        <f t="shared" ca="1" si="6"/>
        <v>-137.94153401052446</v>
      </c>
      <c r="T24" s="13">
        <f t="shared" ca="1" si="7"/>
        <v>3864590.9402677021</v>
      </c>
      <c r="U24" s="13">
        <f t="shared" ca="1" si="8"/>
        <v>1535154.9144659895</v>
      </c>
      <c r="V24" s="16">
        <f t="shared" si="9"/>
        <v>3468.9291852621536</v>
      </c>
      <c r="W24" s="16">
        <f t="shared" ca="1" si="10"/>
        <v>3469.2783537046198</v>
      </c>
      <c r="X24" s="47" t="str">
        <f t="shared" si="11"/>
        <v/>
      </c>
      <c r="Y24" s="47" t="str">
        <f t="shared" si="23"/>
        <v/>
      </c>
      <c r="Z24" s="47" t="e">
        <f t="shared" si="12"/>
        <v>#N/A</v>
      </c>
      <c r="AA24" s="47" t="e">
        <f t="shared" si="13"/>
        <v>#N/A</v>
      </c>
      <c r="AB24" s="47" t="str">
        <f t="shared" ref="AB24:AB33" si="26">IF(ISNUMBER(X24),SQRT((X24-Z24)^2+(Y24-AA24)^2),"")</f>
        <v/>
      </c>
      <c r="AC24" s="47" t="str">
        <f ca="1">IF(ISNUMBER(Z24),SQRT(($Z24-OFFSET($Z$20,MATCH(CS_Start,$A$21:$A$45,0),0))^2+($AA24-OFFSET($AA$20,MATCH(CS_Start,$A$21:$A$45,0),0))^2),"")</f>
        <v/>
      </c>
      <c r="AD24" s="47" t="str">
        <f t="shared" ref="AD24:AD33" si="27">IF(ISNUMBER(X24),W24-Min_Z,"")</f>
        <v/>
      </c>
      <c r="AE24" s="47" t="e">
        <f t="shared" ref="AE24:AE40" ca="1" si="28">ROUND(AC24,2)</f>
        <v>#VALUE!</v>
      </c>
      <c r="AF24" s="47" t="e">
        <f t="shared" ref="AF24:AF40" si="29">ROUND(AD24,2)</f>
        <v>#VALUE!</v>
      </c>
      <c r="AH24" s="44">
        <v>14.31</v>
      </c>
      <c r="AI24" s="44">
        <f ca="1">OFFSET($AF$22,MATCH(AH24,$AE$23:$AE$53,0),0)</f>
        <v>3.06</v>
      </c>
      <c r="AJ24" s="2" t="str">
        <f t="shared" ca="1" si="25"/>
        <v>14.31,3.06</v>
      </c>
    </row>
    <row r="25" spans="1:36" x14ac:dyDescent="0.25">
      <c r="A25" s="44">
        <v>5</v>
      </c>
      <c r="B25" s="48">
        <v>9.7708449074074064</v>
      </c>
      <c r="C25" s="48">
        <v>3.6988078703703704</v>
      </c>
      <c r="D25" s="44">
        <v>52.463000000000001</v>
      </c>
      <c r="E25" s="44">
        <v>4.9062000000000001</v>
      </c>
      <c r="F25" s="44" t="s">
        <v>90</v>
      </c>
      <c r="G25" s="43">
        <f t="shared" si="15"/>
        <v>88.771388888888893</v>
      </c>
      <c r="H25" s="43">
        <f t="shared" si="16"/>
        <v>1.5493530176794219</v>
      </c>
      <c r="I25" s="43">
        <f t="shared" si="3"/>
        <v>234.50027777777774</v>
      </c>
      <c r="J25" s="39">
        <f t="shared" si="17"/>
        <v>4.0928019440635133</v>
      </c>
      <c r="K25" s="39">
        <f t="shared" si="18"/>
        <v>52.450938811729777</v>
      </c>
      <c r="L25" s="15">
        <f t="shared" si="19"/>
        <v>1.1248941142076365</v>
      </c>
      <c r="M25" s="13"/>
      <c r="N25" s="16">
        <f t="shared" si="4"/>
        <v>234.50027777777774</v>
      </c>
      <c r="O25" s="16">
        <f t="shared" ca="1" si="20"/>
        <v>273.21622100163285</v>
      </c>
      <c r="P25" s="16">
        <f t="shared" ca="1" si="21"/>
        <v>507.71649877941059</v>
      </c>
      <c r="Q25" s="16">
        <f t="shared" ca="1" si="22"/>
        <v>8.8613245703984855</v>
      </c>
      <c r="R25" s="16">
        <f t="shared" ca="1" si="5"/>
        <v>28.014514665258456</v>
      </c>
      <c r="S25" s="16">
        <f t="shared" ca="1" si="6"/>
        <v>-44.342845536815069</v>
      </c>
      <c r="T25" s="13">
        <f t="shared" ca="1" si="7"/>
        <v>3864554.5415146649</v>
      </c>
      <c r="U25" s="13">
        <f t="shared" ca="1" si="8"/>
        <v>1535248.5131544631</v>
      </c>
      <c r="V25" s="16">
        <f t="shared" si="9"/>
        <v>3469.2229941142077</v>
      </c>
      <c r="W25" s="16">
        <f t="shared" ca="1" si="10"/>
        <v>3469.5721625566739</v>
      </c>
      <c r="X25" s="47" t="str">
        <f t="shared" si="11"/>
        <v/>
      </c>
      <c r="Y25" s="47" t="str">
        <f t="shared" si="23"/>
        <v/>
      </c>
      <c r="Z25" s="47" t="e">
        <f t="shared" si="12"/>
        <v>#N/A</v>
      </c>
      <c r="AA25" s="47" t="e">
        <f t="shared" si="13"/>
        <v>#N/A</v>
      </c>
      <c r="AB25" s="47" t="str">
        <f t="shared" si="26"/>
        <v/>
      </c>
      <c r="AC25" s="47" t="str">
        <f ca="1">IF(ISNUMBER(Z25),SQRT(($Z25-OFFSET($Z$20,MATCH(CS_Start,$A$21:$A$45,0),0))^2+($AA25-OFFSET($AA$20,MATCH(CS_Start,$A$21:$A$45,0),0))^2),"")</f>
        <v/>
      </c>
      <c r="AD25" s="47" t="str">
        <f t="shared" si="27"/>
        <v/>
      </c>
      <c r="AE25" s="47" t="e">
        <f t="shared" ca="1" si="28"/>
        <v>#VALUE!</v>
      </c>
      <c r="AF25" s="47" t="e">
        <f t="shared" si="29"/>
        <v>#VALUE!</v>
      </c>
      <c r="AH25" s="44">
        <v>33.119999999999997</v>
      </c>
      <c r="AI25" s="44">
        <f ca="1">OFFSET($AF$22,MATCH(AH25,$AE$23:$AE$53,0),0)</f>
        <v>2.0499999999999998</v>
      </c>
      <c r="AJ25" s="2" t="str">
        <f t="shared" ca="1" si="25"/>
        <v>33.12,2.05</v>
      </c>
    </row>
    <row r="26" spans="1:36" x14ac:dyDescent="0.25">
      <c r="A26" s="44">
        <v>6</v>
      </c>
      <c r="B26" s="48">
        <v>8.0514583333333345</v>
      </c>
      <c r="C26" s="48">
        <v>3.736388888888889</v>
      </c>
      <c r="D26" s="44">
        <v>23.692</v>
      </c>
      <c r="E26" s="44">
        <v>4.9062000000000001</v>
      </c>
      <c r="F26" s="44"/>
      <c r="G26" s="43">
        <f t="shared" si="15"/>
        <v>89.673333333333332</v>
      </c>
      <c r="H26" s="43">
        <f t="shared" si="16"/>
        <v>1.5650949179050484</v>
      </c>
      <c r="I26" s="43">
        <f t="shared" si="3"/>
        <v>193.23500000000001</v>
      </c>
      <c r="J26" s="39">
        <f t="shared" si="17"/>
        <v>3.3725869800912429</v>
      </c>
      <c r="K26" s="39">
        <f t="shared" si="18"/>
        <v>23.691614934216883</v>
      </c>
      <c r="L26" s="15">
        <f t="shared" si="19"/>
        <v>0.13507704761166475</v>
      </c>
      <c r="M26" s="13"/>
      <c r="N26" s="16">
        <f t="shared" si="4"/>
        <v>193.23500000000001</v>
      </c>
      <c r="O26" s="16">
        <f t="shared" ca="1" si="20"/>
        <v>273.21622100163285</v>
      </c>
      <c r="P26" s="16">
        <f t="shared" ca="1" si="21"/>
        <v>466.45122100163286</v>
      </c>
      <c r="Q26" s="16">
        <f t="shared" ca="1" si="22"/>
        <v>8.1411096064262161</v>
      </c>
      <c r="R26" s="16">
        <f t="shared" ca="1" si="5"/>
        <v>22.721708293298548</v>
      </c>
      <c r="S26" s="16">
        <f t="shared" ca="1" si="6"/>
        <v>-6.7094403958494517</v>
      </c>
      <c r="T26" s="13">
        <f t="shared" ca="1" si="7"/>
        <v>3864549.2487082928</v>
      </c>
      <c r="U26" s="13">
        <f t="shared" ca="1" si="8"/>
        <v>1535286.146559604</v>
      </c>
      <c r="V26" s="16">
        <f t="shared" si="9"/>
        <v>3468.2331770476117</v>
      </c>
      <c r="W26" s="16">
        <f t="shared" ca="1" si="10"/>
        <v>3468.5823454900783</v>
      </c>
      <c r="X26" s="47">
        <f t="shared" ca="1" si="11"/>
        <v>3864549.2487082928</v>
      </c>
      <c r="Y26" s="47">
        <f t="shared" ca="1" si="23"/>
        <v>1535286.146559604</v>
      </c>
      <c r="Z26" s="47">
        <f t="shared" ca="1" si="12"/>
        <v>3864542.8899423219</v>
      </c>
      <c r="AA26" s="47">
        <f t="shared" ca="1" si="13"/>
        <v>1535288.247645501</v>
      </c>
      <c r="AB26" s="47">
        <f t="shared" ca="1" si="26"/>
        <v>6.6968997767427938</v>
      </c>
      <c r="AC26" s="47">
        <f ca="1">IF(ISNUMBER(Z26),SQRT(($Z26-OFFSET($Z$20,MATCH(CS_Start,$A$21:$A$45,0),0))^2+($AA26-OFFSET($AA$20,MATCH(CS_Start,$A$21:$A$45,0),0))^2),"")</f>
        <v>0</v>
      </c>
      <c r="AD26" s="47">
        <f t="shared" ca="1" si="27"/>
        <v>4.2956519667295652</v>
      </c>
      <c r="AE26" s="47">
        <f t="shared" ca="1" si="28"/>
        <v>0</v>
      </c>
      <c r="AF26" s="47">
        <f t="shared" ca="1" si="29"/>
        <v>4.3</v>
      </c>
      <c r="AH26" s="44">
        <v>37.159999999999997</v>
      </c>
      <c r="AI26" s="44">
        <f ca="1">OFFSET($AF$22,MATCH(AH26,$AE$23:$AE$53,0),0)</f>
        <v>1</v>
      </c>
      <c r="AJ26" s="2" t="str">
        <f t="shared" ca="1" si="25"/>
        <v>37.16,1</v>
      </c>
    </row>
    <row r="27" spans="1:36" x14ac:dyDescent="0.25">
      <c r="A27" s="44">
        <v>7</v>
      </c>
      <c r="B27" s="48">
        <v>6.5857523148148154</v>
      </c>
      <c r="C27" s="48">
        <v>3.8552199074074074</v>
      </c>
      <c r="D27" s="44">
        <v>25.062999999999999</v>
      </c>
      <c r="E27" s="44">
        <v>4.9062000000000001</v>
      </c>
      <c r="F27" s="44"/>
      <c r="G27" s="43">
        <f t="shared" si="15"/>
        <v>92.525277777777774</v>
      </c>
      <c r="H27" s="43">
        <f t="shared" si="16"/>
        <v>1.6148707385445644</v>
      </c>
      <c r="I27" s="43">
        <f t="shared" si="3"/>
        <v>158.05805555555557</v>
      </c>
      <c r="J27" s="39">
        <f t="shared" si="17"/>
        <v>2.7586334787445597</v>
      </c>
      <c r="K27" s="39">
        <f t="shared" si="18"/>
        <v>25.038660827812993</v>
      </c>
      <c r="L27" s="15">
        <f t="shared" si="19"/>
        <v>-1.1042793802942807</v>
      </c>
      <c r="M27" s="13"/>
      <c r="N27" s="16">
        <f t="shared" si="4"/>
        <v>158.05805555555557</v>
      </c>
      <c r="O27" s="16">
        <f t="shared" ca="1" si="20"/>
        <v>273.21622100163285</v>
      </c>
      <c r="P27" s="16">
        <f t="shared" ca="1" si="21"/>
        <v>431.27427655718839</v>
      </c>
      <c r="Q27" s="16">
        <f t="shared" ca="1" si="22"/>
        <v>7.5271561050795324</v>
      </c>
      <c r="R27" s="16">
        <f t="shared" ca="1" si="5"/>
        <v>23.713270371707395</v>
      </c>
      <c r="S27" s="16">
        <f t="shared" ca="1" si="6"/>
        <v>8.0383670187769543</v>
      </c>
      <c r="T27" s="13">
        <f t="shared" ca="1" si="7"/>
        <v>3864550.2402703715</v>
      </c>
      <c r="U27" s="13">
        <f t="shared" ca="1" si="8"/>
        <v>1535300.8943670187</v>
      </c>
      <c r="V27" s="16">
        <f t="shared" si="9"/>
        <v>3466.9938206197057</v>
      </c>
      <c r="W27" s="16">
        <f t="shared" ca="1" si="10"/>
        <v>3467.3429890621719</v>
      </c>
      <c r="X27" s="47">
        <f t="shared" ca="1" si="11"/>
        <v>3864550.2402703715</v>
      </c>
      <c r="Y27" s="47">
        <f t="shared" ca="1" si="23"/>
        <v>1535300.8943670187</v>
      </c>
      <c r="Z27" s="47">
        <f t="shared" ca="1" si="12"/>
        <v>3864547.3809017269</v>
      </c>
      <c r="AA27" s="47">
        <f t="shared" ca="1" si="13"/>
        <v>1535301.8391696997</v>
      </c>
      <c r="AB27" s="47">
        <f t="shared" ca="1" si="26"/>
        <v>3.0114184617933066</v>
      </c>
      <c r="AC27" s="47">
        <f ca="1">IF(ISNUMBER(Z27),SQRT(($Z27-OFFSET($Z$20,MATCH(CS_Start,$A$21:$A$45,0),0))^2+($AA27-OFFSET($AA$20,MATCH(CS_Start,$A$21:$A$45,0),0))^2),"")</f>
        <v>14.314267233064788</v>
      </c>
      <c r="AD27" s="47">
        <f t="shared" ca="1" si="27"/>
        <v>3.0562955388231785</v>
      </c>
      <c r="AE27" s="47">
        <f t="shared" ca="1" si="28"/>
        <v>14.31</v>
      </c>
      <c r="AF27" s="47">
        <f t="shared" ca="1" si="29"/>
        <v>3.06</v>
      </c>
      <c r="AH27" s="44">
        <v>38.869999999999997</v>
      </c>
      <c r="AI27" s="44">
        <f ca="1">OFFSET($AF$22,MATCH(AH27,$AE$23:$AE$53,0),0)</f>
        <v>0.4</v>
      </c>
      <c r="AJ27" s="2" t="str">
        <f t="shared" ca="1" si="25"/>
        <v>38.87,0.4</v>
      </c>
    </row>
    <row r="28" spans="1:36" x14ac:dyDescent="0.25">
      <c r="A28" s="44">
        <v>8</v>
      </c>
      <c r="B28" s="48">
        <v>5.2791666666666668</v>
      </c>
      <c r="C28" s="48">
        <v>3.8882060185185185</v>
      </c>
      <c r="D28" s="44">
        <v>36.502000000000002</v>
      </c>
      <c r="E28" s="44">
        <v>4.9062000000000001</v>
      </c>
      <c r="F28" s="44"/>
      <c r="G28" s="43">
        <f t="shared" si="15"/>
        <v>93.316944444444445</v>
      </c>
      <c r="H28" s="43">
        <f t="shared" si="16"/>
        <v>1.6286879284561864</v>
      </c>
      <c r="I28" s="43">
        <f t="shared" si="3"/>
        <v>126.7</v>
      </c>
      <c r="J28" s="39">
        <f t="shared" si="17"/>
        <v>2.2113321622768156</v>
      </c>
      <c r="K28" s="39">
        <f t="shared" si="18"/>
        <v>36.440849994635244</v>
      </c>
      <c r="L28" s="15">
        <f t="shared" si="19"/>
        <v>-2.1119790880813487</v>
      </c>
      <c r="M28" s="13"/>
      <c r="N28" s="16">
        <f t="shared" si="4"/>
        <v>126.7</v>
      </c>
      <c r="O28" s="16">
        <f t="shared" ca="1" si="20"/>
        <v>273.21622100163285</v>
      </c>
      <c r="P28" s="16">
        <f t="shared" ca="1" si="21"/>
        <v>399.91622100163283</v>
      </c>
      <c r="Q28" s="16">
        <f t="shared" ca="1" si="22"/>
        <v>6.9798547886117879</v>
      </c>
      <c r="R28" s="16">
        <f t="shared" ca="1" si="5"/>
        <v>23.382883528768275</v>
      </c>
      <c r="S28" s="16">
        <f t="shared" ca="1" si="6"/>
        <v>27.949531413094654</v>
      </c>
      <c r="T28" s="13">
        <f t="shared" ca="1" si="7"/>
        <v>3864549.9098835285</v>
      </c>
      <c r="U28" s="13">
        <f t="shared" ca="1" si="8"/>
        <v>1535320.8055314131</v>
      </c>
      <c r="V28" s="16">
        <f t="shared" si="9"/>
        <v>3465.986120911919</v>
      </c>
      <c r="W28" s="16">
        <f t="shared" ca="1" si="10"/>
        <v>3466.3352893543852</v>
      </c>
      <c r="X28" s="47">
        <f t="shared" ca="1" si="11"/>
        <v>3864549.9098835285</v>
      </c>
      <c r="Y28" s="47">
        <f t="shared" ca="1" si="23"/>
        <v>1535320.8055314131</v>
      </c>
      <c r="Z28" s="47">
        <f t="shared" ca="1" si="12"/>
        <v>3864553.2798968432</v>
      </c>
      <c r="AA28" s="47">
        <f t="shared" ca="1" si="13"/>
        <v>1535319.6919997148</v>
      </c>
      <c r="AB28" s="47">
        <f t="shared" ca="1" si="26"/>
        <v>3.5492171791365781</v>
      </c>
      <c r="AC28" s="47">
        <f ca="1">IF(ISNUMBER(Z28),SQRT(($Z28-OFFSET($Z$20,MATCH(CS_Start,$A$21:$A$45,0),0))^2+($AA28-OFFSET($AA$20,MATCH(CS_Start,$A$21:$A$45,0),0))^2),"")</f>
        <v>33.116439525957695</v>
      </c>
      <c r="AD28" s="47">
        <f t="shared" ca="1" si="27"/>
        <v>2.0485958310364367</v>
      </c>
      <c r="AE28" s="47">
        <f t="shared" ca="1" si="28"/>
        <v>33.119999999999997</v>
      </c>
      <c r="AF28" s="47">
        <f t="shared" ca="1" si="29"/>
        <v>2.0499999999999998</v>
      </c>
      <c r="AH28" s="44">
        <v>40.32</v>
      </c>
      <c r="AI28" s="44">
        <f ca="1">OFFSET($AF$22,MATCH(AH28,$AE$23:$AE$53,0),0)</f>
        <v>0.05</v>
      </c>
      <c r="AJ28" s="2" t="str">
        <f t="shared" ca="1" si="25"/>
        <v>40.32,0.05</v>
      </c>
    </row>
    <row r="29" spans="1:36" x14ac:dyDescent="0.25">
      <c r="A29" s="44">
        <v>9</v>
      </c>
      <c r="B29" s="48">
        <v>5.2587037037037039</v>
      </c>
      <c r="C29" s="48">
        <v>3.9354166666666668</v>
      </c>
      <c r="D29" s="44">
        <v>40.774000000000001</v>
      </c>
      <c r="E29" s="44">
        <v>4.9062000000000001</v>
      </c>
      <c r="F29" s="44"/>
      <c r="G29" s="43">
        <f t="shared" si="15"/>
        <v>94.45</v>
      </c>
      <c r="H29" s="43">
        <f t="shared" si="16"/>
        <v>1.6484634785086443</v>
      </c>
      <c r="I29" s="43">
        <f t="shared" si="3"/>
        <v>126.20888888888889</v>
      </c>
      <c r="J29" s="39">
        <f t="shared" si="17"/>
        <v>2.202760656394799</v>
      </c>
      <c r="K29" s="39">
        <f t="shared" si="18"/>
        <v>40.651083621251779</v>
      </c>
      <c r="L29" s="15">
        <f t="shared" si="19"/>
        <v>-3.1636176156412437</v>
      </c>
      <c r="M29" s="13"/>
      <c r="N29" s="16">
        <f t="shared" si="4"/>
        <v>126.20888888888889</v>
      </c>
      <c r="O29" s="16">
        <f t="shared" ca="1" si="20"/>
        <v>273.21622100163285</v>
      </c>
      <c r="P29" s="16">
        <f t="shared" ca="1" si="21"/>
        <v>399.42510989052175</v>
      </c>
      <c r="Q29" s="16">
        <f t="shared" ca="1" si="22"/>
        <v>6.9712832827297717</v>
      </c>
      <c r="R29" s="16">
        <f t="shared" ca="1" si="5"/>
        <v>25.816247208485759</v>
      </c>
      <c r="S29" s="16">
        <f t="shared" ca="1" si="6"/>
        <v>31.401146151889993</v>
      </c>
      <c r="T29" s="13">
        <f t="shared" ca="1" si="7"/>
        <v>3864552.3432472083</v>
      </c>
      <c r="U29" s="13">
        <f t="shared" ca="1" si="8"/>
        <v>1535324.2571461517</v>
      </c>
      <c r="V29" s="16">
        <f t="shared" si="9"/>
        <v>3464.9344823843589</v>
      </c>
      <c r="W29" s="16">
        <f t="shared" ca="1" si="10"/>
        <v>3465.2836508268256</v>
      </c>
      <c r="X29" s="47">
        <f t="shared" ca="1" si="11"/>
        <v>3864552.3432472083</v>
      </c>
      <c r="Y29" s="47">
        <f t="shared" ca="1" si="23"/>
        <v>1535324.2571461517</v>
      </c>
      <c r="Z29" s="47">
        <f t="shared" ca="1" si="12"/>
        <v>3864554.547652334</v>
      </c>
      <c r="AA29" s="47">
        <f t="shared" ca="1" si="13"/>
        <v>1535323.5287588295</v>
      </c>
      <c r="AB29" s="47">
        <f t="shared" ca="1" si="26"/>
        <v>2.3216265956112201</v>
      </c>
      <c r="AC29" s="47">
        <f ca="1">IF(ISNUMBER(Z29),SQRT(($Z29-OFFSET($Z$20,MATCH(CS_Start,$A$21:$A$45,0),0))^2+($AA29-OFFSET($AA$20,MATCH(CS_Start,$A$21:$A$45,0),0))^2),"")</f>
        <v>37.15722218381346</v>
      </c>
      <c r="AD29" s="47">
        <f t="shared" ca="1" si="27"/>
        <v>0.9969573034768473</v>
      </c>
      <c r="AE29" s="47">
        <f t="shared" ca="1" si="28"/>
        <v>37.159999999999997</v>
      </c>
      <c r="AF29" s="47">
        <f t="shared" ca="1" si="29"/>
        <v>1</v>
      </c>
      <c r="AH29" s="44">
        <v>68.8</v>
      </c>
      <c r="AI29" s="44">
        <f ca="1">OFFSET($AF$22,MATCH(AH29,$AE$23:$AE$53,0),0)</f>
        <v>0</v>
      </c>
      <c r="AJ29" s="2" t="str">
        <f t="shared" ca="1" si="25"/>
        <v>68.8,0</v>
      </c>
    </row>
    <row r="30" spans="1:36" x14ac:dyDescent="0.25">
      <c r="A30" s="44">
        <v>10</v>
      </c>
      <c r="B30" s="48">
        <v>5.2630324074074073</v>
      </c>
      <c r="C30" s="48">
        <v>3.9603703703703701</v>
      </c>
      <c r="D30" s="44">
        <v>42.677999999999997</v>
      </c>
      <c r="E30" s="44">
        <v>4.9062000000000001</v>
      </c>
      <c r="F30" s="49" t="s">
        <v>83</v>
      </c>
      <c r="G30" s="43">
        <f t="shared" si="15"/>
        <v>95.048888888888882</v>
      </c>
      <c r="H30" s="43">
        <f t="shared" si="16"/>
        <v>1.6589160614733658</v>
      </c>
      <c r="I30" s="43">
        <f t="shared" si="3"/>
        <v>126.31277777777777</v>
      </c>
      <c r="J30" s="39">
        <f t="shared" si="17"/>
        <v>2.2045738595621485</v>
      </c>
      <c r="K30" s="39">
        <f t="shared" si="18"/>
        <v>42.512407989509178</v>
      </c>
      <c r="L30" s="15">
        <f t="shared" si="19"/>
        <v>-3.7559088026090426</v>
      </c>
      <c r="M30" s="13"/>
      <c r="N30" s="16">
        <f t="shared" si="4"/>
        <v>126.31277777777777</v>
      </c>
      <c r="O30" s="16">
        <f t="shared" ca="1" si="20"/>
        <v>273.21622100163285</v>
      </c>
      <c r="P30" s="16">
        <f t="shared" ca="1" si="21"/>
        <v>399.52899877941059</v>
      </c>
      <c r="Q30" s="16">
        <f t="shared" ca="1" si="22"/>
        <v>6.9730964858971207</v>
      </c>
      <c r="R30" s="16">
        <f t="shared" ca="1" si="5"/>
        <v>27.057816054331088</v>
      </c>
      <c r="S30" s="16">
        <f t="shared" ca="1" si="6"/>
        <v>32.789928689103107</v>
      </c>
      <c r="T30" s="13">
        <f t="shared" ca="1" si="7"/>
        <v>3864553.584816054</v>
      </c>
      <c r="U30" s="13">
        <f t="shared" ca="1" si="8"/>
        <v>1535325.645928689</v>
      </c>
      <c r="V30" s="16">
        <f t="shared" si="9"/>
        <v>3464.342191197391</v>
      </c>
      <c r="W30" s="16">
        <f t="shared" ca="1" si="10"/>
        <v>3464.6913596398572</v>
      </c>
      <c r="X30" s="47">
        <f t="shared" ca="1" si="11"/>
        <v>3864553.584816054</v>
      </c>
      <c r="Y30" s="47">
        <f t="shared" ca="1" si="23"/>
        <v>1535325.645928689</v>
      </c>
      <c r="Z30" s="47">
        <f t="shared" ca="1" si="12"/>
        <v>3864555.0835804157</v>
      </c>
      <c r="AA30" s="47">
        <f t="shared" ca="1" si="13"/>
        <v>1535325.1507016774</v>
      </c>
      <c r="AB30" s="47">
        <f t="shared" ca="1" si="26"/>
        <v>1.5784626713992238</v>
      </c>
      <c r="AC30" s="47">
        <f ca="1">IF(ISNUMBER(Z30),SQRT(($Z30-OFFSET($Z$20,MATCH(CS_Start,$A$21:$A$45,0),0))^2+($AA30-OFFSET($AA$20,MATCH(CS_Start,$A$21:$A$45,0),0))^2),"")</f>
        <v>38.865413481897193</v>
      </c>
      <c r="AD30" s="47">
        <f t="shared" ca="1" si="27"/>
        <v>0.40466611650845152</v>
      </c>
      <c r="AE30" s="47">
        <f t="shared" ca="1" si="28"/>
        <v>38.869999999999997</v>
      </c>
      <c r="AF30" s="47">
        <f t="shared" ca="1" si="29"/>
        <v>0.4</v>
      </c>
      <c r="AH30" s="44">
        <v>104.39</v>
      </c>
      <c r="AI30" s="44">
        <f ca="1">OFFSET($AF$22,MATCH(AH30,$AE$23:$AE$53,0),0)</f>
        <v>0.16</v>
      </c>
      <c r="AJ30" s="2" t="str">
        <f t="shared" ca="1" si="25"/>
        <v>104.39,0.16</v>
      </c>
    </row>
    <row r="31" spans="1:36" x14ac:dyDescent="0.25">
      <c r="A31" s="44">
        <v>11</v>
      </c>
      <c r="B31" s="48">
        <v>5.2612731481481481</v>
      </c>
      <c r="C31" s="48">
        <v>3.9719560185185188</v>
      </c>
      <c r="D31" s="44">
        <v>44.256</v>
      </c>
      <c r="E31" s="44">
        <v>4.9062000000000001</v>
      </c>
      <c r="F31" s="44"/>
      <c r="G31" s="43">
        <f t="shared" si="15"/>
        <v>95.32694444444445</v>
      </c>
      <c r="H31" s="43">
        <f t="shared" si="16"/>
        <v>1.6637690464212724</v>
      </c>
      <c r="I31" s="43">
        <f t="shared" si="3"/>
        <v>126.27055555555555</v>
      </c>
      <c r="J31" s="39">
        <f t="shared" si="17"/>
        <v>2.2038369427668618</v>
      </c>
      <c r="K31" s="39">
        <f t="shared" si="18"/>
        <v>44.064864931628776</v>
      </c>
      <c r="L31" s="15">
        <f t="shared" si="19"/>
        <v>-4.1086755234884107</v>
      </c>
      <c r="M31" s="13"/>
      <c r="N31" s="16">
        <f t="shared" si="4"/>
        <v>126.27055555555555</v>
      </c>
      <c r="O31" s="16">
        <f t="shared" ca="1" si="20"/>
        <v>273.21622100163285</v>
      </c>
      <c r="P31" s="16">
        <f t="shared" ca="1" si="21"/>
        <v>399.48677655718836</v>
      </c>
      <c r="Q31" s="16">
        <f t="shared" ca="1" si="22"/>
        <v>6.9723595691018341</v>
      </c>
      <c r="R31" s="16">
        <f t="shared" ca="1" si="5"/>
        <v>28.020852813339662</v>
      </c>
      <c r="S31" s="16">
        <f t="shared" ca="1" si="6"/>
        <v>34.008000956478497</v>
      </c>
      <c r="T31" s="13">
        <f t="shared" ca="1" si="7"/>
        <v>3864554.5478528133</v>
      </c>
      <c r="U31" s="13">
        <f t="shared" ca="1" si="8"/>
        <v>1535326.8640009563</v>
      </c>
      <c r="V31" s="16">
        <f t="shared" si="9"/>
        <v>3463.9894244765119</v>
      </c>
      <c r="W31" s="16">
        <f t="shared" ca="1" si="10"/>
        <v>3464.3385929189781</v>
      </c>
      <c r="X31" s="47">
        <f t="shared" ca="1" si="11"/>
        <v>3864554.5478528133</v>
      </c>
      <c r="Y31" s="47">
        <f t="shared" ca="1" si="23"/>
        <v>1535326.8640009563</v>
      </c>
      <c r="Z31" s="47">
        <f t="shared" ca="1" si="12"/>
        <v>3864555.5412373734</v>
      </c>
      <c r="AA31" s="47">
        <f t="shared" ca="1" si="13"/>
        <v>1535326.5357633214</v>
      </c>
      <c r="AB31" s="47">
        <f t="shared" ca="1" si="26"/>
        <v>1.0462087885246854</v>
      </c>
      <c r="AC31" s="47">
        <f ca="1">IF(ISNUMBER(Z31),SQRT(($Z31-OFFSET($Z$20,MATCH(CS_Start,$A$21:$A$45,0),0))^2+($AA31-OFFSET($AA$20,MATCH(CS_Start,$A$21:$A$45,0),0))^2),"")</f>
        <v>40.32412717849332</v>
      </c>
      <c r="AD31" s="47">
        <f t="shared" ca="1" si="27"/>
        <v>5.1899395629334322E-2</v>
      </c>
      <c r="AE31" s="47">
        <f t="shared" ca="1" si="28"/>
        <v>40.32</v>
      </c>
      <c r="AF31" s="47">
        <f t="shared" ca="1" si="29"/>
        <v>0.05</v>
      </c>
      <c r="AH31" s="44">
        <v>106.11</v>
      </c>
      <c r="AI31" s="44">
        <f ca="1">OFFSET($AF$22,MATCH(AH31,$AE$23:$AE$53,0),0)</f>
        <v>0.38</v>
      </c>
      <c r="AJ31" s="2" t="str">
        <f t="shared" ca="1" si="25"/>
        <v>106.11,0.38</v>
      </c>
    </row>
    <row r="32" spans="1:36" x14ac:dyDescent="0.25">
      <c r="A32" s="44">
        <v>12</v>
      </c>
      <c r="B32" s="48">
        <v>4.8904282407407402</v>
      </c>
      <c r="C32" s="48">
        <v>3.8893634259259255</v>
      </c>
      <c r="D32" s="44">
        <v>71.311999999999998</v>
      </c>
      <c r="E32" s="44">
        <v>4.9062000000000001</v>
      </c>
      <c r="F32" s="44"/>
      <c r="G32" s="43">
        <f t="shared" si="15"/>
        <v>93.344722222222217</v>
      </c>
      <c r="H32" s="43">
        <f t="shared" si="16"/>
        <v>1.6291727421372957</v>
      </c>
      <c r="I32" s="43">
        <f t="shared" si="3"/>
        <v>117.37027777777777</v>
      </c>
      <c r="J32" s="39">
        <f t="shared" si="17"/>
        <v>2.0484977912025557</v>
      </c>
      <c r="K32" s="39">
        <f t="shared" si="18"/>
        <v>71.190525776555447</v>
      </c>
      <c r="L32" s="15">
        <f t="shared" si="19"/>
        <v>-4.1605749191181447</v>
      </c>
      <c r="M32" s="13"/>
      <c r="N32" s="16">
        <f t="shared" si="4"/>
        <v>117.37027777777777</v>
      </c>
      <c r="O32" s="16">
        <f t="shared" ca="1" si="20"/>
        <v>273.21622100163285</v>
      </c>
      <c r="P32" s="16">
        <f t="shared" ca="1" si="21"/>
        <v>390.58649877941059</v>
      </c>
      <c r="Q32" s="16">
        <f t="shared" ca="1" si="22"/>
        <v>6.8170204175375275</v>
      </c>
      <c r="R32" s="16">
        <f t="shared" ca="1" si="5"/>
        <v>36.224485740956524</v>
      </c>
      <c r="S32" s="16">
        <f t="shared" ca="1" si="6"/>
        <v>61.28521512686109</v>
      </c>
      <c r="T32" s="13">
        <f t="shared" ca="1" si="7"/>
        <v>3864562.7514857408</v>
      </c>
      <c r="U32" s="13">
        <f t="shared" ca="1" si="8"/>
        <v>1535354.1412151267</v>
      </c>
      <c r="V32" s="16">
        <f t="shared" si="9"/>
        <v>3463.9375250808821</v>
      </c>
      <c r="W32" s="16">
        <f t="shared" ca="1" si="10"/>
        <v>3464.2866935233487</v>
      </c>
      <c r="X32" s="47">
        <f t="shared" ca="1" si="11"/>
        <v>3864562.7514857408</v>
      </c>
      <c r="Y32" s="47">
        <f t="shared" ca="1" si="23"/>
        <v>1535354.1412151267</v>
      </c>
      <c r="Z32" s="47">
        <f t="shared" ca="1" si="12"/>
        <v>3864564.474599184</v>
      </c>
      <c r="AA32" s="47">
        <f t="shared" ca="1" si="13"/>
        <v>1535353.5718578976</v>
      </c>
      <c r="AB32" s="47">
        <f t="shared" ca="1" si="26"/>
        <v>1.8147417426908254</v>
      </c>
      <c r="AC32" s="47">
        <f ca="1">IF(ISNUMBER(Z32),SQRT(($Z32-OFFSET($Z$20,MATCH(CS_Start,$A$21:$A$45,0),0))^2+($AA32-OFFSET($AA$20,MATCH(CS_Start,$A$21:$A$45,0),0))^2),"")</f>
        <v>68.797893405822379</v>
      </c>
      <c r="AD32" s="47">
        <f t="shared" ca="1" si="27"/>
        <v>0</v>
      </c>
      <c r="AE32" s="47">
        <f t="shared" ca="1" si="28"/>
        <v>68.8</v>
      </c>
      <c r="AF32" s="47">
        <f t="shared" ca="1" si="29"/>
        <v>0</v>
      </c>
      <c r="AH32" s="44">
        <v>108.33</v>
      </c>
      <c r="AI32" s="44">
        <f ca="1">OFFSET($AF$22,MATCH(AH32,$AE$23:$AE$53,0),0)</f>
        <v>0.79</v>
      </c>
      <c r="AJ32" s="44" t="str">
        <f t="shared" ref="AJ32:AJ33" ca="1" si="30">CONCATENATE(AH32,",",AI32)</f>
        <v>108.33,0.79</v>
      </c>
    </row>
    <row r="33" spans="1:36" x14ac:dyDescent="0.25">
      <c r="A33" s="44">
        <v>13</v>
      </c>
      <c r="B33" s="48">
        <v>4.7360879629629631</v>
      </c>
      <c r="C33" s="48">
        <v>3.8398263888888891</v>
      </c>
      <c r="D33" s="44">
        <v>106.414</v>
      </c>
      <c r="E33" s="44">
        <v>4.9062000000000001</v>
      </c>
      <c r="F33" s="44"/>
      <c r="G33" s="43">
        <f t="shared" si="15"/>
        <v>92.155833333333334</v>
      </c>
      <c r="H33" s="43">
        <f t="shared" si="16"/>
        <v>1.6084227165858076</v>
      </c>
      <c r="I33" s="43">
        <f t="shared" si="3"/>
        <v>113.66611111111112</v>
      </c>
      <c r="J33" s="39">
        <f t="shared" si="17"/>
        <v>1.9838478868265992</v>
      </c>
      <c r="K33" s="39">
        <f t="shared" si="18"/>
        <v>106.33868133131357</v>
      </c>
      <c r="L33" s="15">
        <f t="shared" si="19"/>
        <v>-4.0030299420991389</v>
      </c>
      <c r="M33" s="13"/>
      <c r="N33" s="16">
        <f t="shared" si="4"/>
        <v>113.66611111111112</v>
      </c>
      <c r="O33" s="16">
        <f t="shared" ca="1" si="20"/>
        <v>273.21622100163285</v>
      </c>
      <c r="P33" s="16">
        <f t="shared" ca="1" si="21"/>
        <v>386.88233211274394</v>
      </c>
      <c r="Q33" s="16">
        <f t="shared" ca="1" si="22"/>
        <v>6.7523705131615719</v>
      </c>
      <c r="R33" s="16">
        <f t="shared" ca="1" si="5"/>
        <v>48.08206525153598</v>
      </c>
      <c r="S33" s="16">
        <f t="shared" ca="1" si="6"/>
        <v>94.847404542400071</v>
      </c>
      <c r="T33" s="13">
        <f t="shared" ca="1" si="7"/>
        <v>3864574.6090652514</v>
      </c>
      <c r="U33" s="13">
        <f t="shared" ca="1" si="8"/>
        <v>1535387.7034045423</v>
      </c>
      <c r="V33" s="16">
        <f t="shared" si="9"/>
        <v>3464.095070057901</v>
      </c>
      <c r="W33" s="16">
        <f t="shared" ca="1" si="10"/>
        <v>3464.4442385003676</v>
      </c>
      <c r="X33" s="47">
        <f t="shared" ca="1" si="11"/>
        <v>3864574.6090652514</v>
      </c>
      <c r="Y33" s="47">
        <f t="shared" ca="1" si="23"/>
        <v>1535387.7034045423</v>
      </c>
      <c r="Z33" s="47">
        <f t="shared" ca="1" si="12"/>
        <v>3864575.6399171986</v>
      </c>
      <c r="AA33" s="47">
        <f t="shared" ca="1" si="13"/>
        <v>1535387.3627868034</v>
      </c>
      <c r="AB33" s="47">
        <f t="shared" ca="1" si="26"/>
        <v>1.0856685410295335</v>
      </c>
      <c r="AC33" s="47">
        <f ca="1">IF(ISNUMBER(Z33),SQRT(($Z33-OFFSET($Z$20,MATCH(CS_Start,$A$21:$A$45,0),0))^2+($AA33-OFFSET($AA$20,MATCH(CS_Start,$A$21:$A$45,0),0))^2),"")</f>
        <v>104.38568910442152</v>
      </c>
      <c r="AD33" s="47">
        <f t="shared" ca="1" si="27"/>
        <v>0.15754497701891523</v>
      </c>
      <c r="AE33" s="47">
        <f t="shared" ca="1" si="28"/>
        <v>104.39</v>
      </c>
      <c r="AF33" s="47">
        <f t="shared" ca="1" si="29"/>
        <v>0.16</v>
      </c>
      <c r="AH33" s="44">
        <v>114.25</v>
      </c>
      <c r="AI33" s="44">
        <f ca="1">OFFSET($AF$22,MATCH(AH33,$AE$23:$AE$53,0),0)</f>
        <v>1.69</v>
      </c>
      <c r="AJ33" s="44" t="str">
        <f t="shared" ca="1" si="30"/>
        <v>114.25,1.69</v>
      </c>
    </row>
    <row r="34" spans="1:36" x14ac:dyDescent="0.25">
      <c r="A34" s="44">
        <v>14</v>
      </c>
      <c r="B34" s="48">
        <v>4.7429861111111107</v>
      </c>
      <c r="C34" s="48">
        <v>3.833414351851852</v>
      </c>
      <c r="D34" s="44">
        <v>108.194</v>
      </c>
      <c r="E34" s="44">
        <v>4.9062000000000001</v>
      </c>
      <c r="F34" s="49" t="s">
        <v>83</v>
      </c>
      <c r="G34" s="43">
        <f t="shared" ref="G34:G35" si="31">C34*24</f>
        <v>92.001944444444447</v>
      </c>
      <c r="H34" s="43">
        <f t="shared" ref="H34:H35" si="32">RADIANS(G34)</f>
        <v>1.6057368487924608</v>
      </c>
      <c r="I34" s="43">
        <f t="shared" ref="I34:I35" si="33">B34*24</f>
        <v>113.83166666666665</v>
      </c>
      <c r="J34" s="49">
        <f t="shared" ref="J34:J35" si="34">RADIANS(I34)</f>
        <v>1.9867373763660117</v>
      </c>
      <c r="K34" s="49">
        <f t="shared" ref="K34:K35" si="35">D34*SIN(H34)</f>
        <v>108.12796293313114</v>
      </c>
      <c r="L34" s="46">
        <f t="shared" ref="L34:L35" si="36">D34*COS(H34)</f>
        <v>-3.7795856825080194</v>
      </c>
      <c r="M34" s="45"/>
      <c r="N34" s="47">
        <f t="shared" ref="N34:N35" si="37">I34+M34</f>
        <v>113.83166666666665</v>
      </c>
      <c r="O34" s="47">
        <f t="shared" ca="1" si="20"/>
        <v>273.21622100163285</v>
      </c>
      <c r="P34" s="47">
        <f t="shared" ref="P34:P35" ca="1" si="38">SUM(N34,O34)</f>
        <v>387.0478876682995</v>
      </c>
      <c r="Q34" s="47">
        <f t="shared" ref="Q34:Q35" ca="1" si="39">RADIANS(P34)</f>
        <v>6.7552600027009841</v>
      </c>
      <c r="R34" s="47">
        <f t="shared" ref="R34:R35" ca="1" si="40">K34*SIN(Q34)</f>
        <v>49.169573775916838</v>
      </c>
      <c r="S34" s="47">
        <f t="shared" ref="S34:S35" ca="1" si="41">K34*COS(Q34)</f>
        <v>96.301658255521517</v>
      </c>
      <c r="T34" s="45">
        <f t="shared" ref="T34:T35" ca="1" si="42">Old_X0+R34</f>
        <v>3864575.6965737757</v>
      </c>
      <c r="U34" s="45">
        <f t="shared" ref="U34:U35" ca="1" si="43">Old_Y0+S34</f>
        <v>1535389.1576582554</v>
      </c>
      <c r="V34" s="47">
        <f t="shared" ref="V34:V35" si="44">Old_Z0+HI+L34-E34</f>
        <v>3464.3185143174919</v>
      </c>
      <c r="W34" s="47">
        <f t="shared" ref="W34:W35" ca="1" si="45">IF(ISNUMBER(T34),V34+dZ,"")</f>
        <v>3464.6676827599586</v>
      </c>
      <c r="X34" s="47">
        <f t="shared" ca="1" si="11"/>
        <v>3864575.6965737757</v>
      </c>
      <c r="Y34" s="47">
        <f t="shared" ca="1" si="23"/>
        <v>1535389.1576582554</v>
      </c>
      <c r="Z34" s="47">
        <f t="shared" ca="1" si="12"/>
        <v>3864576.1801844831</v>
      </c>
      <c r="AA34" s="47">
        <f t="shared" ca="1" si="13"/>
        <v>1535388.9978618957</v>
      </c>
      <c r="AB34" s="47">
        <f t="shared" ref="AB34:AB35" ca="1" si="46">IF(ISNUMBER(X34),SQRT((X34-Z34)^2+(Y34-AA34)^2),"")</f>
        <v>0.50932719623804434</v>
      </c>
      <c r="AC34" s="47">
        <f ca="1">IF(ISNUMBER(Z34),SQRT(($Z34-OFFSET($Z$20,MATCH(CS_Start,$A$21:$A$45,0),0))^2+($AA34-OFFSET($AA$20,MATCH(CS_Start,$A$21:$A$45,0),0))^2),"")</f>
        <v>106.10771096729246</v>
      </c>
      <c r="AD34" s="47">
        <f t="shared" ref="AD34:AD35" ca="1" si="47">IF(ISNUMBER(X34),W34-Min_Z,"")</f>
        <v>0.38098923660982109</v>
      </c>
      <c r="AE34" s="47">
        <f t="shared" ca="1" si="28"/>
        <v>106.11</v>
      </c>
      <c r="AF34" s="47">
        <f t="shared" ca="1" si="29"/>
        <v>0.38</v>
      </c>
      <c r="AH34" s="44">
        <v>136.57</v>
      </c>
      <c r="AI34" s="44">
        <f ca="1">OFFSET($AF$22,MATCH(AH34,$AE$23:$AE$53,0),0)</f>
        <v>1.71</v>
      </c>
      <c r="AJ34" s="44" t="str">
        <f t="shared" ref="AJ34:AJ35" ca="1" si="48">CONCATENATE(AH34,",",AI34)</f>
        <v>136.57,1.71</v>
      </c>
    </row>
    <row r="35" spans="1:36" x14ac:dyDescent="0.25">
      <c r="A35" s="44">
        <v>15</v>
      </c>
      <c r="B35" s="48">
        <v>4.7480208333333334</v>
      </c>
      <c r="C35" s="48">
        <v>3.8227893518518514</v>
      </c>
      <c r="D35" s="44">
        <v>110.461</v>
      </c>
      <c r="E35" s="44">
        <v>4.9062000000000001</v>
      </c>
      <c r="F35" s="44"/>
      <c r="G35" s="43">
        <f t="shared" si="31"/>
        <v>91.746944444444438</v>
      </c>
      <c r="H35" s="43">
        <f t="shared" si="32"/>
        <v>1.6012862591998751</v>
      </c>
      <c r="I35" s="43">
        <f t="shared" si="33"/>
        <v>113.9525</v>
      </c>
      <c r="J35" s="49">
        <f t="shared" si="34"/>
        <v>1.9888463158788383</v>
      </c>
      <c r="K35" s="49">
        <f t="shared" si="35"/>
        <v>110.4096597176131</v>
      </c>
      <c r="L35" s="46">
        <f t="shared" si="36"/>
        <v>-3.3674266199701757</v>
      </c>
      <c r="M35" s="45"/>
      <c r="N35" s="47">
        <f t="shared" si="37"/>
        <v>113.9525</v>
      </c>
      <c r="O35" s="47">
        <f t="shared" ca="1" si="20"/>
        <v>273.21622100163285</v>
      </c>
      <c r="P35" s="47">
        <f t="shared" ca="1" si="38"/>
        <v>387.16872100163283</v>
      </c>
      <c r="Q35" s="47">
        <f t="shared" ca="1" si="39"/>
        <v>6.7573689422138106</v>
      </c>
      <c r="R35" s="47">
        <f t="shared" ca="1" si="40"/>
        <v>50.414409487362583</v>
      </c>
      <c r="S35" s="47">
        <f t="shared" ca="1" si="41"/>
        <v>98.227696068876838</v>
      </c>
      <c r="T35" s="45">
        <f t="shared" ca="1" si="42"/>
        <v>3864576.9414094873</v>
      </c>
      <c r="U35" s="45">
        <f t="shared" ca="1" si="43"/>
        <v>1535391.0836960687</v>
      </c>
      <c r="V35" s="47">
        <f t="shared" si="44"/>
        <v>3464.7306733800301</v>
      </c>
      <c r="W35" s="47">
        <f t="shared" ca="1" si="45"/>
        <v>3465.0798418224967</v>
      </c>
      <c r="X35" s="47">
        <f t="shared" ca="1" si="11"/>
        <v>3864576.9414094873</v>
      </c>
      <c r="Y35" s="47">
        <f t="shared" ca="1" si="23"/>
        <v>1535391.0836960687</v>
      </c>
      <c r="Z35" s="47">
        <f t="shared" ca="1" si="12"/>
        <v>3864576.8764819433</v>
      </c>
      <c r="AA35" s="47">
        <f t="shared" ca="1" si="13"/>
        <v>1535391.1051496547</v>
      </c>
      <c r="AB35" s="47">
        <f t="shared" ca="1" si="46"/>
        <v>6.8380131009713421E-2</v>
      </c>
      <c r="AC35" s="47">
        <f ca="1">IF(ISNUMBER(Z35),SQRT(($Z35-OFFSET($Z$20,MATCH(CS_Start,$A$21:$A$45,0),0))^2+($AA35-OFFSET($AA$20,MATCH(CS_Start,$A$21:$A$45,0),0))^2),"")</f>
        <v>108.32705588239666</v>
      </c>
      <c r="AD35" s="47">
        <f t="shared" ca="1" si="47"/>
        <v>0.79314829914801521</v>
      </c>
      <c r="AE35" s="47">
        <f t="shared" ca="1" si="28"/>
        <v>108.33</v>
      </c>
      <c r="AF35" s="47">
        <f t="shared" ca="1" si="29"/>
        <v>0.79</v>
      </c>
      <c r="AH35" s="44">
        <v>153.68</v>
      </c>
      <c r="AI35" s="44">
        <f ca="1">OFFSET($AF$22,MATCH(AH35,$AE$23:$AE$53,0),0)</f>
        <v>1.51</v>
      </c>
      <c r="AJ35" s="44" t="str">
        <f t="shared" ca="1" si="48"/>
        <v>153.68,1.51</v>
      </c>
    </row>
    <row r="36" spans="1:36" x14ac:dyDescent="0.25">
      <c r="A36" s="44">
        <v>16</v>
      </c>
      <c r="B36" s="48">
        <v>4.7323032407407402</v>
      </c>
      <c r="C36" s="48">
        <v>3.8006250000000001</v>
      </c>
      <c r="D36" s="44">
        <v>116.31699999999999</v>
      </c>
      <c r="E36" s="44">
        <v>4.9062000000000001</v>
      </c>
      <c r="F36" s="44"/>
      <c r="G36" s="43">
        <f t="shared" ref="G36:G37" si="49">C36*24</f>
        <v>91.215000000000003</v>
      </c>
      <c r="H36" s="43">
        <f t="shared" ref="H36:H37" si="50">RADIANS(G36)</f>
        <v>1.5920020772066277</v>
      </c>
      <c r="I36" s="43">
        <f t="shared" ref="I36:I37" si="51">B36*24</f>
        <v>113.57527777777776</v>
      </c>
      <c r="J36" s="49">
        <f t="shared" ref="J36:J37" si="52">RADIANS(I36)</f>
        <v>1.9822625460893706</v>
      </c>
      <c r="K36" s="49">
        <f t="shared" ref="K36:K37" si="53">D36*SIN(H36)</f>
        <v>116.29084804181073</v>
      </c>
      <c r="L36" s="46">
        <f t="shared" ref="L36:L37" si="54">D36*COS(H36)</f>
        <v>-2.466404410570985</v>
      </c>
      <c r="M36" s="45"/>
      <c r="N36" s="47">
        <f t="shared" ref="N36:N37" si="55">I36+M36</f>
        <v>113.57527777777776</v>
      </c>
      <c r="O36" s="47">
        <f t="shared" ca="1" si="20"/>
        <v>273.21622100163285</v>
      </c>
      <c r="P36" s="47">
        <f t="shared" ref="P36:P37" ca="1" si="56">SUM(N36,O36)</f>
        <v>386.79149877941063</v>
      </c>
      <c r="Q36" s="47">
        <f t="shared" ref="Q36:Q37" ca="1" si="57">RADIANS(P36)</f>
        <v>6.7507851724243437</v>
      </c>
      <c r="R36" s="47">
        <f t="shared" ref="R36:R37" ca="1" si="58">K36*SIN(Q36)</f>
        <v>52.417529806430423</v>
      </c>
      <c r="S36" s="47">
        <f t="shared" ref="S36:S37" ca="1" si="59">K36*COS(Q36)</f>
        <v>103.80734033427257</v>
      </c>
      <c r="T36" s="45">
        <f t="shared" ref="T36:T37" ca="1" si="60">Old_X0+R36</f>
        <v>3864578.9445298063</v>
      </c>
      <c r="U36" s="45">
        <f t="shared" ref="U36:U37" ca="1" si="61">Old_Y0+S36</f>
        <v>1535396.6633403341</v>
      </c>
      <c r="V36" s="47">
        <f t="shared" ref="V36:V37" si="62">Old_Z0+HI+L36-E36</f>
        <v>3465.631695589429</v>
      </c>
      <c r="W36" s="47">
        <f t="shared" ref="W36:W37" ca="1" si="63">IF(ISNUMBER(T36),V36+dZ,"")</f>
        <v>3465.9808640318952</v>
      </c>
      <c r="X36" s="47">
        <f t="shared" ca="1" si="11"/>
        <v>3864578.9445298063</v>
      </c>
      <c r="Y36" s="47">
        <f t="shared" ref="Y36:Y37" ca="1" si="64">IF(ISNUMBER(X36),U36,"")</f>
        <v>1535396.6633403341</v>
      </c>
      <c r="Z36" s="47">
        <f t="shared" ca="1" si="12"/>
        <v>3864578.7358252327</v>
      </c>
      <c r="AA36" s="47">
        <f t="shared" ca="1" si="13"/>
        <v>1535396.7323012352</v>
      </c>
      <c r="AB36" s="47">
        <f t="shared" ref="AB36:AB37" ca="1" si="65">IF(ISNUMBER(X36),SQRT((X36-Z36)^2+(Y36-AA36)^2),"")</f>
        <v>0.2198026499181589</v>
      </c>
      <c r="AC36" s="47">
        <f ca="1">IF(ISNUMBER(Z36),SQRT(($Z36-OFFSET($Z$20,MATCH(CS_Start,$A$21:$A$45,0),0))^2+($AA36-OFFSET($AA$20,MATCH(CS_Start,$A$21:$A$45,0),0))^2),"")</f>
        <v>114.25343693478102</v>
      </c>
      <c r="AD36" s="47">
        <f t="shared" ref="AD36:AD37" ca="1" si="66">IF(ISNUMBER(X36),W36-Min_Z,"")</f>
        <v>1.6941705085464491</v>
      </c>
      <c r="AE36" s="47">
        <f t="shared" ca="1" si="28"/>
        <v>114.25</v>
      </c>
      <c r="AF36" s="47">
        <f t="shared" ca="1" si="29"/>
        <v>1.69</v>
      </c>
      <c r="AH36" s="44"/>
      <c r="AI36" s="44">
        <f ca="1">OFFSET($AF$22,MATCH(AH36,$AE$23:$AE$53,0),0)</f>
        <v>4.3</v>
      </c>
      <c r="AJ36" s="44" t="str">
        <f t="shared" ref="AJ36:AJ37" ca="1" si="67">CONCATENATE(AH36,",",AI36)</f>
        <v>,4.3</v>
      </c>
    </row>
    <row r="37" spans="1:36" x14ac:dyDescent="0.25">
      <c r="A37" s="44">
        <v>17</v>
      </c>
      <c r="B37" s="48">
        <v>4.6895023148148143</v>
      </c>
      <c r="C37" s="48">
        <v>3.7922106481481479</v>
      </c>
      <c r="D37" s="44">
        <v>138.52500000000001</v>
      </c>
      <c r="E37" s="44">
        <v>4.9062000000000001</v>
      </c>
      <c r="F37" s="44"/>
      <c r="G37" s="43">
        <f t="shared" si="49"/>
        <v>91.013055555555553</v>
      </c>
      <c r="H37" s="43">
        <f t="shared" si="50"/>
        <v>1.5884774817449614</v>
      </c>
      <c r="I37" s="43">
        <f t="shared" si="51"/>
        <v>112.54805555555555</v>
      </c>
      <c r="J37" s="49">
        <f t="shared" si="52"/>
        <v>1.9643341361619402</v>
      </c>
      <c r="K37" s="49">
        <f t="shared" si="53"/>
        <v>138.50334749691245</v>
      </c>
      <c r="L37" s="46">
        <f t="shared" si="54"/>
        <v>-2.4491543743738249</v>
      </c>
      <c r="M37" s="45"/>
      <c r="N37" s="47">
        <f t="shared" si="55"/>
        <v>112.54805555555555</v>
      </c>
      <c r="O37" s="47">
        <f t="shared" ca="1" si="20"/>
        <v>273.21622100163285</v>
      </c>
      <c r="P37" s="47">
        <f t="shared" ca="1" si="56"/>
        <v>385.7642765571884</v>
      </c>
      <c r="Q37" s="47">
        <f t="shared" ca="1" si="57"/>
        <v>6.7328567624969127</v>
      </c>
      <c r="R37" s="47">
        <f t="shared" ca="1" si="58"/>
        <v>60.203204839794509</v>
      </c>
      <c r="S37" s="47">
        <f t="shared" ca="1" si="59"/>
        <v>124.73472409424824</v>
      </c>
      <c r="T37" s="45">
        <f t="shared" ca="1" si="60"/>
        <v>3864586.7302048397</v>
      </c>
      <c r="U37" s="45">
        <f t="shared" ca="1" si="61"/>
        <v>1535417.5907240941</v>
      </c>
      <c r="V37" s="47">
        <f t="shared" si="62"/>
        <v>3465.6489456256263</v>
      </c>
      <c r="W37" s="47">
        <f t="shared" ca="1" si="63"/>
        <v>3465.9981140680929</v>
      </c>
      <c r="X37" s="47">
        <f t="shared" ca="1" si="11"/>
        <v>3864586.7302048397</v>
      </c>
      <c r="Y37" s="47">
        <f t="shared" ca="1" si="64"/>
        <v>1535417.5907240941</v>
      </c>
      <c r="Z37" s="47">
        <f t="shared" ca="1" si="12"/>
        <v>3864585.7364381091</v>
      </c>
      <c r="AA37" s="47">
        <f t="shared" ca="1" si="13"/>
        <v>1535417.9190880042</v>
      </c>
      <c r="AB37" s="47">
        <f t="shared" ca="1" si="65"/>
        <v>1.0466112804644012</v>
      </c>
      <c r="AC37" s="47">
        <f ca="1">IF(ISNUMBER(Z37),SQRT(($Z37-OFFSET($Z$20,MATCH(CS_Start,$A$21:$A$45,0),0))^2+($AA37-OFFSET($AA$20,MATCH(CS_Start,$A$21:$A$45,0),0))^2),"")</f>
        <v>136.56685250116624</v>
      </c>
      <c r="AD37" s="47">
        <f t="shared" ca="1" si="66"/>
        <v>1.7114205447442146</v>
      </c>
      <c r="AE37" s="47">
        <f t="shared" ca="1" si="28"/>
        <v>136.57</v>
      </c>
      <c r="AF37" s="47">
        <f t="shared" ca="1" si="29"/>
        <v>1.71</v>
      </c>
      <c r="AH37" s="44"/>
      <c r="AI37" s="44">
        <f ca="1">OFFSET($AF$22,MATCH(AH37,$AE$23:$AE$53,0),0)</f>
        <v>4.3</v>
      </c>
      <c r="AJ37" s="44" t="str">
        <f t="shared" ca="1" si="67"/>
        <v>,4.3</v>
      </c>
    </row>
    <row r="38" spans="1:36" x14ac:dyDescent="0.25">
      <c r="A38" s="44">
        <v>18</v>
      </c>
      <c r="B38" s="48">
        <v>4.6524884259259265</v>
      </c>
      <c r="C38" s="48">
        <v>3.7907175925925927</v>
      </c>
      <c r="D38" s="44">
        <v>155.48599999999999</v>
      </c>
      <c r="E38" s="44">
        <v>4.9062000000000001</v>
      </c>
      <c r="F38" s="44"/>
      <c r="G38" s="43">
        <f t="shared" ref="G38:G40" si="68">C38*24</f>
        <v>90.977222222222224</v>
      </c>
      <c r="H38" s="43">
        <f t="shared" ref="H38:H40" si="69">RADIANS(G38)</f>
        <v>1.5878520720963301</v>
      </c>
      <c r="I38" s="43">
        <f t="shared" ref="I38:I40" si="70">B38*24</f>
        <v>111.65972222222223</v>
      </c>
      <c r="J38" s="49">
        <f t="shared" ref="J38:J40" si="71">RADIANS(I38)</f>
        <v>1.9488297946400575</v>
      </c>
      <c r="K38" s="49">
        <f t="shared" ref="K38:K40" si="72">D38*SIN(H38)</f>
        <v>155.46338523019841</v>
      </c>
      <c r="L38" s="46">
        <f t="shared" ref="L38:L40" si="73">D38*COS(H38)</f>
        <v>-2.6518010421073717</v>
      </c>
      <c r="M38" s="45"/>
      <c r="N38" s="47">
        <f t="shared" ref="N38:N40" si="74">I38+M38</f>
        <v>111.65972222222223</v>
      </c>
      <c r="O38" s="47">
        <f t="shared" ca="1" si="20"/>
        <v>273.21622100163285</v>
      </c>
      <c r="P38" s="47">
        <f t="shared" ref="P38:P40" ca="1" si="75">SUM(N38,O38)</f>
        <v>384.87594322385507</v>
      </c>
      <c r="Q38" s="47">
        <f t="shared" ref="Q38:Q40" ca="1" si="76">RADIANS(P38)</f>
        <v>6.7173524209750299</v>
      </c>
      <c r="R38" s="47">
        <f t="shared" ref="R38:R40" ca="1" si="77">K38*SIN(Q38)</f>
        <v>65.39644032398634</v>
      </c>
      <c r="S38" s="47">
        <f t="shared" ref="S38:S40" ca="1" si="78">K38*COS(Q38)</f>
        <v>141.0396034459271</v>
      </c>
      <c r="T38" s="45">
        <f t="shared" ref="T38:T40" ca="1" si="79">Old_X0+R38</f>
        <v>3864591.9234403237</v>
      </c>
      <c r="U38" s="45">
        <f t="shared" ref="U38:U40" ca="1" si="80">Old_Y0+S38</f>
        <v>1535433.8956034458</v>
      </c>
      <c r="V38" s="47">
        <f t="shared" ref="V38:V40" si="81">Old_Z0+HI+L38-E38</f>
        <v>3465.4462989578929</v>
      </c>
      <c r="W38" s="47">
        <f t="shared" ref="W38:W40" ca="1" si="82">IF(ISNUMBER(T38),V38+dZ,"")</f>
        <v>3465.7954674003595</v>
      </c>
      <c r="X38" s="47">
        <f t="shared" ca="1" si="11"/>
        <v>3864591.9234403237</v>
      </c>
      <c r="Y38" s="47">
        <f t="shared" ref="Y38:Y40" ca="1" si="83">IF(ISNUMBER(X38),U38,"")</f>
        <v>1535433.8956034458</v>
      </c>
      <c r="Z38" s="47">
        <f t="shared" ca="1" si="12"/>
        <v>3864591.10483034</v>
      </c>
      <c r="AA38" s="47">
        <f t="shared" ca="1" si="13"/>
        <v>1535434.1660914458</v>
      </c>
      <c r="AB38" s="47">
        <f t="shared" ref="AB38:AB40" ca="1" si="84">IF(ISNUMBER(X38),SQRT((X38-Z38)^2+(Y38-AA38)^2),"")</f>
        <v>0.86214039662764141</v>
      </c>
      <c r="AC38" s="47">
        <f ca="1">IF(ISNUMBER(Z38),SQRT(($Z38-OFFSET($Z$20,MATCH(CS_Start,$A$21:$A$45,0),0))^2+($AA38-OFFSET($AA$20,MATCH(CS_Start,$A$21:$A$45,0),0))^2),"")</f>
        <v>153.67780676967786</v>
      </c>
      <c r="AD38" s="47">
        <f t="shared" ref="AD38:AD40" ca="1" si="85">IF(ISNUMBER(X38),W38-Min_Z,"")</f>
        <v>1.5087738770107535</v>
      </c>
      <c r="AE38" s="47">
        <f t="shared" ca="1" si="28"/>
        <v>153.68</v>
      </c>
      <c r="AF38" s="47">
        <f t="shared" ca="1" si="29"/>
        <v>1.51</v>
      </c>
      <c r="AH38" s="44"/>
      <c r="AI38" s="44">
        <f ca="1">OFFSET($AF$22,MATCH(AH38,$AE$23:$AE$53,0),0)</f>
        <v>4.3</v>
      </c>
      <c r="AJ38" s="44" t="str">
        <f t="shared" ref="AJ38:AJ40" ca="1" si="86">CONCATENATE(AH38,",",AI38)</f>
        <v>,4.3</v>
      </c>
    </row>
    <row r="39" spans="1:36" x14ac:dyDescent="0.25">
      <c r="A39" s="44">
        <v>19</v>
      </c>
      <c r="B39" s="48">
        <v>14.999456018518517</v>
      </c>
      <c r="C39" s="48">
        <v>3.7120254629629628</v>
      </c>
      <c r="D39" s="44">
        <v>81.451999999999998</v>
      </c>
      <c r="E39" s="44">
        <v>4.9062000000000001</v>
      </c>
      <c r="F39" s="49" t="s">
        <v>69</v>
      </c>
      <c r="G39" s="43">
        <f t="shared" si="68"/>
        <v>89.088611111111106</v>
      </c>
      <c r="H39" s="43">
        <f t="shared" si="69"/>
        <v>1.5548895899176927</v>
      </c>
      <c r="I39" s="43">
        <f t="shared" si="70"/>
        <v>359.98694444444442</v>
      </c>
      <c r="J39" s="49">
        <f t="shared" si="71"/>
        <v>6.2829574447494645</v>
      </c>
      <c r="K39" s="49">
        <f t="shared" si="72"/>
        <v>81.441695550526632</v>
      </c>
      <c r="L39" s="46">
        <f t="shared" si="73"/>
        <v>1.2955808949390528</v>
      </c>
      <c r="M39" s="45"/>
      <c r="N39" s="47">
        <f t="shared" si="74"/>
        <v>359.98694444444442</v>
      </c>
      <c r="O39" s="47">
        <f t="shared" ca="1" si="20"/>
        <v>273.21622100163285</v>
      </c>
      <c r="P39" s="47">
        <f t="shared" ca="1" si="75"/>
        <v>633.20316544607726</v>
      </c>
      <c r="Q39" s="47">
        <f t="shared" ca="1" si="76"/>
        <v>11.051480071084438</v>
      </c>
      <c r="R39" s="47">
        <f t="shared" ca="1" si="77"/>
        <v>-81.314457451770139</v>
      </c>
      <c r="S39" s="47">
        <f t="shared" ca="1" si="78"/>
        <v>4.5506904387062592</v>
      </c>
      <c r="T39" s="45">
        <f t="shared" ca="1" si="79"/>
        <v>3864445.2125425478</v>
      </c>
      <c r="U39" s="45">
        <f t="shared" ca="1" si="80"/>
        <v>1535297.4066904385</v>
      </c>
      <c r="V39" s="47">
        <f t="shared" si="81"/>
        <v>3469.3936808949393</v>
      </c>
      <c r="W39" s="47">
        <f t="shared" ca="1" si="82"/>
        <v>3469.7428493374055</v>
      </c>
      <c r="X39" s="47" t="str">
        <f t="shared" si="11"/>
        <v/>
      </c>
      <c r="Y39" s="47" t="str">
        <f t="shared" si="83"/>
        <v/>
      </c>
      <c r="Z39" s="47" t="e">
        <f t="shared" si="12"/>
        <v>#N/A</v>
      </c>
      <c r="AA39" s="47" t="e">
        <f t="shared" si="13"/>
        <v>#N/A</v>
      </c>
      <c r="AB39" s="47" t="str">
        <f t="shared" si="84"/>
        <v/>
      </c>
      <c r="AC39" s="47" t="str">
        <f ca="1">IF(ISNUMBER(Z39),SQRT(($Z39-OFFSET($Z$20,MATCH(CS_Start,$A$21:$A$45,0),0))^2+($AA39-OFFSET($AA$20,MATCH(CS_Start,$A$21:$A$45,0),0))^2),"")</f>
        <v/>
      </c>
      <c r="AD39" s="47" t="str">
        <f t="shared" si="85"/>
        <v/>
      </c>
      <c r="AE39" s="47" t="e">
        <f t="shared" ca="1" si="28"/>
        <v>#VALUE!</v>
      </c>
      <c r="AF39" s="47" t="e">
        <f t="shared" si="29"/>
        <v>#VALUE!</v>
      </c>
      <c r="AH39" s="44"/>
      <c r="AI39" s="44">
        <f ca="1">OFFSET($AF$22,MATCH(AH39,$AE$23:$AE$53,0),0)</f>
        <v>4.3</v>
      </c>
      <c r="AJ39" s="44" t="str">
        <f t="shared" ca="1" si="86"/>
        <v>,4.3</v>
      </c>
    </row>
    <row r="40" spans="1:36" x14ac:dyDescent="0.25">
      <c r="A40" s="44">
        <v>20</v>
      </c>
      <c r="B40" s="48">
        <v>10.461030092592592</v>
      </c>
      <c r="C40" s="48">
        <v>3.7277083333333336</v>
      </c>
      <c r="D40" s="44">
        <v>104.634</v>
      </c>
      <c r="E40" s="44">
        <v>4.9062000000000001</v>
      </c>
      <c r="F40" s="49" t="s">
        <v>70</v>
      </c>
      <c r="G40" s="43">
        <f t="shared" si="68"/>
        <v>89.465000000000003</v>
      </c>
      <c r="H40" s="43">
        <f t="shared" si="69"/>
        <v>1.561458815296727</v>
      </c>
      <c r="I40" s="43">
        <f t="shared" si="70"/>
        <v>251.0647222222222</v>
      </c>
      <c r="J40" s="49">
        <f t="shared" si="71"/>
        <v>4.3819060383827519</v>
      </c>
      <c r="K40" s="49">
        <f t="shared" si="72"/>
        <v>104.62943855990024</v>
      </c>
      <c r="L40" s="46">
        <f t="shared" si="73"/>
        <v>0.97700698055842106</v>
      </c>
      <c r="M40" s="45"/>
      <c r="N40" s="47">
        <f t="shared" si="74"/>
        <v>251.0647222222222</v>
      </c>
      <c r="O40" s="47">
        <f t="shared" ca="1" si="20"/>
        <v>273.21622100163285</v>
      </c>
      <c r="P40" s="47">
        <f t="shared" ca="1" si="75"/>
        <v>524.28094322385505</v>
      </c>
      <c r="Q40" s="47">
        <f t="shared" ca="1" si="76"/>
        <v>9.1504286647177242</v>
      </c>
      <c r="R40" s="47">
        <f t="shared" ca="1" si="77"/>
        <v>28.346272954551601</v>
      </c>
      <c r="S40" s="47">
        <f t="shared" ca="1" si="78"/>
        <v>-100.71647443663819</v>
      </c>
      <c r="T40" s="45">
        <f t="shared" ca="1" si="79"/>
        <v>3864554.8732729545</v>
      </c>
      <c r="U40" s="45">
        <f t="shared" ca="1" si="80"/>
        <v>1535192.1395255632</v>
      </c>
      <c r="V40" s="47">
        <f t="shared" si="81"/>
        <v>3469.0751069805588</v>
      </c>
      <c r="W40" s="47">
        <f t="shared" ca="1" si="82"/>
        <v>3469.4242754230254</v>
      </c>
      <c r="X40" s="47" t="str">
        <f t="shared" si="11"/>
        <v/>
      </c>
      <c r="Y40" s="47" t="str">
        <f t="shared" si="83"/>
        <v/>
      </c>
      <c r="Z40" s="47" t="e">
        <f t="shared" si="12"/>
        <v>#N/A</v>
      </c>
      <c r="AA40" s="47" t="e">
        <f t="shared" si="13"/>
        <v>#N/A</v>
      </c>
      <c r="AB40" s="47" t="str">
        <f t="shared" si="84"/>
        <v/>
      </c>
      <c r="AC40" s="47" t="str">
        <f ca="1">IF(ISNUMBER(Z40),SQRT(($Z40-OFFSET($Z$20,MATCH(CS_Start,$A$21:$A$45,0),0))^2+($AA40-OFFSET($AA$20,MATCH(CS_Start,$A$21:$A$45,0),0))^2),"")</f>
        <v/>
      </c>
      <c r="AD40" s="47" t="str">
        <f t="shared" si="85"/>
        <v/>
      </c>
      <c r="AE40" s="47" t="e">
        <f t="shared" ca="1" si="28"/>
        <v>#VALUE!</v>
      </c>
      <c r="AF40" s="47" t="e">
        <f t="shared" si="29"/>
        <v>#VALUE!</v>
      </c>
      <c r="AH40" s="44"/>
      <c r="AI40" s="44">
        <f ca="1">OFFSET($AF$22,MATCH(AH40,$AE$23:$AE$53,0),0)</f>
        <v>4.3</v>
      </c>
      <c r="AJ40" s="44" t="str">
        <f t="shared" ca="1" si="86"/>
        <v>,4.3</v>
      </c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4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48"/>
      <c r="D44" s="44"/>
      <c r="E44" s="44"/>
      <c r="F44" s="44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4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9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50"/>
      <c r="D50" s="44"/>
      <c r="E50" s="44"/>
      <c r="F50" s="50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4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4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9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  <c r="AH54" s="44"/>
      <c r="AI54" s="44"/>
      <c r="AJ54" s="44"/>
    </row>
    <row r="55" spans="1:36" x14ac:dyDescent="0.25">
      <c r="A55" s="44"/>
      <c r="B55" s="48"/>
      <c r="C55" s="48"/>
      <c r="D55" s="44"/>
      <c r="E55" s="44"/>
      <c r="F55" s="49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  <c r="AH55" s="44"/>
      <c r="AI55" s="44"/>
      <c r="AJ55" s="44"/>
    </row>
    <row r="56" spans="1:36" x14ac:dyDescent="0.25">
      <c r="A56" s="40"/>
      <c r="C56" s="2"/>
      <c r="D56" s="42"/>
      <c r="E56" s="42"/>
      <c r="F56" s="42"/>
      <c r="G56" s="42"/>
      <c r="H56" s="42"/>
      <c r="I56" s="10"/>
      <c r="J56" s="10"/>
      <c r="K56" s="10"/>
      <c r="L56" s="10"/>
      <c r="M56" s="10"/>
      <c r="V56" s="2"/>
      <c r="W56" s="13"/>
      <c r="X56" s="2"/>
      <c r="Y56" s="2"/>
      <c r="Z56" s="2"/>
      <c r="AH56" s="44"/>
      <c r="AI56" s="44"/>
      <c r="AJ56" s="44"/>
    </row>
    <row r="57" spans="1:36" x14ac:dyDescent="0.25">
      <c r="A57" s="40"/>
      <c r="C57" s="2"/>
      <c r="D57" s="42"/>
      <c r="E57" s="42"/>
      <c r="F57" s="42"/>
      <c r="G57" s="42"/>
      <c r="H57" s="42"/>
      <c r="I57" s="10"/>
      <c r="J57" s="10"/>
      <c r="K57" s="10"/>
      <c r="L57" s="10"/>
      <c r="M57" s="10"/>
      <c r="V57" s="2"/>
      <c r="W57" s="13"/>
      <c r="X57" s="2"/>
      <c r="Y57" s="2"/>
      <c r="Z57" s="2"/>
      <c r="AH57" s="44"/>
      <c r="AI57" s="44"/>
      <c r="AJ57" s="44"/>
    </row>
    <row r="58" spans="1:36" x14ac:dyDescent="0.25">
      <c r="A58" s="40"/>
      <c r="C58" s="2"/>
      <c r="D58" s="42"/>
      <c r="E58" s="42"/>
      <c r="F58" s="42"/>
      <c r="G58" s="42"/>
      <c r="H58" s="42"/>
      <c r="I58" s="10"/>
      <c r="J58" s="10"/>
      <c r="K58" s="10"/>
      <c r="L58" s="10"/>
      <c r="M58" s="10"/>
      <c r="V58" s="2"/>
      <c r="W58" s="13"/>
      <c r="X58" s="2"/>
      <c r="Y58" s="2"/>
      <c r="Z58" s="2"/>
      <c r="AH58" s="44"/>
      <c r="AI58" s="44"/>
      <c r="AJ58" s="44"/>
    </row>
    <row r="59" spans="1:36" x14ac:dyDescent="0.25">
      <c r="A59" s="40"/>
      <c r="C59" s="2"/>
      <c r="D59" s="42"/>
      <c r="E59" s="42"/>
      <c r="F59" s="42"/>
      <c r="G59" s="42"/>
      <c r="H59" s="42"/>
      <c r="I59" s="10"/>
      <c r="J59" s="10"/>
      <c r="K59" s="10"/>
      <c r="L59" s="10"/>
      <c r="M59" s="10"/>
      <c r="V59" s="2"/>
      <c r="W59" s="13"/>
      <c r="X59" s="2"/>
      <c r="Y59" s="2"/>
      <c r="Z59" s="2"/>
      <c r="AH59" s="44"/>
      <c r="AI59" s="44"/>
      <c r="AJ59" s="44"/>
    </row>
    <row r="60" spans="1:36" x14ac:dyDescent="0.25">
      <c r="A60" s="40"/>
      <c r="C60" s="2"/>
      <c r="D60" s="42"/>
      <c r="E60" s="42"/>
      <c r="F60" s="42"/>
      <c r="G60" s="42"/>
      <c r="H60" s="42"/>
      <c r="I60" s="10"/>
      <c r="J60" s="10"/>
      <c r="K60" s="10"/>
      <c r="L60" s="10"/>
      <c r="M60" s="10"/>
      <c r="V60" s="2"/>
      <c r="W60" s="13"/>
      <c r="X60" s="2"/>
      <c r="Y60" s="2"/>
      <c r="Z60" s="2"/>
      <c r="AH60" s="44"/>
      <c r="AI60" s="44"/>
      <c r="AJ60" s="44"/>
    </row>
    <row r="61" spans="1:36" x14ac:dyDescent="0.25">
      <c r="A61" s="40"/>
      <c r="C61" s="2"/>
      <c r="D61" s="42"/>
      <c r="E61" s="42"/>
      <c r="F61" s="42"/>
      <c r="G61" s="42"/>
      <c r="H61" s="42"/>
      <c r="I61" s="10"/>
      <c r="J61" s="10"/>
      <c r="K61" s="10"/>
      <c r="L61" s="10"/>
      <c r="M61" s="10"/>
      <c r="V61" s="2"/>
      <c r="W61" s="13"/>
      <c r="X61" s="2"/>
      <c r="Y61" s="2"/>
      <c r="Z61" s="2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A62" s="2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A63" s="2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A64" s="2"/>
    </row>
    <row r="65" spans="1:27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W65" s="2"/>
      <c r="X65" s="13"/>
      <c r="Y65" s="2"/>
      <c r="Z65" s="2"/>
      <c r="AA65" s="2"/>
    </row>
    <row r="66" spans="1:27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W66" s="2"/>
      <c r="X66" s="13"/>
      <c r="Y66" s="2"/>
      <c r="Z66" s="2"/>
      <c r="AA66" s="2"/>
    </row>
    <row r="67" spans="1:27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W67" s="2"/>
      <c r="X67" s="13"/>
      <c r="Y67" s="2"/>
      <c r="Z67" s="2"/>
      <c r="AA67" s="2"/>
    </row>
    <row r="68" spans="1:27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X68" s="13"/>
      <c r="Y68" s="2"/>
      <c r="Z68" s="2"/>
      <c r="AA68" s="2"/>
    </row>
    <row r="69" spans="1:27" x14ac:dyDescent="0.25">
      <c r="A69" s="17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X69" s="13"/>
      <c r="Y69" s="2"/>
      <c r="Z69" s="2"/>
      <c r="AA69" s="2"/>
    </row>
    <row r="70" spans="1:27" x14ac:dyDescent="0.25">
      <c r="A70" s="17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X70" s="13"/>
      <c r="Y70" s="2"/>
      <c r="Z70" s="2"/>
      <c r="AA70" s="2"/>
    </row>
    <row r="71" spans="1:27" x14ac:dyDescent="0.25">
      <c r="A71" s="17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X71" s="13"/>
      <c r="Y71" s="2"/>
      <c r="Z71" s="2"/>
      <c r="AA71" s="2"/>
    </row>
    <row r="72" spans="1:27" x14ac:dyDescent="0.25">
      <c r="A72" s="17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X72" s="13"/>
      <c r="Y72" s="2"/>
      <c r="Z72" s="2"/>
      <c r="AA72" s="2"/>
    </row>
    <row r="73" spans="1:27" x14ac:dyDescent="0.25">
      <c r="A73" s="17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X73" s="13"/>
      <c r="Y73" s="2"/>
      <c r="Z73" s="2"/>
      <c r="AA73" s="2"/>
    </row>
    <row r="74" spans="1:27" x14ac:dyDescent="0.25">
      <c r="A74" s="17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27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27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27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27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27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</sheetData>
  <sortState ref="AH23:AH40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3864526.5269999998</v>
      </c>
      <c r="C2" s="33">
        <f>IF(ISNUMBER(Calculations!O4),CONVERT(Calculations!O4,Units_In,Units_Out),"")</f>
        <v>1535292.8559999999</v>
      </c>
      <c r="D2" s="33" t="s">
        <v>60</v>
      </c>
      <c r="E2" s="10" t="str">
        <f>CONCATENATE("0503 ",B2,"EUSft ",C2,"NUSft")</f>
        <v>0503 3864526.527EUSft 1535292.856NUSft</v>
      </c>
      <c r="F2" s="34">
        <v>98</v>
      </c>
      <c r="G2" s="10" t="str">
        <f>IF(F2=98,"Lime",IF(F2=94,"Yellow",""))</f>
        <v>Lime</v>
      </c>
      <c r="H2" s="10" t="str">
        <f>Calculations!$A$1</f>
        <v>DSS5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3864476.682</v>
      </c>
      <c r="C3" s="33">
        <f>IF(ISNUMBER(Calculations!O5),CONVERT(Calculations!O5,Units_In,Units_Out),"")</f>
        <v>1535230.7649999999</v>
      </c>
      <c r="D3" s="33" t="s">
        <v>60</v>
      </c>
      <c r="E3" s="10" t="str">
        <f t="shared" ref="E3:E4" si="0">CONCATENATE("0503 ",B3,"EUSft ",C3,"NUSft")</f>
        <v>0503 3864476.682EUSft 1535230.765NUSft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DSS5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3864628.068</v>
      </c>
      <c r="C4" s="33">
        <f>IF(ISNUMBER(Calculations!O6),CONVERT(Calculations!O6,Units_In,Units_Out),"")</f>
        <v>1535257.6869999999</v>
      </c>
      <c r="D4" s="33" t="s">
        <v>60</v>
      </c>
      <c r="E4" s="10" t="str">
        <f t="shared" si="0"/>
        <v>0503 3864628.068EUSft 1535257.687NUSft</v>
      </c>
      <c r="F4" s="34">
        <v>98</v>
      </c>
      <c r="G4" s="10" t="str">
        <f t="shared" si="1"/>
        <v>Lime</v>
      </c>
      <c r="H4" s="10" t="str">
        <f>Calculations!$A$1</f>
        <v>DSS5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3864445.1117363032</v>
      </c>
      <c r="C5" s="33">
        <f ca="1">IF(ISNUMBER(A5),CONVERT(Calculations!U21,Units_In,Units_Out),"")</f>
        <v>1535297.4309417896</v>
      </c>
      <c r="D5" s="33" t="str">
        <f>IF(ISTEXT(Calculations!F21),Calculations!F21,"")</f>
        <v>BS/ZERO</v>
      </c>
      <c r="E5" t="str">
        <f ca="1">IF(ISNUMBER(A5),CONCATENATE("0503 ",B5,"EUSft ",C5,"NUSft"),"")</f>
        <v>0503 3864445.1117363EUSft 1535297.43094179NUSft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DSS5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3864554.8122683135</v>
      </c>
      <c r="C6" s="33">
        <f ca="1">IF(ISNUMBER(A6),CONVERT(Calculations!U22,Units_In,Units_Out),"")</f>
        <v>1535192.0527649932</v>
      </c>
      <c r="D6" s="33" t="str">
        <f>IF(ISTEXT(Calculations!F22),Calculations!F22,"")</f>
        <v xml:space="preserve">BS </v>
      </c>
      <c r="E6" s="10" t="str">
        <f t="shared" ref="E6:E65" ca="1" si="2">IF(ISNUMBER(A6),CONCATENATE("0503 ",B6,"EUSft ",C6,"NUSft"),"")</f>
        <v>0503 3864554.81226831EUSft 1535192.05276499NUSft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DSS5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3864616.6989779514</v>
      </c>
      <c r="C7" s="33">
        <f ca="1">IF(ISNUMBER(A7),CONVERT(Calculations!U23,Units_In,Units_Out),"")</f>
        <v>1535073.141485028</v>
      </c>
      <c r="D7" s="33" t="str">
        <f>IF(ISTEXT(Calculations!F23),Calculations!F23,"")</f>
        <v>Dfence</v>
      </c>
      <c r="E7" s="10" t="str">
        <f t="shared" ca="1" si="2"/>
        <v>0503 3864616.69897795EUSft 1535073.14148503NUSft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DSS5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3864590.9402677021</v>
      </c>
      <c r="C8" s="33">
        <f ca="1">IF(ISNUMBER(A8),CONVERT(Calculations!U24,Units_In,Units_Out),"")</f>
        <v>1535154.9144659895</v>
      </c>
      <c r="D8" s="33" t="str">
        <f>IF(ISTEXT(Calculations!F24),Calculations!F24,"")</f>
        <v>Dfence</v>
      </c>
      <c r="E8" s="10" t="str">
        <f t="shared" ca="1" si="2"/>
        <v>0503 3864590.9402677EUSft 1535154.91446599NUSft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DSS5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3864554.5415146649</v>
      </c>
      <c r="C9" s="33">
        <f ca="1">IF(ISNUMBER(A9),CONVERT(Calculations!U25,Units_In,Units_Out),"")</f>
        <v>1535248.5131544631</v>
      </c>
      <c r="D9" s="33" t="str">
        <f>IF(ISTEXT(Calculations!F25),Calculations!F25,"")</f>
        <v>Dfence</v>
      </c>
      <c r="E9" s="10" t="str">
        <f t="shared" ca="1" si="2"/>
        <v>0503 3864554.54151466EUSft 1535248.51315446NUSft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DSS5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3864549.2487082928</v>
      </c>
      <c r="C10" s="33">
        <f ca="1">IF(ISNUMBER(A10),CONVERT(Calculations!U26,Units_In,Units_Out),"")</f>
        <v>1535286.146559604</v>
      </c>
      <c r="D10" s="33" t="str">
        <f>IF(ISTEXT(Calculations!F26),Calculations!F26,"")</f>
        <v/>
      </c>
      <c r="E10" s="10" t="str">
        <f t="shared" ca="1" si="2"/>
        <v>0503 3864549.24870829EUSft 1535286.1465596NUSft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DSS5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3864550.2402703715</v>
      </c>
      <c r="C11" s="33">
        <f ca="1">IF(ISNUMBER(A11),CONVERT(Calculations!U27,Units_In,Units_Out),"")</f>
        <v>1535300.8943670187</v>
      </c>
      <c r="D11" s="33" t="str">
        <f>IF(ISTEXT(Calculations!F27),Calculations!F27,"")</f>
        <v/>
      </c>
      <c r="E11" s="10" t="str">
        <f t="shared" ca="1" si="2"/>
        <v>0503 3864550.24027037EUSft 1535300.89436702NUSft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DSS5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3864549.909883528</v>
      </c>
      <c r="C12" s="33">
        <f ca="1">IF(ISNUMBER(A12),CONVERT(Calculations!U28,Units_In,Units_Out),"")</f>
        <v>1535320.8055314131</v>
      </c>
      <c r="D12" s="33" t="str">
        <f>IF(ISTEXT(Calculations!F28),Calculations!F28,"")</f>
        <v/>
      </c>
      <c r="E12" s="10" t="str">
        <f t="shared" ca="1" si="2"/>
        <v>0503 3864549.90988353EUSft 1535320.80553141NUSft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DSS5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3864552.3432472078</v>
      </c>
      <c r="C13" s="33">
        <f ca="1">IF(ISNUMBER(A13),CONVERT(Calculations!U29,Units_In,Units_Out),"")</f>
        <v>1535324.2571461515</v>
      </c>
      <c r="D13" s="33" t="str">
        <f>IF(ISTEXT(Calculations!F29),Calculations!F29,"")</f>
        <v/>
      </c>
      <c r="E13" s="10" t="str">
        <f t="shared" ca="1" si="2"/>
        <v>0503 3864552.34324721EUSft 1535324.25714615NUSft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DSS5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3864553.584816054</v>
      </c>
      <c r="C14" s="33">
        <f ca="1">IF(ISNUMBER(A14),CONVERT(Calculations!U30,Units_In,Units_Out),"")</f>
        <v>1535325.645928689</v>
      </c>
      <c r="D14" s="33" t="str">
        <f>IF(ISTEXT(Calculations!F30),Calculations!F30,"")</f>
        <v>WS</v>
      </c>
      <c r="E14" s="10" t="str">
        <f t="shared" ca="1" si="2"/>
        <v>0503 3864553.58481605EUSft 1535325.64592869NUSft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DSS5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3864554.5478528128</v>
      </c>
      <c r="C15" s="33">
        <f ca="1">IF(ISNUMBER(A15),CONVERT(Calculations!U31,Units_In,Units_Out),"")</f>
        <v>1535326.8640009563</v>
      </c>
      <c r="D15" s="33" t="str">
        <f>IF(ISTEXT(Calculations!F31),Calculations!F31,"")</f>
        <v/>
      </c>
      <c r="E15" s="10" t="str">
        <f t="shared" ca="1" si="2"/>
        <v>0503 3864554.54785281EUSft 1535326.86400096NUSft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DSS5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3864562.7514857408</v>
      </c>
      <c r="C16" s="33">
        <f ca="1">IF(ISNUMBER(A16),CONVERT(Calculations!U32,Units_In,Units_Out),"")</f>
        <v>1535354.1412151267</v>
      </c>
      <c r="D16" s="33" t="str">
        <f>IF(ISTEXT(Calculations!F32),Calculations!F32,"")</f>
        <v/>
      </c>
      <c r="E16" s="10" t="str">
        <f t="shared" ca="1" si="2"/>
        <v>0503 3864562.75148574EUSft 1535354.14121513NUSft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DSS5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3864574.6090652514</v>
      </c>
      <c r="C17" s="33">
        <f ca="1">IF(ISNUMBER(A17),CONVERT(Calculations!U33,Units_In,Units_Out),"")</f>
        <v>1535387.7034045423</v>
      </c>
      <c r="D17" s="33" t="str">
        <f>IF(ISTEXT(Calculations!F33),Calculations!F33,"")</f>
        <v/>
      </c>
      <c r="E17" s="10" t="str">
        <f t="shared" ca="1" si="2"/>
        <v>0503 3864574.60906525EUSft 1535387.70340454NUSft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DSS5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3864575.6965737757</v>
      </c>
      <c r="C18" s="33">
        <f ca="1">IF(ISNUMBER(A18),CONVERT(Calculations!U34,Units_In,Units_Out),"")</f>
        <v>1535389.1576582557</v>
      </c>
      <c r="D18" s="33" t="str">
        <f>IF(ISTEXT(Calculations!F34),Calculations!F34,"")</f>
        <v>WS</v>
      </c>
      <c r="E18" s="10" t="str">
        <f t="shared" ca="1" si="2"/>
        <v>0503 3864575.69657378EUSft 1535389.15765826NUSft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DSS5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3864576.9414094877</v>
      </c>
      <c r="C19" s="33">
        <f ca="1">IF(ISNUMBER(A19),CONVERT(Calculations!U35,Units_In,Units_Out),"")</f>
        <v>1535391.0836960685</v>
      </c>
      <c r="D19" s="33" t="str">
        <f>IF(ISTEXT(Calculations!F35),Calculations!F35,"")</f>
        <v/>
      </c>
      <c r="E19" s="10" t="str">
        <f t="shared" ca="1" si="2"/>
        <v>0503 3864576.94140949EUSft 1535391.08369607NUSft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DSS5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3864578.9445298063</v>
      </c>
      <c r="C20" s="33">
        <f ca="1">IF(ISNUMBER(A20),CONVERT(Calculations!U36,Units_In,Units_Out),"")</f>
        <v>1535396.6633403341</v>
      </c>
      <c r="D20" s="33" t="str">
        <f>IF(ISTEXT(Calculations!F36),Calculations!F36,"")</f>
        <v/>
      </c>
      <c r="E20" s="10" t="str">
        <f t="shared" ca="1" si="2"/>
        <v>0503 3864578.94452981EUSft 1535396.66334033NUSft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DSS5</v>
      </c>
    </row>
    <row r="21" spans="1:8" x14ac:dyDescent="0.25">
      <c r="A21" s="10">
        <f>IF(ISNUMBER(Calculations!A37),Calculations!A37,"")</f>
        <v>17</v>
      </c>
      <c r="B21" s="33">
        <f ca="1">IF(ISNUMBER(A21),CONVERT(Calculations!T37,Units_In,Units_Out),"")</f>
        <v>3864586.7302048397</v>
      </c>
      <c r="C21" s="33">
        <f ca="1">IF(ISNUMBER(A21),CONVERT(Calculations!U37,Units_In,Units_Out),"")</f>
        <v>1535417.5907240941</v>
      </c>
      <c r="D21" s="33" t="str">
        <f>IF(ISTEXT(Calculations!F37),Calculations!F37,"")</f>
        <v/>
      </c>
      <c r="E21" s="10" t="str">
        <f t="shared" ca="1" si="2"/>
        <v>0503 3864586.73020484EUSft 1535417.59072409NUSft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DSS5</v>
      </c>
    </row>
    <row r="22" spans="1:8" x14ac:dyDescent="0.25">
      <c r="A22" s="10">
        <f>IF(ISNUMBER(Calculations!A38),Calculations!A38,"")</f>
        <v>18</v>
      </c>
      <c r="B22" s="33">
        <f ca="1">IF(ISNUMBER(A22),CONVERT(Calculations!T38,Units_In,Units_Out),"")</f>
        <v>3864591.9234403237</v>
      </c>
      <c r="C22" s="33">
        <f ca="1">IF(ISNUMBER(A22),CONVERT(Calculations!U38,Units_In,Units_Out),"")</f>
        <v>1535433.8956034458</v>
      </c>
      <c r="D22" s="33" t="str">
        <f>IF(ISTEXT(Calculations!F38),Calculations!F38,"")</f>
        <v/>
      </c>
      <c r="E22" s="10" t="str">
        <f t="shared" ca="1" si="2"/>
        <v>0503 3864591.92344032EUSft 1535433.89560345NUSft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DSS5</v>
      </c>
    </row>
    <row r="23" spans="1:8" x14ac:dyDescent="0.25">
      <c r="A23" s="10">
        <f>IF(ISNUMBER(Calculations!A39),Calculations!A39,"")</f>
        <v>19</v>
      </c>
      <c r="B23" s="33">
        <f ca="1">IF(ISNUMBER(A23),CONVERT(Calculations!T39,Units_In,Units_Out),"")</f>
        <v>3864445.2125425478</v>
      </c>
      <c r="C23" s="33">
        <f ca="1">IF(ISNUMBER(A23),CONVERT(Calculations!U39,Units_In,Units_Out),"")</f>
        <v>1535297.4066904387</v>
      </c>
      <c r="D23" s="33" t="str">
        <f>IF(ISTEXT(Calculations!F39),Calculations!F39,"")</f>
        <v>PT1</v>
      </c>
      <c r="E23" s="10" t="str">
        <f t="shared" ca="1" si="2"/>
        <v>0503 3864445.21254255EUSft 1535297.40669044NUSft</v>
      </c>
      <c r="F23" s="34">
        <f t="shared" si="3"/>
        <v>94</v>
      </c>
      <c r="G23" s="10" t="str">
        <f t="shared" si="1"/>
        <v>Yellow</v>
      </c>
      <c r="H23" s="10" t="str">
        <f>IF(ISNUMBER(A23),Calculations!$A$1,"")</f>
        <v>DSS5</v>
      </c>
    </row>
    <row r="24" spans="1:8" x14ac:dyDescent="0.25">
      <c r="A24" s="10">
        <f>IF(ISNUMBER(Calculations!A40),Calculations!A40,"")</f>
        <v>20</v>
      </c>
      <c r="B24" s="33">
        <f ca="1">IF(ISNUMBER(A24),CONVERT(Calculations!T40,Units_In,Units_Out),"")</f>
        <v>3864554.873272955</v>
      </c>
      <c r="C24" s="33">
        <f ca="1">IF(ISNUMBER(A24),CONVERT(Calculations!U40,Units_In,Units_Out),"")</f>
        <v>1535192.1395255632</v>
      </c>
      <c r="D24" s="33" t="str">
        <f>IF(ISTEXT(Calculations!F40),Calculations!F40,"")</f>
        <v>PT2</v>
      </c>
      <c r="E24" s="10" t="str">
        <f t="shared" ca="1" si="2"/>
        <v>0503 3864554.87327295EUSft 1535192.13952556NUSft</v>
      </c>
      <c r="F24" s="34">
        <f t="shared" si="3"/>
        <v>94</v>
      </c>
      <c r="G24" s="10" t="str">
        <f t="shared" si="1"/>
        <v>Yellow</v>
      </c>
      <c r="H24" s="10" t="str">
        <f>IF(ISNUMBER(A24),Calculations!$A$1,"")</f>
        <v>DSS5</v>
      </c>
    </row>
    <row r="25" spans="1:8" x14ac:dyDescent="0.25">
      <c r="A25" s="10" t="str">
        <f>IF(ISNUMBER(Calculations!#REF!),Calculations!#REF!,"")</f>
        <v/>
      </c>
      <c r="B25" s="33" t="str">
        <f>IF(ISNUMBER(A25),CONVERT(Calculations!#REF!,Units_In,Units_Out),"")</f>
        <v/>
      </c>
      <c r="C25" s="33" t="str">
        <f>IF(ISNUMBER(A25),CONVERT(Calculations!#REF!,Units_In,Units_Out),"")</f>
        <v/>
      </c>
      <c r="D25" s="33" t="str">
        <f>IF(ISTEXT(Calculations!#REF!),Calculations!#REF!,"")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IF(ISNUMBER(Calculations!#REF!),Calculations!#REF!,"")</f>
        <v/>
      </c>
      <c r="B26" s="33" t="str">
        <f>IF(ISNUMBER(A26),CONVERT(Calculations!#REF!,Units_In,Units_Out),"")</f>
        <v/>
      </c>
      <c r="C26" s="33" t="str">
        <f>IF(ISNUMBER(A26),CONVERT(Calculations!#REF!,Units_In,Units_Out),"")</f>
        <v/>
      </c>
      <c r="D26" s="33" t="str">
        <f>IF(ISTEXT(Calculations!#REF!),Calculations!#REF!,"")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IF(ISNUMBER(Calculations!#REF!),Calculations!#REF!,"")</f>
        <v/>
      </c>
      <c r="B27" s="33" t="str">
        <f>IF(ISNUMBER(A27),CONVERT(Calculations!#REF!,Units_In,Units_Out),"")</f>
        <v/>
      </c>
      <c r="C27" s="33" t="str">
        <f>IF(ISNUMBER(A27),CONVERT(Calculations!#REF!,Units_In,Units_Out),"")</f>
        <v/>
      </c>
      <c r="D27" s="33" t="str">
        <f>IF(ISTEXT(Calculations!#REF!),Calculations!#REF!,"")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IF(ISNUMBER(Calculations!#REF!),Calculations!#REF!,"")</f>
        <v/>
      </c>
      <c r="B28" s="33" t="str">
        <f>IF(ISNUMBER(A28),CONVERT(Calculations!#REF!,Units_In,Units_Out),"")</f>
        <v/>
      </c>
      <c r="C28" s="33" t="str">
        <f>IF(ISNUMBER(A28),CONVERT(Calculations!#REF!,Units_In,Units_Out),"")</f>
        <v/>
      </c>
      <c r="D28" s="33" t="str">
        <f>IF(ISTEXT(Calculations!#REF!),Calculations!#REF!,"")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IF(ISNUMBER(Calculations!#REF!),Calculations!#REF!,"")</f>
        <v/>
      </c>
      <c r="B29" s="33" t="str">
        <f>IF(ISNUMBER(A29),CONVERT(Calculations!#REF!,Units_In,Units_Out),"")</f>
        <v/>
      </c>
      <c r="C29" s="33" t="str">
        <f>IF(ISNUMBER(A29),CONVERT(Calculations!#REF!,Units_In,Units_Out),"")</f>
        <v/>
      </c>
      <c r="D29" s="33" t="str">
        <f>IF(ISTEXT(Calculations!#REF!),Calculations!#REF!,"")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IF(ISNUMBER(Calculations!#REF!),Calculations!#REF!,"")</f>
        <v/>
      </c>
      <c r="B30" s="33" t="str">
        <f>IF(ISNUMBER(A30),CONVERT(Calculations!#REF!,Units_In,Units_Out),"")</f>
        <v/>
      </c>
      <c r="C30" s="33" t="str">
        <f>IF(ISNUMBER(A30),CONVERT(Calculations!#REF!,Units_In,Units_Out),"")</f>
        <v/>
      </c>
      <c r="D30" s="33" t="str">
        <f>IF(ISTEXT(Calculations!#REF!),Calculations!#REF!,"")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IF(ISNUMBER(Calculations!A41),Calculations!A41,"")</f>
        <v/>
      </c>
      <c r="B31" s="33" t="str">
        <f>IF(ISNUMBER(A31),CONVERT(Calculations!T41,Units_In,Units_Out),"")</f>
        <v/>
      </c>
      <c r="C31" s="33" t="str">
        <f>IF(ISNUMBER(A31),CONVERT(Calculations!U41,Units_In,Units_Out),"")</f>
        <v/>
      </c>
      <c r="D31" s="33" t="str">
        <f>IF(ISTEXT(Calculations!F41),Calculations!F41,"")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IF(ISNUMBER(Calculations!A42),Calculations!A42,"")</f>
        <v/>
      </c>
      <c r="B32" s="33" t="str">
        <f>IF(ISNUMBER(A32),CONVERT(Calculations!T42,Units_In,Units_Out),"")</f>
        <v/>
      </c>
      <c r="C32" s="33" t="str">
        <f>IF(ISNUMBER(A32),CONVERT(Calculations!U42,Units_In,Units_Out),"")</f>
        <v/>
      </c>
      <c r="D32" s="33" t="str">
        <f>IF(ISTEXT(Calculations!F42),Calculations!F42,"")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IF(ISNUMBER(Calculations!A43),Calculations!A43,"")</f>
        <v/>
      </c>
      <c r="B33" s="33" t="str">
        <f>IF(ISNUMBER(A33),CONVERT(Calculations!T43,Units_In,Units_Out),"")</f>
        <v/>
      </c>
      <c r="C33" s="33" t="str">
        <f>IF(ISNUMBER(A33),CONVERT(Calculations!U43,Units_In,Units_Out),"")</f>
        <v/>
      </c>
      <c r="D33" s="33" t="str">
        <f>IF(ISTEXT(Calculations!F43),Calculations!F43,"")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IF(ISNUMBER(Calculations!A44),Calculations!A44,"")</f>
        <v/>
      </c>
      <c r="B34" s="33" t="str">
        <f>IF(ISNUMBER(A34),CONVERT(Calculations!T44,Units_In,Units_Out),"")</f>
        <v/>
      </c>
      <c r="C34" s="33" t="str">
        <f>IF(ISNUMBER(A34),CONVERT(Calculations!U44,Units_In,Units_Out),"")</f>
        <v/>
      </c>
      <c r="D34" s="33" t="str">
        <f>IF(ISTEXT(Calculations!F44),Calculations!F44,"")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IF(ISNUMBER(Calculations!A45),Calculations!A45,"")</f>
        <v/>
      </c>
      <c r="B35" s="33" t="str">
        <f>IF(ISNUMBER(A35),CONVERT(Calculations!T45,Units_In,Units_Out),"")</f>
        <v/>
      </c>
      <c r="C35" s="33" t="str">
        <f>IF(ISNUMBER(A35),CONVERT(Calculations!U45,Units_In,Units_Out),"")</f>
        <v/>
      </c>
      <c r="D35" s="33" t="str">
        <f>IF(ISTEXT(Calculations!F45),Calculations!F45,"")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IF(ISNUMBER(Calculations!A46),Calculations!A46,"")</f>
        <v/>
      </c>
      <c r="B36" s="33" t="str">
        <f>IF(ISNUMBER(A36),CONVERT(Calculations!U46,Units_In,Units_Out),"")</f>
        <v/>
      </c>
      <c r="C36" s="33" t="str">
        <f>IF(ISNUMBER(A36),CONVERT(Calculations!V46,Units_In,Units_Out),"")</f>
        <v/>
      </c>
      <c r="D36" s="33" t="str">
        <f>IF(ISTEXT(Calculations!F46),Calculations!F46,"")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IF(ISNUMBER(Calculations!A47),Calculations!A47,"")</f>
        <v/>
      </c>
      <c r="B37" s="33" t="str">
        <f>IF(ISNUMBER(A37),CONVERT(Calculations!U47,Units_In,Units_Out),"")</f>
        <v/>
      </c>
      <c r="C37" s="33" t="str">
        <f>IF(ISNUMBER(A37),CONVERT(Calculations!V47,Units_In,Units_Out),"")</f>
        <v/>
      </c>
      <c r="D37" s="33" t="str">
        <f>IF(ISTEXT(Calculations!F47),Calculations!F47,"")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kmorse</cp:lastModifiedBy>
  <dcterms:created xsi:type="dcterms:W3CDTF">2011-11-09T05:33:48Z</dcterms:created>
  <dcterms:modified xsi:type="dcterms:W3CDTF">2013-09-16T18:40:32Z</dcterms:modified>
</cp:coreProperties>
</file>