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385" yWindow="-15" windowWidth="14430" windowHeight="15180"/>
  </bookViews>
  <sheets>
    <sheet name="Calculations" sheetId="1" r:id="rId1"/>
    <sheet name="GoogleEarth" sheetId="2" r:id="rId2"/>
    <sheet name="Sheet1" sheetId="3" r:id="rId3"/>
  </sheets>
  <definedNames>
    <definedName name="bA">Calculations!$AC$4</definedName>
    <definedName name="CS_End">Calculations!$C$7</definedName>
    <definedName name="CS_Start">Calculations!$C$6</definedName>
    <definedName name="DfromL">Calculations!$AB$21:$AB$39</definedName>
    <definedName name="dZ">Calculations!$X$11</definedName>
    <definedName name="HI">Calculations!$C$2</definedName>
    <definedName name="mA">Calculations!$AC$3</definedName>
    <definedName name="mB">Calculations!$AC$6</definedName>
    <definedName name="Min_Z">Calculations!$X$13</definedName>
    <definedName name="Old_X0">Calculations!$N$4</definedName>
    <definedName name="Old_X1">Calculations!$N$5</definedName>
    <definedName name="Old_X2">Calculations!$N$6</definedName>
    <definedName name="Old_Y0">Calculations!$O$4</definedName>
    <definedName name="Old_Y1">Calculations!$O$5</definedName>
    <definedName name="Old_Y2">Calculations!$O$6</definedName>
    <definedName name="Old_Z0">Calculations!$P$4</definedName>
    <definedName name="Old_Z1">Calculations!$P$5</definedName>
    <definedName name="Old_Z2">Calculations!$P$6</definedName>
    <definedName name="solver_adj" localSheetId="0" hidden="1">Calculations!#REF!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Calculations!#REF!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  <definedName name="Units_In">Calculations!$C$3</definedName>
    <definedName name="Units_Out">Calculations!$C$4</definedName>
    <definedName name="xB">Calculations!$X$21:$X$55</definedName>
    <definedName name="yB">Calculations!$Y$21:$Y$55</definedName>
    <definedName name="Zs">Calculations!$W$21:$W$38</definedName>
  </definedNames>
  <calcPr calcId="145621"/>
</workbook>
</file>

<file path=xl/calcChain.xml><?xml version="1.0" encoding="utf-8"?>
<calcChain xmlns="http://schemas.openxmlformats.org/spreadsheetml/2006/main">
  <c r="X22" i="1" l="1"/>
  <c r="Z22" i="1" s="1"/>
  <c r="X21" i="1"/>
  <c r="Z21" i="1" s="1"/>
  <c r="G34" i="1"/>
  <c r="H34" i="1" s="1"/>
  <c r="I34" i="1"/>
  <c r="J34" i="1" s="1"/>
  <c r="Y22" i="1" l="1"/>
  <c r="Y21" i="1"/>
  <c r="K34" i="1"/>
  <c r="L34" i="1"/>
  <c r="N34" i="1"/>
  <c r="P5" i="1" l="1"/>
  <c r="P6" i="1"/>
  <c r="P4" i="1"/>
  <c r="O5" i="1"/>
  <c r="O6" i="1"/>
  <c r="O4" i="1"/>
  <c r="N5" i="1"/>
  <c r="N6" i="1"/>
  <c r="N4" i="1"/>
  <c r="V34" i="1" l="1"/>
  <c r="Q5" i="1"/>
  <c r="Q6" i="1"/>
  <c r="P10" i="1" l="1"/>
  <c r="R10" i="1"/>
  <c r="G22" i="1"/>
  <c r="H22" i="1" s="1"/>
  <c r="G23" i="1"/>
  <c r="G24" i="1"/>
  <c r="H24" i="1" s="1"/>
  <c r="L24" i="1" s="1"/>
  <c r="V24" i="1" s="1"/>
  <c r="G25" i="1"/>
  <c r="H25" i="1" s="1"/>
  <c r="L25" i="1" s="1"/>
  <c r="V25" i="1" s="1"/>
  <c r="G26" i="1"/>
  <c r="H26" i="1" s="1"/>
  <c r="L26" i="1" s="1"/>
  <c r="V26" i="1" s="1"/>
  <c r="G27" i="1"/>
  <c r="H27" i="1" s="1"/>
  <c r="L27" i="1" s="1"/>
  <c r="V27" i="1" s="1"/>
  <c r="G28" i="1"/>
  <c r="H28" i="1" s="1"/>
  <c r="K28" i="1" s="1"/>
  <c r="G29" i="1"/>
  <c r="H29" i="1" s="1"/>
  <c r="L29" i="1" s="1"/>
  <c r="V29" i="1" s="1"/>
  <c r="G30" i="1"/>
  <c r="H30" i="1" s="1"/>
  <c r="K30" i="1" s="1"/>
  <c r="G31" i="1"/>
  <c r="H31" i="1" s="1"/>
  <c r="G32" i="1"/>
  <c r="H32" i="1" s="1"/>
  <c r="G33" i="1"/>
  <c r="H33" i="1" s="1"/>
  <c r="G21" i="1"/>
  <c r="H21" i="1" s="1"/>
  <c r="H23" i="1"/>
  <c r="K23" i="1" s="1"/>
  <c r="I22" i="1"/>
  <c r="I23" i="1"/>
  <c r="I24" i="1"/>
  <c r="I25" i="1"/>
  <c r="I26" i="1"/>
  <c r="I27" i="1"/>
  <c r="I28" i="1"/>
  <c r="I29" i="1"/>
  <c r="J29" i="1" s="1"/>
  <c r="I30" i="1"/>
  <c r="I31" i="1"/>
  <c r="I32" i="1"/>
  <c r="I33" i="1"/>
  <c r="I21" i="1"/>
  <c r="K29" i="1" l="1"/>
  <c r="L32" i="1"/>
  <c r="V32" i="1" s="1"/>
  <c r="K32" i="1"/>
  <c r="K31" i="1"/>
  <c r="L31" i="1"/>
  <c r="V31" i="1" s="1"/>
  <c r="K24" i="1"/>
  <c r="L23" i="1"/>
  <c r="V23" i="1" s="1"/>
  <c r="K22" i="1"/>
  <c r="L22" i="1"/>
  <c r="V22" i="1" s="1"/>
  <c r="L33" i="1"/>
  <c r="V33" i="1" s="1"/>
  <c r="K33" i="1"/>
  <c r="L21" i="1"/>
  <c r="V21" i="1" s="1"/>
  <c r="K21" i="1"/>
  <c r="K25" i="1"/>
  <c r="L28" i="1"/>
  <c r="V28" i="1" s="1"/>
  <c r="K27" i="1"/>
  <c r="L30" i="1"/>
  <c r="V30" i="1" s="1"/>
  <c r="K26" i="1"/>
  <c r="J33" i="1"/>
  <c r="N33" i="1"/>
  <c r="N25" i="1"/>
  <c r="N21" i="1"/>
  <c r="N28" i="1"/>
  <c r="N27" i="1"/>
  <c r="N26" i="1"/>
  <c r="J24" i="1"/>
  <c r="N29" i="1"/>
  <c r="J32" i="1"/>
  <c r="J28" i="1"/>
  <c r="N32" i="1"/>
  <c r="R12" i="1" s="1"/>
  <c r="N24" i="1"/>
  <c r="J27" i="1"/>
  <c r="N31" i="1"/>
  <c r="N23" i="1"/>
  <c r="J25" i="1"/>
  <c r="N30" i="1"/>
  <c r="N22" i="1"/>
  <c r="R11" i="1" s="1"/>
  <c r="J26" i="1"/>
  <c r="J31" i="1"/>
  <c r="J23" i="1"/>
  <c r="J30" i="1"/>
  <c r="J22" i="1"/>
  <c r="J21" i="1"/>
  <c r="P12" i="1" l="1"/>
  <c r="P15" i="1" s="1"/>
  <c r="Y6" i="1"/>
  <c r="X6" i="1"/>
  <c r="P11" i="1"/>
  <c r="R15" i="1"/>
  <c r="P14" i="1" l="1"/>
  <c r="R14" i="1"/>
  <c r="H3" i="2"/>
  <c r="H4" i="2"/>
  <c r="H2" i="2"/>
  <c r="O17" i="1" l="1"/>
  <c r="G3" i="2"/>
  <c r="G4" i="2"/>
  <c r="G2" i="2"/>
  <c r="A3" i="2"/>
  <c r="A4" i="2"/>
  <c r="A2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5" i="2"/>
  <c r="B2" i="2"/>
  <c r="B3" i="2"/>
  <c r="B4" i="2"/>
  <c r="C2" i="2"/>
  <c r="C3" i="2"/>
  <c r="C4" i="2"/>
  <c r="A38" i="2"/>
  <c r="F38" i="2" s="1"/>
  <c r="G38" i="2" s="1"/>
  <c r="A39" i="2"/>
  <c r="A40" i="2"/>
  <c r="F40" i="2" s="1"/>
  <c r="G40" i="2" s="1"/>
  <c r="A41" i="2"/>
  <c r="A42" i="2"/>
  <c r="F42" i="2" s="1"/>
  <c r="G42" i="2" s="1"/>
  <c r="A43" i="2"/>
  <c r="A44" i="2"/>
  <c r="F44" i="2" s="1"/>
  <c r="G44" i="2" s="1"/>
  <c r="A45" i="2"/>
  <c r="A46" i="2"/>
  <c r="F46" i="2" s="1"/>
  <c r="G46" i="2" s="1"/>
  <c r="A47" i="2"/>
  <c r="A48" i="2"/>
  <c r="F48" i="2" s="1"/>
  <c r="G48" i="2" s="1"/>
  <c r="A49" i="2"/>
  <c r="A50" i="2"/>
  <c r="F50" i="2" s="1"/>
  <c r="G50" i="2" s="1"/>
  <c r="A51" i="2"/>
  <c r="A52" i="2"/>
  <c r="F52" i="2" s="1"/>
  <c r="G52" i="2" s="1"/>
  <c r="A53" i="2"/>
  <c r="A54" i="2"/>
  <c r="F54" i="2" s="1"/>
  <c r="G54" i="2" s="1"/>
  <c r="A55" i="2"/>
  <c r="A56" i="2"/>
  <c r="F56" i="2" s="1"/>
  <c r="G56" i="2" s="1"/>
  <c r="A57" i="2"/>
  <c r="A58" i="2"/>
  <c r="F58" i="2" s="1"/>
  <c r="G58" i="2" s="1"/>
  <c r="A59" i="2"/>
  <c r="A60" i="2"/>
  <c r="F60" i="2" s="1"/>
  <c r="G60" i="2" s="1"/>
  <c r="A61" i="2"/>
  <c r="A62" i="2"/>
  <c r="F62" i="2" s="1"/>
  <c r="G62" i="2" s="1"/>
  <c r="A63" i="2"/>
  <c r="A64" i="2"/>
  <c r="F64" i="2" s="1"/>
  <c r="G64" i="2" s="1"/>
  <c r="A65" i="2"/>
  <c r="A6" i="2"/>
  <c r="H6" i="2" s="1"/>
  <c r="A7" i="2"/>
  <c r="H7" i="2" s="1"/>
  <c r="A8" i="2"/>
  <c r="H8" i="2" s="1"/>
  <c r="A9" i="2"/>
  <c r="H9" i="2" s="1"/>
  <c r="A10" i="2"/>
  <c r="H10" i="2" s="1"/>
  <c r="A11" i="2"/>
  <c r="H11" i="2" s="1"/>
  <c r="A12" i="2"/>
  <c r="H12" i="2" s="1"/>
  <c r="A13" i="2"/>
  <c r="H13" i="2" s="1"/>
  <c r="A14" i="2"/>
  <c r="H14" i="2" s="1"/>
  <c r="A15" i="2"/>
  <c r="H15" i="2" s="1"/>
  <c r="A16" i="2"/>
  <c r="H16" i="2" s="1"/>
  <c r="A17" i="2"/>
  <c r="H17" i="2" s="1"/>
  <c r="A18" i="2"/>
  <c r="H18" i="2" s="1"/>
  <c r="A19" i="2"/>
  <c r="H19" i="2" s="1"/>
  <c r="A20" i="2"/>
  <c r="H20" i="2" s="1"/>
  <c r="A21" i="2"/>
  <c r="H21" i="2" s="1"/>
  <c r="A22" i="2"/>
  <c r="H22" i="2" s="1"/>
  <c r="A23" i="2"/>
  <c r="H23" i="2" s="1"/>
  <c r="A24" i="2"/>
  <c r="H24" i="2" s="1"/>
  <c r="A25" i="2"/>
  <c r="H25" i="2" s="1"/>
  <c r="A26" i="2"/>
  <c r="H26" i="2" s="1"/>
  <c r="A27" i="2"/>
  <c r="H27" i="2" s="1"/>
  <c r="A28" i="2"/>
  <c r="H28" i="2" s="1"/>
  <c r="A29" i="2"/>
  <c r="H29" i="2" s="1"/>
  <c r="A30" i="2"/>
  <c r="H30" i="2" s="1"/>
  <c r="A31" i="2"/>
  <c r="H31" i="2" s="1"/>
  <c r="A32" i="2"/>
  <c r="H32" i="2" s="1"/>
  <c r="A33" i="2"/>
  <c r="H33" i="2" s="1"/>
  <c r="A34" i="2"/>
  <c r="H34" i="2" s="1"/>
  <c r="A35" i="2"/>
  <c r="H35" i="2" s="1"/>
  <c r="A36" i="2"/>
  <c r="F36" i="2" s="1"/>
  <c r="G36" i="2" s="1"/>
  <c r="A37" i="2"/>
  <c r="A5" i="2"/>
  <c r="H5" i="2" s="1"/>
  <c r="O34" i="1" l="1"/>
  <c r="P34" i="1" s="1"/>
  <c r="Q34" i="1" s="1"/>
  <c r="E4" i="2"/>
  <c r="E2" i="2"/>
  <c r="E3" i="2"/>
  <c r="F32" i="2"/>
  <c r="G32" i="2" s="1"/>
  <c r="F28" i="2"/>
  <c r="G28" i="2" s="1"/>
  <c r="F24" i="2"/>
  <c r="G24" i="2" s="1"/>
  <c r="F20" i="2"/>
  <c r="G20" i="2" s="1"/>
  <c r="F16" i="2"/>
  <c r="G16" i="2" s="1"/>
  <c r="F12" i="2"/>
  <c r="G12" i="2" s="1"/>
  <c r="F8" i="2"/>
  <c r="G8" i="2" s="1"/>
  <c r="F5" i="2"/>
  <c r="G5" i="2" s="1"/>
  <c r="F34" i="2"/>
  <c r="G34" i="2" s="1"/>
  <c r="F30" i="2"/>
  <c r="G30" i="2" s="1"/>
  <c r="F26" i="2"/>
  <c r="G26" i="2" s="1"/>
  <c r="F22" i="2"/>
  <c r="G22" i="2" s="1"/>
  <c r="F18" i="2"/>
  <c r="G18" i="2" s="1"/>
  <c r="F14" i="2"/>
  <c r="G14" i="2" s="1"/>
  <c r="F10" i="2"/>
  <c r="G10" i="2" s="1"/>
  <c r="F6" i="2"/>
  <c r="G6" i="2" s="1"/>
  <c r="B37" i="2"/>
  <c r="H37" i="2"/>
  <c r="C37" i="2"/>
  <c r="E65" i="2"/>
  <c r="B65" i="2"/>
  <c r="H65" i="2"/>
  <c r="C65" i="2"/>
  <c r="E63" i="2"/>
  <c r="B63" i="2"/>
  <c r="H63" i="2"/>
  <c r="C63" i="2"/>
  <c r="E61" i="2"/>
  <c r="B61" i="2"/>
  <c r="H61" i="2"/>
  <c r="C61" i="2"/>
  <c r="E59" i="2"/>
  <c r="B59" i="2"/>
  <c r="H59" i="2"/>
  <c r="C59" i="2"/>
  <c r="E57" i="2"/>
  <c r="B57" i="2"/>
  <c r="H57" i="2"/>
  <c r="C57" i="2"/>
  <c r="E55" i="2"/>
  <c r="B55" i="2"/>
  <c r="H55" i="2"/>
  <c r="C55" i="2"/>
  <c r="E53" i="2"/>
  <c r="B53" i="2"/>
  <c r="H53" i="2"/>
  <c r="C53" i="2"/>
  <c r="E51" i="2"/>
  <c r="B51" i="2"/>
  <c r="H51" i="2"/>
  <c r="C51" i="2"/>
  <c r="E49" i="2"/>
  <c r="B49" i="2"/>
  <c r="H49" i="2"/>
  <c r="C49" i="2"/>
  <c r="E47" i="2"/>
  <c r="B47" i="2"/>
  <c r="H47" i="2"/>
  <c r="C47" i="2"/>
  <c r="E45" i="2"/>
  <c r="B45" i="2"/>
  <c r="H45" i="2"/>
  <c r="C45" i="2"/>
  <c r="E43" i="2"/>
  <c r="B43" i="2"/>
  <c r="H43" i="2"/>
  <c r="C43" i="2"/>
  <c r="E41" i="2"/>
  <c r="B41" i="2"/>
  <c r="H41" i="2"/>
  <c r="C41" i="2"/>
  <c r="E39" i="2"/>
  <c r="B39" i="2"/>
  <c r="H39" i="2"/>
  <c r="C39" i="2"/>
  <c r="C36" i="2"/>
  <c r="B36" i="2"/>
  <c r="H36" i="2"/>
  <c r="E64" i="2"/>
  <c r="C64" i="2"/>
  <c r="B64" i="2"/>
  <c r="H64" i="2"/>
  <c r="E62" i="2"/>
  <c r="C62" i="2"/>
  <c r="B62" i="2"/>
  <c r="H62" i="2"/>
  <c r="E60" i="2"/>
  <c r="C60" i="2"/>
  <c r="B60" i="2"/>
  <c r="H60" i="2"/>
  <c r="E58" i="2"/>
  <c r="C58" i="2"/>
  <c r="B58" i="2"/>
  <c r="H58" i="2"/>
  <c r="E56" i="2"/>
  <c r="C56" i="2"/>
  <c r="B56" i="2"/>
  <c r="H56" i="2"/>
  <c r="E54" i="2"/>
  <c r="C54" i="2"/>
  <c r="B54" i="2"/>
  <c r="H54" i="2"/>
  <c r="E52" i="2"/>
  <c r="C52" i="2"/>
  <c r="B52" i="2"/>
  <c r="H52" i="2"/>
  <c r="E50" i="2"/>
  <c r="C50" i="2"/>
  <c r="B50" i="2"/>
  <c r="H50" i="2"/>
  <c r="E48" i="2"/>
  <c r="C48" i="2"/>
  <c r="B48" i="2"/>
  <c r="H48" i="2"/>
  <c r="E46" i="2"/>
  <c r="C46" i="2"/>
  <c r="B46" i="2"/>
  <c r="H46" i="2"/>
  <c r="E44" i="2"/>
  <c r="C44" i="2"/>
  <c r="B44" i="2"/>
  <c r="H44" i="2"/>
  <c r="E42" i="2"/>
  <c r="C42" i="2"/>
  <c r="B42" i="2"/>
  <c r="H42" i="2"/>
  <c r="E40" i="2"/>
  <c r="C40" i="2"/>
  <c r="B40" i="2"/>
  <c r="H40" i="2"/>
  <c r="E38" i="2"/>
  <c r="C38" i="2"/>
  <c r="B38" i="2"/>
  <c r="H38" i="2"/>
  <c r="F65" i="2"/>
  <c r="G65" i="2" s="1"/>
  <c r="F63" i="2"/>
  <c r="G63" i="2" s="1"/>
  <c r="F61" i="2"/>
  <c r="G61" i="2" s="1"/>
  <c r="F59" i="2"/>
  <c r="G59" i="2" s="1"/>
  <c r="F57" i="2"/>
  <c r="G57" i="2" s="1"/>
  <c r="F55" i="2"/>
  <c r="G55" i="2" s="1"/>
  <c r="F53" i="2"/>
  <c r="G53" i="2" s="1"/>
  <c r="F51" i="2"/>
  <c r="G51" i="2" s="1"/>
  <c r="F49" i="2"/>
  <c r="G49" i="2" s="1"/>
  <c r="F47" i="2"/>
  <c r="G47" i="2" s="1"/>
  <c r="F45" i="2"/>
  <c r="G45" i="2" s="1"/>
  <c r="F43" i="2"/>
  <c r="G43" i="2" s="1"/>
  <c r="F41" i="2"/>
  <c r="G41" i="2" s="1"/>
  <c r="F39" i="2"/>
  <c r="G39" i="2" s="1"/>
  <c r="F37" i="2"/>
  <c r="G37" i="2" s="1"/>
  <c r="F35" i="2"/>
  <c r="G35" i="2" s="1"/>
  <c r="F33" i="2"/>
  <c r="G33" i="2" s="1"/>
  <c r="F31" i="2"/>
  <c r="G31" i="2" s="1"/>
  <c r="F29" i="2"/>
  <c r="G29" i="2" s="1"/>
  <c r="F27" i="2"/>
  <c r="G27" i="2" s="1"/>
  <c r="F25" i="2"/>
  <c r="G25" i="2" s="1"/>
  <c r="F23" i="2"/>
  <c r="G23" i="2" s="1"/>
  <c r="F21" i="2"/>
  <c r="G21" i="2" s="1"/>
  <c r="F19" i="2"/>
  <c r="G19" i="2" s="1"/>
  <c r="F17" i="2"/>
  <c r="G17" i="2" s="1"/>
  <c r="F15" i="2"/>
  <c r="G15" i="2" s="1"/>
  <c r="F13" i="2"/>
  <c r="G13" i="2" s="1"/>
  <c r="F11" i="2"/>
  <c r="G11" i="2" s="1"/>
  <c r="F9" i="2"/>
  <c r="G9" i="2" s="1"/>
  <c r="F7" i="2"/>
  <c r="G7" i="2" s="1"/>
  <c r="S34" i="1" l="1"/>
  <c r="U34" i="1" s="1"/>
  <c r="R34" i="1"/>
  <c r="T34" i="1" s="1"/>
  <c r="X34" i="1" s="1"/>
  <c r="E36" i="2"/>
  <c r="E37" i="2"/>
  <c r="X4" i="1"/>
  <c r="Y4" i="1"/>
  <c r="Y34" i="1" l="1"/>
  <c r="Y5" i="1"/>
  <c r="Y8" i="1" s="1"/>
  <c r="X9" i="1"/>
  <c r="Y9" i="1"/>
  <c r="O21" i="1" l="1"/>
  <c r="P21" i="1" l="1"/>
  <c r="Q21" i="1" s="1"/>
  <c r="O22" i="1"/>
  <c r="O24" i="1"/>
  <c r="O26" i="1"/>
  <c r="O28" i="1"/>
  <c r="O30" i="1"/>
  <c r="O32" i="1"/>
  <c r="O23" i="1"/>
  <c r="O25" i="1"/>
  <c r="O27" i="1"/>
  <c r="O29" i="1"/>
  <c r="O31" i="1"/>
  <c r="O33" i="1"/>
  <c r="P23" i="1" l="1"/>
  <c r="P32" i="1"/>
  <c r="P33" i="1"/>
  <c r="P30" i="1"/>
  <c r="P31" i="1"/>
  <c r="P28" i="1"/>
  <c r="P29" i="1"/>
  <c r="P26" i="1"/>
  <c r="P27" i="1"/>
  <c r="P24" i="1"/>
  <c r="P25" i="1"/>
  <c r="P22" i="1"/>
  <c r="R21" i="1"/>
  <c r="T21" i="1" s="1"/>
  <c r="S21" i="1"/>
  <c r="U21" i="1" s="1"/>
  <c r="X5" i="1"/>
  <c r="X8" i="1" s="1"/>
  <c r="X11" i="1" s="1"/>
  <c r="W34" i="1" l="1"/>
  <c r="Q27" i="1"/>
  <c r="S27" i="1" s="1"/>
  <c r="U27" i="1" s="1"/>
  <c r="C11" i="2" s="1"/>
  <c r="Q31" i="1"/>
  <c r="S31" i="1" s="1"/>
  <c r="U31" i="1" s="1"/>
  <c r="C15" i="2" s="1"/>
  <c r="C27" i="2"/>
  <c r="C31" i="2"/>
  <c r="B35" i="2"/>
  <c r="Q22" i="1"/>
  <c r="S22" i="1" s="1"/>
  <c r="U22" i="1" s="1"/>
  <c r="C6" i="2" s="1"/>
  <c r="Q26" i="1"/>
  <c r="S26" i="1" s="1"/>
  <c r="U26" i="1" s="1"/>
  <c r="C10" i="2" s="1"/>
  <c r="Q30" i="1"/>
  <c r="S30" i="1" s="1"/>
  <c r="U30" i="1" s="1"/>
  <c r="C14" i="2" s="1"/>
  <c r="C22" i="2"/>
  <c r="C34" i="2"/>
  <c r="Q25" i="1"/>
  <c r="R25" i="1" s="1"/>
  <c r="T25" i="1" s="1"/>
  <c r="X25" i="1" s="1"/>
  <c r="Q29" i="1"/>
  <c r="S29" i="1" s="1"/>
  <c r="U29" i="1" s="1"/>
  <c r="C13" i="2" s="1"/>
  <c r="Q33" i="1"/>
  <c r="S33" i="1" s="1"/>
  <c r="U33" i="1" s="1"/>
  <c r="C17" i="2" s="1"/>
  <c r="B29" i="2"/>
  <c r="C33" i="2"/>
  <c r="Q24" i="1"/>
  <c r="R24" i="1" s="1"/>
  <c r="T24" i="1" s="1"/>
  <c r="X24" i="1" s="1"/>
  <c r="Q28" i="1"/>
  <c r="R28" i="1" s="1"/>
  <c r="T28" i="1" s="1"/>
  <c r="X28" i="1" s="1"/>
  <c r="Q32" i="1"/>
  <c r="R32" i="1" s="1"/>
  <c r="T32" i="1" s="1"/>
  <c r="X32" i="1" s="1"/>
  <c r="Q23" i="1"/>
  <c r="R23" i="1" s="1"/>
  <c r="T23" i="1" s="1"/>
  <c r="X23" i="1" s="1"/>
  <c r="B24" i="2"/>
  <c r="B28" i="2"/>
  <c r="B32" i="2"/>
  <c r="C5" i="2"/>
  <c r="B5" i="2"/>
  <c r="W21" i="1"/>
  <c r="B7" i="2" l="1"/>
  <c r="B16" i="2"/>
  <c r="B8" i="2"/>
  <c r="B12" i="2"/>
  <c r="B20" i="2"/>
  <c r="B19" i="2"/>
  <c r="B31" i="2"/>
  <c r="E31" i="2" s="1"/>
  <c r="C30" i="2"/>
  <c r="R30" i="1"/>
  <c r="T30" i="1" s="1"/>
  <c r="X30" i="1" s="1"/>
  <c r="C32" i="2"/>
  <c r="E32" i="2" s="1"/>
  <c r="S23" i="1"/>
  <c r="U23" i="1" s="1"/>
  <c r="C7" i="2" s="1"/>
  <c r="S32" i="1"/>
  <c r="U32" i="1" s="1"/>
  <c r="C16" i="2" s="1"/>
  <c r="C29" i="2"/>
  <c r="E29" i="2" s="1"/>
  <c r="R33" i="1"/>
  <c r="T33" i="1" s="1"/>
  <c r="X33" i="1" s="1"/>
  <c r="C21" i="2"/>
  <c r="S25" i="1"/>
  <c r="U25" i="1" s="1"/>
  <c r="C9" i="2" s="1"/>
  <c r="C25" i="2"/>
  <c r="C26" i="2"/>
  <c r="B26" i="2"/>
  <c r="B25" i="2"/>
  <c r="W25" i="1"/>
  <c r="B9" i="2"/>
  <c r="W32" i="1"/>
  <c r="R29" i="1"/>
  <c r="T29" i="1" s="1"/>
  <c r="X29" i="1" s="1"/>
  <c r="R26" i="1"/>
  <c r="T26" i="1" s="1"/>
  <c r="X26" i="1" s="1"/>
  <c r="R22" i="1"/>
  <c r="T22" i="1" s="1"/>
  <c r="C28" i="2"/>
  <c r="E28" i="2" s="1"/>
  <c r="S28" i="1"/>
  <c r="U28" i="1" s="1"/>
  <c r="C12" i="2" s="1"/>
  <c r="C35" i="2"/>
  <c r="E35" i="2" s="1"/>
  <c r="R31" i="1"/>
  <c r="T31" i="1" s="1"/>
  <c r="X31" i="1" s="1"/>
  <c r="C19" i="2"/>
  <c r="C23" i="2"/>
  <c r="C24" i="2"/>
  <c r="E24" i="2" s="1"/>
  <c r="C18" i="2"/>
  <c r="S24" i="1"/>
  <c r="U24" i="1" s="1"/>
  <c r="C8" i="2" s="1"/>
  <c r="E8" i="2" s="1"/>
  <c r="C20" i="2"/>
  <c r="R27" i="1"/>
  <c r="T27" i="1" s="1"/>
  <c r="X27" i="1" s="1"/>
  <c r="W23" i="1"/>
  <c r="B21" i="2"/>
  <c r="B18" i="2"/>
  <c r="W24" i="1"/>
  <c r="W28" i="1"/>
  <c r="B30" i="2"/>
  <c r="E30" i="2" s="1"/>
  <c r="E5" i="2"/>
  <c r="AD21" i="1"/>
  <c r="AB21" i="1"/>
  <c r="AD22" i="1"/>
  <c r="E7" i="2" l="1"/>
  <c r="E19" i="2"/>
  <c r="Y28" i="1"/>
  <c r="Y31" i="1"/>
  <c r="Y29" i="1"/>
  <c r="Y33" i="1"/>
  <c r="Y27" i="1"/>
  <c r="Y26" i="1"/>
  <c r="Y30" i="1"/>
  <c r="Y25" i="1"/>
  <c r="Y24" i="1"/>
  <c r="Y23" i="1"/>
  <c r="Y32" i="1"/>
  <c r="E20" i="2"/>
  <c r="E12" i="2"/>
  <c r="E16" i="2"/>
  <c r="B17" i="2"/>
  <c r="E17" i="2" s="1"/>
  <c r="B14" i="2"/>
  <c r="E14" i="2" s="1"/>
  <c r="W30" i="1"/>
  <c r="E26" i="2"/>
  <c r="B27" i="2"/>
  <c r="E27" i="2" s="1"/>
  <c r="E21" i="2"/>
  <c r="W33" i="1"/>
  <c r="B22" i="2"/>
  <c r="E22" i="2" s="1"/>
  <c r="E9" i="2"/>
  <c r="E25" i="2"/>
  <c r="B34" i="2"/>
  <c r="E34" i="2" s="1"/>
  <c r="B23" i="2"/>
  <c r="E23" i="2" s="1"/>
  <c r="W22" i="1"/>
  <c r="B6" i="2"/>
  <c r="E6" i="2" s="1"/>
  <c r="B10" i="2"/>
  <c r="E10" i="2" s="1"/>
  <c r="W26" i="1"/>
  <c r="W29" i="1"/>
  <c r="B13" i="2"/>
  <c r="E13" i="2" s="1"/>
  <c r="E18" i="2"/>
  <c r="B11" i="2"/>
  <c r="E11" i="2" s="1"/>
  <c r="W27" i="1"/>
  <c r="B15" i="2"/>
  <c r="E15" i="2" s="1"/>
  <c r="W31" i="1"/>
  <c r="B33" i="2"/>
  <c r="E33" i="2" s="1"/>
  <c r="AB22" i="1"/>
  <c r="X13" i="1" l="1"/>
  <c r="AD34" i="1" l="1"/>
  <c r="AF34" i="1" s="1"/>
  <c r="AD33" i="1"/>
  <c r="AF33" i="1" s="1"/>
  <c r="AD26" i="1"/>
  <c r="AF26" i="1" s="1"/>
  <c r="AD27" i="1"/>
  <c r="AF27" i="1" s="1"/>
  <c r="AD28" i="1"/>
  <c r="AF28" i="1" s="1"/>
  <c r="AD24" i="1"/>
  <c r="AF24" i="1" s="1"/>
  <c r="AD32" i="1"/>
  <c r="AF32" i="1" s="1"/>
  <c r="AD25" i="1"/>
  <c r="AF25" i="1" s="1"/>
  <c r="AD30" i="1"/>
  <c r="AF30" i="1" s="1"/>
  <c r="AD29" i="1"/>
  <c r="AF29" i="1" s="1"/>
  <c r="AD31" i="1"/>
  <c r="AF31" i="1" s="1"/>
  <c r="AD23" i="1"/>
  <c r="AF23" i="1" s="1"/>
  <c r="AC4" i="1" l="1"/>
  <c r="AC3" i="1"/>
  <c r="AC6" i="1" s="1"/>
  <c r="Z28" i="1" l="1"/>
  <c r="AA28" i="1" s="1"/>
  <c r="Z34" i="1"/>
  <c r="AA34" i="1" s="1"/>
  <c r="Z32" i="1"/>
  <c r="AA32" i="1" s="1"/>
  <c r="Z23" i="1"/>
  <c r="Z24" i="1"/>
  <c r="AA24" i="1" s="1"/>
  <c r="Z25" i="1"/>
  <c r="AA25" i="1" s="1"/>
  <c r="Z31" i="1"/>
  <c r="AA31" i="1" s="1"/>
  <c r="Z29" i="1"/>
  <c r="AA29" i="1" s="1"/>
  <c r="Z33" i="1"/>
  <c r="AA33" i="1" s="1"/>
  <c r="Z27" i="1"/>
  <c r="AA27" i="1" s="1"/>
  <c r="Z26" i="1"/>
  <c r="Z30" i="1"/>
  <c r="AA30" i="1" s="1"/>
  <c r="AA26" i="1" l="1"/>
  <c r="AA23" i="1"/>
  <c r="AC23" i="1" s="1"/>
  <c r="AE23" i="1" s="1"/>
  <c r="AA22" i="1"/>
  <c r="AC22" i="1"/>
  <c r="AA21" i="1"/>
  <c r="AC21" i="1"/>
  <c r="AB34" i="1"/>
  <c r="AB32" i="1"/>
  <c r="AB33" i="1"/>
  <c r="AB28" i="1"/>
  <c r="AB27" i="1"/>
  <c r="AB29" i="1"/>
  <c r="AB24" i="1"/>
  <c r="AB31" i="1"/>
  <c r="AB25" i="1"/>
  <c r="AB30" i="1"/>
  <c r="AC26" i="1" l="1"/>
  <c r="AE26" i="1" s="1"/>
  <c r="AB26" i="1"/>
  <c r="AC33" i="1"/>
  <c r="AE33" i="1" s="1"/>
  <c r="AC24" i="1"/>
  <c r="AE24" i="1" s="1"/>
  <c r="AC34" i="1"/>
  <c r="AE34" i="1" s="1"/>
  <c r="AC27" i="1"/>
  <c r="AE27" i="1" s="1"/>
  <c r="AC25" i="1"/>
  <c r="AE25" i="1" s="1"/>
  <c r="AC31" i="1"/>
  <c r="AE31" i="1" s="1"/>
  <c r="AC32" i="1"/>
  <c r="AE32" i="1" s="1"/>
  <c r="AC29" i="1"/>
  <c r="AE29" i="1" s="1"/>
  <c r="AC30" i="1"/>
  <c r="AE30" i="1" s="1"/>
  <c r="AC28" i="1"/>
  <c r="AE28" i="1" s="1"/>
  <c r="AB23" i="1"/>
  <c r="AC9" i="1" s="1"/>
  <c r="AI34" i="1" l="1"/>
  <c r="AJ34" i="1" s="1"/>
  <c r="AC10" i="1"/>
  <c r="AI23" i="1"/>
  <c r="AJ23" i="1" s="1"/>
  <c r="AI31" i="1"/>
  <c r="AJ31" i="1" s="1"/>
  <c r="AI29" i="1"/>
  <c r="AJ29" i="1" s="1"/>
  <c r="AI24" i="1"/>
  <c r="AJ24" i="1" s="1"/>
  <c r="AI33" i="1"/>
  <c r="AJ33" i="1" s="1"/>
  <c r="AI27" i="1"/>
  <c r="AJ27" i="1" s="1"/>
  <c r="AI30" i="1"/>
  <c r="AJ30" i="1" s="1"/>
  <c r="AI28" i="1"/>
  <c r="AJ28" i="1" s="1"/>
  <c r="AI26" i="1"/>
  <c r="AJ26" i="1" s="1"/>
  <c r="AI32" i="1"/>
  <c r="AJ32" i="1" s="1"/>
  <c r="AI25" i="1"/>
  <c r="AJ25" i="1" s="1"/>
</calcChain>
</file>

<file path=xl/comments1.xml><?xml version="1.0" encoding="utf-8"?>
<comments xmlns="http://schemas.openxmlformats.org/spreadsheetml/2006/main">
  <authors>
    <author>Keith H. Morse</author>
  </authors>
  <commentList>
    <comment ref="A2" authorId="0">
      <text>
        <r>
          <rPr>
            <sz val="9"/>
            <color indexed="81"/>
            <rFont val="Tahoma"/>
            <family val="2"/>
          </rPr>
          <t>Height of Instrument</t>
        </r>
      </text>
    </comment>
    <comment ref="B20" authorId="0">
      <text>
        <r>
          <rPr>
            <sz val="9"/>
            <color indexed="81"/>
            <rFont val="Tahoma"/>
            <family val="2"/>
          </rPr>
          <t>Horizontal angle taken from an arbitrary '0' point.  Data taken from total station.</t>
        </r>
      </text>
    </comment>
    <comment ref="C20" authorId="0">
      <text>
        <r>
          <rPr>
            <sz val="9"/>
            <color indexed="81"/>
            <rFont val="Tahoma"/>
            <family val="2"/>
          </rPr>
          <t>Vertical angle taken from horizontal.  Values &gt;90 indicate downward slope. Data taken from total station.</t>
        </r>
      </text>
    </comment>
    <comment ref="D20" authorId="0">
      <text>
        <r>
          <rPr>
            <sz val="9"/>
            <color indexed="81"/>
            <rFont val="Tahoma"/>
            <family val="2"/>
          </rPr>
          <t>Slope distance.  Direct distance from instrument to prism.</t>
        </r>
      </text>
    </comment>
    <comment ref="E20" authorId="0">
      <text>
        <r>
          <rPr>
            <sz val="9"/>
            <color indexed="81"/>
            <rFont val="Tahoma"/>
            <family val="2"/>
          </rPr>
          <t>Height of Rod.  Length of prism rod from bottom of foot to center of prism.</t>
        </r>
      </text>
    </comment>
    <comment ref="M20" authorId="0">
      <text>
        <r>
          <rPr>
            <sz val="9"/>
            <color indexed="81"/>
            <rFont val="Tahoma"/>
            <family val="2"/>
          </rPr>
          <t>Correct for errors made during the survey (ie zero horiz. Angle at wrong point).</t>
        </r>
      </text>
    </comment>
    <comment ref="N20" authorId="0">
      <text>
        <r>
          <rPr>
            <sz val="9"/>
            <color indexed="81"/>
            <rFont val="Tahoma"/>
            <family val="2"/>
          </rPr>
          <t>Horiz. angle corrected for known field errors.</t>
        </r>
      </text>
    </comment>
    <comment ref="O20" authorId="0">
      <text>
        <r>
          <rPr>
            <sz val="9"/>
            <color indexed="81"/>
            <rFont val="Tahoma"/>
            <family val="2"/>
          </rPr>
          <t>Correct for difference between surveyed N (when Horiz. Angle is zeroed) and grid N.</t>
        </r>
      </text>
    </comment>
    <comment ref="P20" authorId="0">
      <text>
        <r>
          <rPr>
            <sz val="9"/>
            <color indexed="81"/>
            <rFont val="Tahoma"/>
            <family val="2"/>
          </rPr>
          <t>Corrected bearing angle (from grid N).</t>
        </r>
      </text>
    </comment>
    <comment ref="T20" authorId="0">
      <text>
        <r>
          <rPr>
            <sz val="9"/>
            <color indexed="81"/>
            <rFont val="Tahoma"/>
            <family val="2"/>
          </rPr>
          <t>This is the E coord with the correct bearing.</t>
        </r>
      </text>
    </comment>
    <comment ref="U20" authorId="0">
      <text>
        <r>
          <rPr>
            <sz val="9"/>
            <color indexed="81"/>
            <rFont val="Tahoma"/>
            <family val="2"/>
          </rPr>
          <t>This is the N coord with the correct bearing.</t>
        </r>
      </text>
    </comment>
    <comment ref="V20" authorId="0">
      <text>
        <r>
          <rPr>
            <sz val="9"/>
            <color indexed="81"/>
            <rFont val="Tahoma"/>
            <family val="2"/>
          </rPr>
          <t>This is the Z coord calculated from the total station data.</t>
        </r>
      </text>
    </comment>
    <comment ref="W20" authorId="0">
      <text>
        <r>
          <rPr>
            <sz val="9"/>
            <color indexed="81"/>
            <rFont val="Tahoma"/>
            <family val="2"/>
          </rPr>
          <t>This is the Z coord with the correct bearing.</t>
        </r>
      </text>
    </comment>
    <comment ref="X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Y20" authorId="0">
      <text>
        <r>
          <rPr>
            <sz val="9"/>
            <color indexed="81"/>
            <rFont val="Tahoma"/>
            <family val="2"/>
          </rPr>
          <t>E coord for points included in the cross section.  Does not include shots to backsights or dams.</t>
        </r>
      </text>
    </comment>
    <comment ref="Z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A20" authorId="0">
      <text>
        <r>
          <rPr>
            <sz val="9"/>
            <color indexed="81"/>
            <rFont val="Tahoma"/>
            <family val="2"/>
          </rPr>
          <t>E coord as projected onto a line of best fit through points included in cross section.</t>
        </r>
      </text>
    </comment>
    <comment ref="AB20" authorId="0">
      <text>
        <r>
          <rPr>
            <sz val="9"/>
            <color indexed="81"/>
            <rFont val="Tahoma"/>
            <family val="2"/>
          </rPr>
          <t>Distance from cross section point to point on line of best fit.</t>
        </r>
      </text>
    </comment>
    <comment ref="AC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D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  <comment ref="AE20" authorId="0">
      <text>
        <r>
          <rPr>
            <sz val="9"/>
            <color indexed="81"/>
            <rFont val="Tahoma"/>
            <family val="2"/>
          </rPr>
          <t>Distance of point on line of best fit from 'first point' on line of best fit.</t>
        </r>
      </text>
    </comment>
    <comment ref="AF20" authorId="0">
      <text>
        <r>
          <rPr>
            <sz val="9"/>
            <color indexed="81"/>
            <rFont val="Tahoma"/>
            <family val="2"/>
          </rPr>
          <t>Elevation change from lowest point in cross section.</t>
        </r>
      </text>
    </comment>
  </commentList>
</comments>
</file>

<file path=xl/sharedStrings.xml><?xml version="1.0" encoding="utf-8"?>
<sst xmlns="http://schemas.openxmlformats.org/spreadsheetml/2006/main" count="103" uniqueCount="90">
  <si>
    <t>PT</t>
  </si>
  <si>
    <t>HL</t>
  </si>
  <si>
    <t>VL</t>
  </si>
  <si>
    <t>SD</t>
  </si>
  <si>
    <t>HR</t>
  </si>
  <si>
    <t>Notes</t>
  </si>
  <si>
    <t>N</t>
  </si>
  <si>
    <t>E</t>
  </si>
  <si>
    <t>Z</t>
  </si>
  <si>
    <t>Easting</t>
  </si>
  <si>
    <t>Z (Elev)</t>
  </si>
  <si>
    <t>Raw GPS Data (P,N,E,Z)</t>
  </si>
  <si>
    <t>TS Z</t>
  </si>
  <si>
    <t>GPS Pt</t>
  </si>
  <si>
    <t>Northing</t>
  </si>
  <si>
    <t>Bearing</t>
  </si>
  <si>
    <t>HI</t>
  </si>
  <si>
    <t>Cross Section Start</t>
  </si>
  <si>
    <t>Cross Section End</t>
  </si>
  <si>
    <t>BRG</t>
  </si>
  <si>
    <t>Rotated Coordinates</t>
  </si>
  <si>
    <t>Bearing Correction</t>
  </si>
  <si>
    <t>To GPS Pt</t>
  </si>
  <si>
    <t>Pt</t>
  </si>
  <si>
    <t>BackSight1</t>
  </si>
  <si>
    <t>BackSight2</t>
  </si>
  <si>
    <t>β2</t>
  </si>
  <si>
    <t>α+β2</t>
  </si>
  <si>
    <t>β1</t>
  </si>
  <si>
    <r>
      <rPr>
        <b/>
        <sz val="11"/>
        <color theme="1"/>
        <rFont val="Calibri"/>
        <family val="2"/>
      </rPr>
      <t>θ</t>
    </r>
    <r>
      <rPr>
        <b/>
        <sz val="8.8000000000000007"/>
        <color theme="1"/>
        <rFont val="Calibri"/>
        <family val="2"/>
      </rPr>
      <t>=</t>
    </r>
    <r>
      <rPr>
        <b/>
        <sz val="11"/>
        <color theme="1"/>
        <rFont val="Calibri"/>
        <family val="2"/>
        <scheme val="minor"/>
      </rPr>
      <t>α+β1+β2</t>
    </r>
  </si>
  <si>
    <t>From TS Pt B</t>
  </si>
  <si>
    <t>From TS Pt A</t>
  </si>
  <si>
    <t>d BRG A</t>
  </si>
  <si>
    <t>d BRG B</t>
  </si>
  <si>
    <t>Elevation Correction</t>
  </si>
  <si>
    <t>d Z A</t>
  </si>
  <si>
    <t>d Z B</t>
  </si>
  <si>
    <t>AVG d Z</t>
  </si>
  <si>
    <t xml:space="preserve"> = d Z</t>
  </si>
  <si>
    <t>AVG d BRG (β1)</t>
  </si>
  <si>
    <t>CS Slope</t>
  </si>
  <si>
    <t>CS Y-Int</t>
  </si>
  <si>
    <t>Perp Slope</t>
  </si>
  <si>
    <r>
      <t>E (x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</si>
  <si>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r>
      <t>N (y</t>
    </r>
    <r>
      <rPr>
        <b/>
        <vertAlign val="subscript"/>
        <sz val="11"/>
        <color theme="1"/>
        <rFont val="Calibri"/>
        <family val="2"/>
        <scheme val="minor"/>
      </rPr>
      <t>B</t>
    </r>
    <r>
      <rPr>
        <b/>
        <sz val="11"/>
        <color theme="1"/>
        <rFont val="Calibri"/>
        <family val="2"/>
        <scheme val="minor"/>
      </rPr>
      <t>)</t>
    </r>
  </si>
  <si>
    <t>Cross Section Coord</t>
  </si>
  <si>
    <t>Coord on Line</t>
  </si>
  <si>
    <t xml:space="preserve">Dist from </t>
  </si>
  <si>
    <t>Line</t>
  </si>
  <si>
    <t>Avg Dist from Line</t>
  </si>
  <si>
    <t>Std Dev of Dist from Line</t>
  </si>
  <si>
    <t>Dist from</t>
  </si>
  <si>
    <t>"First Pt"</t>
  </si>
  <si>
    <r>
      <t>m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</si>
  <si>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b</t>
    </r>
    <r>
      <rPr>
        <b/>
        <vertAlign val="subscript"/>
        <sz val="11"/>
        <color theme="1"/>
        <rFont val="Calibri"/>
        <family val="2"/>
        <scheme val="minor"/>
      </rPr>
      <t>A</t>
    </r>
  </si>
  <si>
    <r>
      <t>m</t>
    </r>
    <r>
      <rPr>
        <b/>
        <vertAlign val="subscript"/>
        <sz val="11"/>
        <color theme="1"/>
        <rFont val="Calibri"/>
        <family val="2"/>
        <scheme val="minor"/>
      </rPr>
      <t>B</t>
    </r>
  </si>
  <si>
    <t>Proj Dist Along Cross Section</t>
  </si>
  <si>
    <t>Name</t>
  </si>
  <si>
    <t>D</t>
  </si>
  <si>
    <t>Icon</t>
  </si>
  <si>
    <t>G</t>
  </si>
  <si>
    <t>IconColor</t>
  </si>
  <si>
    <t>Folder</t>
  </si>
  <si>
    <t>Position</t>
  </si>
  <si>
    <t>Min Z</t>
  </si>
  <si>
    <t>Z'</t>
  </si>
  <si>
    <t>Input Unit</t>
  </si>
  <si>
    <t>Output Unit</t>
  </si>
  <si>
    <t xml:space="preserve"> </t>
  </si>
  <si>
    <t>PT1</t>
  </si>
  <si>
    <t>PT2</t>
  </si>
  <si>
    <t>ft</t>
  </si>
  <si>
    <t>"First Pt" ft</t>
  </si>
  <si>
    <t>Z' ft</t>
  </si>
  <si>
    <t>HD</t>
  </si>
  <si>
    <t>VD</t>
  </si>
  <si>
    <t>VL(rad)</t>
  </si>
  <si>
    <t>DeltaE</t>
  </si>
  <si>
    <t>DeltaN</t>
  </si>
  <si>
    <t>BRG(rad)</t>
  </si>
  <si>
    <t>HL(rad)</t>
  </si>
  <si>
    <t>HL(deg)(0=N)</t>
  </si>
  <si>
    <t>VL(deg)(0=Up)</t>
  </si>
  <si>
    <t>WS</t>
  </si>
  <si>
    <t>BS/ZERO</t>
  </si>
  <si>
    <t>MID CHAN</t>
  </si>
  <si>
    <t>DSS6</t>
  </si>
  <si>
    <t>1,1535819.810,3877821.414,3458.106,3458.106,</t>
  </si>
  <si>
    <t>2,1535760.734,3877836.155,3467.140,3467.140,</t>
  </si>
  <si>
    <t>3,1535783.043,3877773.356,3455.051,3455.051,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</si>
</sst>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[h]\°mm\'ss\&quot;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8.8000000000000007"/>
      <color theme="1"/>
      <name val="Calibri"/>
      <family val="2"/>
    </font>
    <font>
      <sz val="9"/>
      <color indexed="81"/>
      <name val="Tahoma"/>
      <family val="2"/>
    </font>
    <font>
      <b/>
      <vertAlign val="sub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0" fillId="0" borderId="0" xfId="0"/>
    <xf numFmtId="165" fontId="1" fillId="0" borderId="0" xfId="0" applyNumberFormat="1" applyFont="1" applyAlignment="1">
      <alignment horizontal="center"/>
    </xf>
    <xf numFmtId="165" fontId="1" fillId="0" borderId="0" xfId="0" applyNumberFormat="1" applyFont="1" applyFill="1" applyAlignment="1">
      <alignment horizontal="center"/>
    </xf>
    <xf numFmtId="2" fontId="4" fillId="0" borderId="0" xfId="0" applyNumberFormat="1" applyFont="1" applyBorder="1" applyAlignment="1">
      <alignment horizontal="center"/>
    </xf>
    <xf numFmtId="2" fontId="1" fillId="0" borderId="0" xfId="0" applyNumberFormat="1" applyFont="1" applyAlignment="1"/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left"/>
    </xf>
    <xf numFmtId="0" fontId="1" fillId="0" borderId="0" xfId="0" quotePrefix="1" applyFont="1" applyFill="1" applyAlignment="1">
      <alignment horizontal="center"/>
    </xf>
    <xf numFmtId="2" fontId="0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2" fontId="0" fillId="2" borderId="0" xfId="0" applyNumberFormat="1" applyFont="1" applyFill="1" applyBorder="1" applyAlignment="1">
      <alignment horizontal="center"/>
    </xf>
    <xf numFmtId="2" fontId="4" fillId="2" borderId="0" xfId="0" applyNumberFormat="1" applyFont="1" applyFill="1" applyBorder="1" applyAlignment="1">
      <alignment horizontal="center"/>
    </xf>
    <xf numFmtId="1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1" fontId="0" fillId="2" borderId="0" xfId="0" applyNumberFormat="1" applyFont="1" applyFill="1" applyAlignment="1">
      <alignment horizontal="center"/>
    </xf>
    <xf numFmtId="2" fontId="0" fillId="2" borderId="0" xfId="0" applyNumberFormat="1" applyFont="1" applyFill="1" applyAlignment="1"/>
    <xf numFmtId="0" fontId="1" fillId="2" borderId="0" xfId="0" quotePrefix="1" applyFont="1" applyFill="1" applyAlignment="1"/>
    <xf numFmtId="0" fontId="1" fillId="2" borderId="0" xfId="0" applyFont="1" applyFill="1" applyAlignment="1"/>
    <xf numFmtId="1" fontId="0" fillId="3" borderId="1" xfId="0" applyNumberFormat="1" applyFont="1" applyFill="1" applyBorder="1" applyAlignment="1">
      <alignment horizontal="center"/>
    </xf>
    <xf numFmtId="166" fontId="0" fillId="0" borderId="0" xfId="0" applyNumberFormat="1"/>
    <xf numFmtId="1" fontId="0" fillId="0" borderId="0" xfId="0" applyNumberFormat="1"/>
    <xf numFmtId="0" fontId="0" fillId="3" borderId="2" xfId="0" applyFont="1" applyFill="1" applyBorder="1" applyAlignment="1">
      <alignment horizontal="left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1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65" fontId="0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3" borderId="1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Calculations!$AH$23:$AH$54</c:f>
              <c:numCache>
                <c:formatCode>General</c:formatCode>
                <c:ptCount val="32"/>
                <c:pt idx="0">
                  <c:v>0</c:v>
                </c:pt>
                <c:pt idx="1">
                  <c:v>0.4</c:v>
                </c:pt>
                <c:pt idx="2">
                  <c:v>3.35</c:v>
                </c:pt>
                <c:pt idx="3">
                  <c:v>4.16</c:v>
                </c:pt>
                <c:pt idx="4">
                  <c:v>6.74</c:v>
                </c:pt>
                <c:pt idx="5">
                  <c:v>29.49</c:v>
                </c:pt>
                <c:pt idx="6">
                  <c:v>54.49</c:v>
                </c:pt>
                <c:pt idx="7">
                  <c:v>57.8</c:v>
                </c:pt>
                <c:pt idx="8">
                  <c:v>59.24</c:v>
                </c:pt>
                <c:pt idx="9">
                  <c:v>78.760000000000005</c:v>
                </c:pt>
              </c:numCache>
            </c:numRef>
          </c:xVal>
          <c:yVal>
            <c:numRef>
              <c:f>Calculations!$AI$23:$AI$54</c:f>
              <c:numCache>
                <c:formatCode>General</c:formatCode>
                <c:ptCount val="32"/>
                <c:pt idx="0">
                  <c:v>7.26</c:v>
                </c:pt>
                <c:pt idx="1">
                  <c:v>5.57</c:v>
                </c:pt>
                <c:pt idx="2">
                  <c:v>2.0499999999999998</c:v>
                </c:pt>
                <c:pt idx="3">
                  <c:v>1.23</c:v>
                </c:pt>
                <c:pt idx="4">
                  <c:v>0</c:v>
                </c:pt>
                <c:pt idx="5">
                  <c:v>0.41</c:v>
                </c:pt>
                <c:pt idx="6">
                  <c:v>0.57999999999999996</c:v>
                </c:pt>
                <c:pt idx="7">
                  <c:v>1.18</c:v>
                </c:pt>
                <c:pt idx="8">
                  <c:v>3.22</c:v>
                </c:pt>
                <c:pt idx="9">
                  <c:v>4.05</c:v>
                </c:pt>
                <c:pt idx="10">
                  <c:v>7.26</c:v>
                </c:pt>
                <c:pt idx="11">
                  <c:v>7.26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67776"/>
        <c:axId val="106269312"/>
      </c:scatterChart>
      <c:valAx>
        <c:axId val="106267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6269312"/>
        <c:crosses val="autoZero"/>
        <c:crossBetween val="midCat"/>
      </c:valAx>
      <c:valAx>
        <c:axId val="10626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6267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Calculations!$R$23:$R$32</c:f>
              <c:numCache>
                <c:formatCode>0.00</c:formatCode>
                <c:ptCount val="10"/>
                <c:pt idx="0">
                  <c:v>-15.325564302534133</c:v>
                </c:pt>
                <c:pt idx="1">
                  <c:v>-14.901900578920594</c:v>
                </c:pt>
                <c:pt idx="2">
                  <c:v>-15.778802169389392</c:v>
                </c:pt>
                <c:pt idx="3">
                  <c:v>-16.229660345674205</c:v>
                </c:pt>
                <c:pt idx="4">
                  <c:v>-17.109820403052801</c:v>
                </c:pt>
                <c:pt idx="5">
                  <c:v>-16.916658995106193</c:v>
                </c:pt>
                <c:pt idx="6">
                  <c:v>-16.589373961374974</c:v>
                </c:pt>
                <c:pt idx="7">
                  <c:v>-16.74258558164129</c:v>
                </c:pt>
                <c:pt idx="8">
                  <c:v>-16.912630081705149</c:v>
                </c:pt>
                <c:pt idx="9">
                  <c:v>-20.410417851510623</c:v>
                </c:pt>
              </c:numCache>
            </c:numRef>
          </c:xVal>
          <c:yVal>
            <c:numRef>
              <c:f>Calculations!$S$23:$S$32</c:f>
              <c:numCache>
                <c:formatCode>0.00</c:formatCode>
                <c:ptCount val="10"/>
                <c:pt idx="0">
                  <c:v>10.418234910583642</c:v>
                </c:pt>
                <c:pt idx="1">
                  <c:v>10.84481702057883</c:v>
                </c:pt>
                <c:pt idx="2">
                  <c:v>13.741915073741092</c:v>
                </c:pt>
                <c:pt idx="3">
                  <c:v>14.531185878368392</c:v>
                </c:pt>
                <c:pt idx="4">
                  <c:v>17.056242788660636</c:v>
                </c:pt>
                <c:pt idx="5">
                  <c:v>39.862578386762834</c:v>
                </c:pt>
                <c:pt idx="6">
                  <c:v>64.94527745949182</c:v>
                </c:pt>
                <c:pt idx="7">
                  <c:v>68.254365468464982</c:v>
                </c:pt>
                <c:pt idx="8">
                  <c:v>69.683040685252152</c:v>
                </c:pt>
                <c:pt idx="9">
                  <c:v>89.014518577479791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12288"/>
        <c:axId val="106414848"/>
      </c:scatterChart>
      <c:valAx>
        <c:axId val="10641228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6414848"/>
        <c:crosses val="autoZero"/>
        <c:crossBetween val="midCat"/>
      </c:valAx>
      <c:valAx>
        <c:axId val="1064148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6412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Calculations!$Z$21:$Z$34</c:f>
              <c:numCache>
                <c:formatCode>0.00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3877806.6621227614</c:v>
                </c:pt>
                <c:pt idx="3">
                  <c:v>3877806.6359174307</c:v>
                </c:pt>
                <c:pt idx="4">
                  <c:v>3877806.4416496512</c:v>
                </c:pt>
                <c:pt idx="5">
                  <c:v>3877806.3878042279</c:v>
                </c:pt>
                <c:pt idx="6">
                  <c:v>3877806.2179810638</c:v>
                </c:pt>
                <c:pt idx="7">
                  <c:v>3877804.7194834831</c:v>
                </c:pt>
                <c:pt idx="8">
                  <c:v>3877803.0719152316</c:v>
                </c:pt>
                <c:pt idx="9">
                  <c:v>3877802.8537038132</c:v>
                </c:pt>
                <c:pt idx="10">
                  <c:v>3877802.7590415846</c:v>
                </c:pt>
                <c:pt idx="11">
                  <c:v>3877801.4729664847</c:v>
                </c:pt>
                <c:pt idx="12">
                  <c:v>#N/A</c:v>
                </c:pt>
                <c:pt idx="13">
                  <c:v>#N/A</c:v>
                </c:pt>
              </c:numCache>
            </c:numRef>
          </c:xVal>
          <c:yVal>
            <c:numRef>
              <c:f>Calculations!$AA$21:$AA$34</c:f>
              <c:numCache>
                <c:formatCode>0.00</c:formatCode>
                <c:ptCount val="14"/>
                <c:pt idx="0">
                  <c:v>#N/A</c:v>
                </c:pt>
                <c:pt idx="1">
                  <c:v>#N/A</c:v>
                </c:pt>
                <c:pt idx="2">
                  <c:v>1535830.2661147267</c:v>
                </c:pt>
                <c:pt idx="3">
                  <c:v>1535830.6629925594</c:v>
                </c:pt>
                <c:pt idx="4">
                  <c:v>1535833.6051640436</c:v>
                </c:pt>
                <c:pt idx="5">
                  <c:v>1535834.4206490815</c:v>
                </c:pt>
                <c:pt idx="6">
                  <c:v>1535836.9926086292</c:v>
                </c:pt>
                <c:pt idx="7">
                  <c:v>1535859.6872461662</c:v>
                </c:pt>
                <c:pt idx="8">
                  <c:v>1535884.6395482346</c:v>
                </c:pt>
                <c:pt idx="9">
                  <c:v>1535887.9443443939</c:v>
                </c:pt>
                <c:pt idx="10">
                  <c:v>1535889.3779970035</c:v>
                </c:pt>
                <c:pt idx="11">
                  <c:v>1535908.8555114195</c:v>
                </c:pt>
                <c:pt idx="12">
                  <c:v>#N/A</c:v>
                </c:pt>
                <c:pt idx="13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23072"/>
        <c:axId val="108070400"/>
      </c:scatterChart>
      <c:valAx>
        <c:axId val="10752307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8070400"/>
        <c:crosses val="autoZero"/>
        <c:crossBetween val="midCat"/>
      </c:valAx>
      <c:valAx>
        <c:axId val="1080704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07523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Calculations!$L$45:$L$71</c:f>
              <c:numCache>
                <c:formatCode>General</c:formatCode>
                <c:ptCount val="27"/>
              </c:numCache>
            </c:numRef>
          </c:xVal>
          <c:yVal>
            <c:numRef>
              <c:f>Calculations!$M$45:$M$71</c:f>
              <c:numCache>
                <c:formatCode>0.00</c:formatCode>
                <c:ptCount val="27"/>
              </c:numCache>
            </c:numRef>
          </c:yVal>
          <c:smooth val="0"/>
        </c:ser>
        <c:ser>
          <c:idx val="1"/>
          <c:order val="1"/>
          <c:tx>
            <c:v>BM</c:v>
          </c:tx>
          <c:spPr>
            <a:ln w="28575">
              <a:noFill/>
            </a:ln>
          </c:spPr>
          <c:xVal>
            <c:numRef>
              <c:f>(Calculations!$L$43:$L$44,Calculations!$L$72:$L$73)</c:f>
              <c:numCache>
                <c:formatCode>General</c:formatCode>
                <c:ptCount val="4"/>
              </c:numCache>
            </c:numRef>
          </c:xVal>
          <c:yVal>
            <c:numRef>
              <c:f>(Calculations!$M$43:$M$44,Calculations!$M$72:$M$73)</c:f>
              <c:numCache>
                <c:formatCode>0.00</c:formatCode>
                <c:ptCount val="4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5280"/>
        <c:axId val="122016128"/>
      </c:scatterChart>
      <c:valAx>
        <c:axId val="1219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2016128"/>
        <c:crosses val="autoZero"/>
        <c:crossBetween val="midCat"/>
      </c:valAx>
      <c:valAx>
        <c:axId val="1220161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19852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599262</xdr:colOff>
      <xdr:row>35</xdr:row>
      <xdr:rowOff>123749</xdr:rowOff>
    </xdr:from>
    <xdr:to>
      <xdr:col>34</xdr:col>
      <xdr:colOff>167833</xdr:colOff>
      <xdr:row>50</xdr:row>
      <xdr:rowOff>9449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705971</xdr:colOff>
      <xdr:row>36</xdr:row>
      <xdr:rowOff>8988</xdr:rowOff>
    </xdr:from>
    <xdr:to>
      <xdr:col>20</xdr:col>
      <xdr:colOff>654100</xdr:colOff>
      <xdr:row>50</xdr:row>
      <xdr:rowOff>85188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179294</xdr:colOff>
      <xdr:row>35</xdr:row>
      <xdr:rowOff>129988</xdr:rowOff>
    </xdr:from>
    <xdr:to>
      <xdr:col>27</xdr:col>
      <xdr:colOff>392206</xdr:colOff>
      <xdr:row>50</xdr:row>
      <xdr:rowOff>15688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6</xdr:row>
      <xdr:rowOff>47625</xdr:rowOff>
    </xdr:from>
    <xdr:to>
      <xdr:col>22</xdr:col>
      <xdr:colOff>333375</xdr:colOff>
      <xdr:row>20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J73"/>
  <sheetViews>
    <sheetView tabSelected="1" topLeftCell="L20" zoomScale="85" zoomScaleNormal="85" workbookViewId="0">
      <selection activeCell="AJ23" sqref="AJ23:AJ32"/>
    </sheetView>
  </sheetViews>
  <sheetFormatPr defaultColWidth="10.7109375" defaultRowHeight="15" x14ac:dyDescent="0.25"/>
  <cols>
    <col min="1" max="1" width="10.7109375" style="2"/>
    <col min="2" max="2" width="10.85546875" style="17" bestFit="1" customWidth="1"/>
    <col min="3" max="3" width="10.7109375" style="17"/>
    <col min="4" max="6" width="10.7109375" style="2"/>
    <col min="7" max="7" width="12.7109375" style="2" bestFit="1" customWidth="1"/>
    <col min="8" max="8" width="10.7109375" style="2"/>
    <col min="9" max="9" width="12.5703125" style="2" bestFit="1" customWidth="1"/>
    <col min="10" max="11" width="10.7109375" style="2"/>
    <col min="12" max="12" width="12" style="2" bestFit="1" customWidth="1"/>
    <col min="13" max="14" width="10.7109375" style="16"/>
    <col min="15" max="15" width="10.7109375" style="16" customWidth="1"/>
    <col min="16" max="21" width="10.7109375" style="16"/>
    <col min="22" max="22" width="11.5703125" style="16" bestFit="1" customWidth="1"/>
    <col min="23" max="23" width="10.7109375" style="16"/>
    <col min="24" max="24" width="10.7109375" style="16" customWidth="1"/>
    <col min="25" max="27" width="10.7109375" style="16"/>
    <col min="28" max="28" width="10.7109375" style="2"/>
    <col min="29" max="29" width="10.7109375" style="2" customWidth="1"/>
    <col min="30" max="16384" width="10.7109375" style="2"/>
  </cols>
  <sheetData>
    <row r="1" spans="1:29" x14ac:dyDescent="0.25">
      <c r="A1" s="60" t="s">
        <v>86</v>
      </c>
      <c r="B1" s="61"/>
      <c r="C1" s="51">
        <v>40836</v>
      </c>
      <c r="D1" s="44"/>
      <c r="E1" s="44"/>
      <c r="F1" s="44"/>
      <c r="M1" s="58" t="s">
        <v>21</v>
      </c>
      <c r="N1" s="58"/>
      <c r="O1" s="58"/>
      <c r="P1" s="58"/>
      <c r="Q1" s="58"/>
      <c r="R1" s="22"/>
      <c r="W1" s="55" t="s">
        <v>34</v>
      </c>
      <c r="X1" s="55"/>
      <c r="Y1" s="55"/>
      <c r="Z1" s="2"/>
      <c r="AA1" s="55" t="s">
        <v>56</v>
      </c>
      <c r="AB1" s="55"/>
      <c r="AC1" s="55"/>
    </row>
    <row r="2" spans="1:29" x14ac:dyDescent="0.25">
      <c r="A2" s="60" t="s">
        <v>16</v>
      </c>
      <c r="B2" s="61"/>
      <c r="C2" s="38">
        <v>5.0625</v>
      </c>
      <c r="D2" s="44"/>
      <c r="E2" s="44"/>
      <c r="F2" s="44"/>
      <c r="M2" s="20"/>
      <c r="N2" s="20"/>
      <c r="O2" s="20"/>
      <c r="P2" s="20"/>
      <c r="Q2" s="20"/>
      <c r="R2" s="22"/>
      <c r="W2" s="22"/>
      <c r="X2" s="22"/>
      <c r="Y2" s="22"/>
      <c r="Z2" s="2"/>
      <c r="AA2" s="22"/>
      <c r="AB2" s="22"/>
      <c r="AC2" s="22"/>
    </row>
    <row r="3" spans="1:29" ht="18" x14ac:dyDescent="0.35">
      <c r="A3" s="60" t="s">
        <v>66</v>
      </c>
      <c r="B3" s="61"/>
      <c r="C3" s="38" t="s">
        <v>71</v>
      </c>
      <c r="D3" s="44"/>
      <c r="E3" s="44"/>
      <c r="F3" s="44"/>
      <c r="M3" s="21" t="s">
        <v>13</v>
      </c>
      <c r="N3" s="21" t="s">
        <v>9</v>
      </c>
      <c r="O3" s="21" t="s">
        <v>14</v>
      </c>
      <c r="P3" s="21" t="s">
        <v>10</v>
      </c>
      <c r="Q3" s="21" t="s">
        <v>15</v>
      </c>
      <c r="R3" s="22"/>
      <c r="W3" s="20"/>
      <c r="X3" s="21" t="s">
        <v>10</v>
      </c>
      <c r="Y3" s="21" t="s">
        <v>10</v>
      </c>
      <c r="Z3" s="2"/>
      <c r="AA3" s="21" t="s">
        <v>40</v>
      </c>
      <c r="AB3" s="21" t="s">
        <v>53</v>
      </c>
      <c r="AC3" s="20">
        <f ca="1">SLOPE(yB,xB)</f>
        <v>-15.144927711835857</v>
      </c>
    </row>
    <row r="4" spans="1:29" ht="18" x14ac:dyDescent="0.35">
      <c r="A4" s="60" t="s">
        <v>67</v>
      </c>
      <c r="B4" s="61"/>
      <c r="C4" s="38" t="s">
        <v>71</v>
      </c>
      <c r="D4" s="44"/>
      <c r="E4" s="44"/>
      <c r="F4" s="44"/>
      <c r="M4" s="22">
        <v>0</v>
      </c>
      <c r="N4" s="20">
        <f>VALUE(MID(C10,FIND(",",C10,3)+1,FIND(",",C10,15)-FIND(",",C10,3)-1))</f>
        <v>3877821.4139999999</v>
      </c>
      <c r="O4" s="20">
        <f>VALUE(MID(C10,FIND(",",C10,1)+1,FIND(",",C10,5)-FIND(",",C10,1)-1))</f>
        <v>1535819.81</v>
      </c>
      <c r="P4" s="20">
        <f>VALUE(MID(C10,FIND(",",C10,17)+1,FIND(",",C10,27)-FIND(",",C10,17)-1))</f>
        <v>3458.1060000000002</v>
      </c>
      <c r="Q4" s="23"/>
      <c r="R4" s="22"/>
      <c r="W4" s="27"/>
      <c r="X4" s="20">
        <f ca="1">VALUE(OFFSET($P$3,MATCH($O$10,$M$4:$M$6,0),0))</f>
        <v>3467.14</v>
      </c>
      <c r="Y4" s="20">
        <f ca="1">OFFSET($P$3,MATCH($Q$10,$M$4:$M$6,0),0)</f>
        <v>3455.0509999999999</v>
      </c>
      <c r="Z4" s="2"/>
      <c r="AA4" s="26" t="s">
        <v>41</v>
      </c>
      <c r="AB4" s="26" t="s">
        <v>54</v>
      </c>
      <c r="AC4" s="28">
        <f ca="1">INTERCEPT(yB,xB)</f>
        <v>60264931.844439439</v>
      </c>
    </row>
    <row r="5" spans="1:29" x14ac:dyDescent="0.25">
      <c r="A5" s="52"/>
      <c r="B5" s="46"/>
      <c r="C5" s="46"/>
      <c r="D5" s="4"/>
      <c r="E5" s="44"/>
      <c r="F5" s="44"/>
      <c r="M5" s="22">
        <v>1</v>
      </c>
      <c r="N5" s="20">
        <f t="shared" ref="N5:N6" si="0">VALUE(MID(C11,FIND(",",C11,3)+1,FIND(",",C11,15)-FIND(",",C11,3)-1))</f>
        <v>3877836.1549999998</v>
      </c>
      <c r="O5" s="20">
        <f t="shared" ref="O5:O6" si="1">VALUE(MID(C11,FIND(",",C11,1)+1,FIND(",",C11,5)-FIND(",",C11,1)-1))</f>
        <v>1535760.7339999999</v>
      </c>
      <c r="P5" s="20">
        <f t="shared" ref="P5:P6" si="2">VALUE(MID(C11,FIND(",",C11,17)+1,FIND(",",C11,27)-FIND(",",C11,17)-1))</f>
        <v>3467.14</v>
      </c>
      <c r="Q5" s="24">
        <f>DEGREES(ATAN2(Old_Y1-Old_Y0,Old_X1-Old_X0))+IF(Old_X1-Old_X0&lt;0,360)</f>
        <v>165.98931819195266</v>
      </c>
      <c r="R5" s="22"/>
      <c r="W5" s="21"/>
      <c r="X5" s="20">
        <f ca="1">VALUE(OFFSET($V$20,MATCH($O11,$A$21:$A$39,0),0))</f>
        <v>3459.3488344896623</v>
      </c>
      <c r="Y5" s="20">
        <f ca="1">OFFSET($V$20,MATCH($Q11,$A$21:$A$39,0),0)</f>
        <v>3458.4767689481787</v>
      </c>
      <c r="Z5" s="2"/>
      <c r="AA5" s="26"/>
      <c r="AB5" s="26"/>
      <c r="AC5" s="20"/>
    </row>
    <row r="6" spans="1:29" ht="18" x14ac:dyDescent="0.35">
      <c r="A6" s="62" t="s">
        <v>17</v>
      </c>
      <c r="B6" s="62"/>
      <c r="C6" s="38">
        <v>3</v>
      </c>
      <c r="D6" s="4"/>
      <c r="E6" s="44"/>
      <c r="F6" s="44"/>
      <c r="M6" s="22">
        <v>2</v>
      </c>
      <c r="N6" s="20">
        <f t="shared" si="0"/>
        <v>3877773.3560000001</v>
      </c>
      <c r="O6" s="20">
        <f t="shared" si="1"/>
        <v>1535783.0430000001</v>
      </c>
      <c r="P6" s="20">
        <f t="shared" si="2"/>
        <v>3455.0509999999999</v>
      </c>
      <c r="Q6" s="24">
        <f>DEGREES(ATAN2(Old_Y2-Old_Y0,Old_X2-Old_X0))+IF(Old_X2-Old_X0&lt;0,360)</f>
        <v>232.5820334540592</v>
      </c>
      <c r="R6" s="22"/>
      <c r="W6" s="21"/>
      <c r="X6" s="20">
        <f ca="1">VALUE(OFFSET($V$20,MATCH($O12,$A$21:$A$49,0),0))</f>
        <v>3459.3464286370363</v>
      </c>
      <c r="Y6" s="20">
        <f ca="1">VALUE(OFFSET($V$20,MATCH($O12,$A$21:$A$49,0),0))</f>
        <v>3459.3464286370363</v>
      </c>
      <c r="Z6" s="5"/>
      <c r="AA6" s="26" t="s">
        <v>42</v>
      </c>
      <c r="AB6" s="21" t="s">
        <v>55</v>
      </c>
      <c r="AC6" s="20">
        <f ca="1">-1/mA</f>
        <v>6.6028707368374809E-2</v>
      </c>
    </row>
    <row r="7" spans="1:29" x14ac:dyDescent="0.25">
      <c r="A7" s="62" t="s">
        <v>18</v>
      </c>
      <c r="B7" s="62"/>
      <c r="C7" s="38">
        <v>12</v>
      </c>
      <c r="D7" s="4"/>
      <c r="E7" s="44"/>
      <c r="F7" s="44"/>
      <c r="M7" s="20"/>
      <c r="N7" s="20"/>
      <c r="O7" s="20"/>
      <c r="P7" s="20"/>
      <c r="Q7" s="20"/>
      <c r="R7" s="22"/>
      <c r="W7" s="20"/>
      <c r="X7" s="20"/>
      <c r="Y7" s="20"/>
      <c r="Z7" s="2"/>
      <c r="AA7" s="20"/>
      <c r="AB7" s="20"/>
      <c r="AC7" s="20"/>
    </row>
    <row r="8" spans="1:29" x14ac:dyDescent="0.25">
      <c r="A8" s="54"/>
      <c r="B8" s="48"/>
      <c r="C8" s="46"/>
      <c r="D8" s="4"/>
      <c r="E8" s="44"/>
      <c r="F8" s="44"/>
      <c r="M8" s="22"/>
      <c r="N8" s="20"/>
      <c r="O8" s="55" t="s">
        <v>24</v>
      </c>
      <c r="P8" s="55"/>
      <c r="Q8" s="55" t="s">
        <v>25</v>
      </c>
      <c r="R8" s="55"/>
      <c r="W8" s="21" t="s">
        <v>35</v>
      </c>
      <c r="X8" s="20">
        <f ca="1">X5-X4</f>
        <v>-7.7911655103375779</v>
      </c>
      <c r="Y8" s="20">
        <f ca="1">Y5-Y4</f>
        <v>3.4257689481787565</v>
      </c>
      <c r="AA8" s="20"/>
      <c r="AB8" s="22"/>
      <c r="AC8" s="22"/>
    </row>
    <row r="9" spans="1:29" x14ac:dyDescent="0.25">
      <c r="A9" s="6"/>
      <c r="B9" s="48"/>
      <c r="C9" s="9" t="s">
        <v>11</v>
      </c>
      <c r="D9" s="44"/>
      <c r="E9" s="44"/>
      <c r="F9" s="44"/>
      <c r="M9" s="20"/>
      <c r="N9" s="20"/>
      <c r="O9" s="25" t="s">
        <v>23</v>
      </c>
      <c r="P9" s="26" t="s">
        <v>19</v>
      </c>
      <c r="Q9" s="26" t="s">
        <v>23</v>
      </c>
      <c r="R9" s="26" t="s">
        <v>19</v>
      </c>
      <c r="W9" s="21" t="s">
        <v>36</v>
      </c>
      <c r="X9" s="20">
        <f ca="1">X6-X4</f>
        <v>-7.7935713629635757</v>
      </c>
      <c r="Y9" s="20">
        <f ca="1">Y6-Y4</f>
        <v>4.2954286370363661</v>
      </c>
      <c r="AA9" s="31" t="s">
        <v>49</v>
      </c>
      <c r="AB9" s="31"/>
      <c r="AC9" s="20">
        <f ca="1">AVERAGE(DfromL)</f>
        <v>1.0648636776862506</v>
      </c>
    </row>
    <row r="10" spans="1:29" s="16" customFormat="1" x14ac:dyDescent="0.25">
      <c r="A10" s="53"/>
      <c r="B10" s="48"/>
      <c r="C10" s="35" t="s">
        <v>87</v>
      </c>
      <c r="D10" s="36"/>
      <c r="E10" s="37"/>
      <c r="F10" s="47"/>
      <c r="M10" s="59" t="s">
        <v>22</v>
      </c>
      <c r="N10" s="59"/>
      <c r="O10" s="32">
        <v>1</v>
      </c>
      <c r="P10" s="20">
        <f ca="1">OFFSET($Q$3,MATCH($O$10,$M$4:$M$6,0),0)</f>
        <v>165.98931819195266</v>
      </c>
      <c r="Q10" s="32">
        <v>2</v>
      </c>
      <c r="R10" s="20">
        <f ca="1">OFFSET($Q$3,MATCH($O$10,$M$4:$M$6,0),0)</f>
        <v>165.98931819195266</v>
      </c>
      <c r="W10" s="22"/>
      <c r="X10" s="22"/>
      <c r="Y10" s="22"/>
      <c r="AA10" s="31" t="s">
        <v>50</v>
      </c>
      <c r="AB10" s="31"/>
      <c r="AC10" s="20">
        <f ca="1">_xlfn.STDEV.P(DfromL)</f>
        <v>0.67206411406172528</v>
      </c>
    </row>
    <row r="11" spans="1:29" s="16" customFormat="1" x14ac:dyDescent="0.25">
      <c r="A11" s="14"/>
      <c r="B11" s="48"/>
      <c r="C11" s="35" t="s">
        <v>88</v>
      </c>
      <c r="D11" s="36"/>
      <c r="E11" s="37"/>
      <c r="F11" s="47"/>
      <c r="M11" s="55" t="s">
        <v>31</v>
      </c>
      <c r="N11" s="55"/>
      <c r="O11" s="32">
        <v>1</v>
      </c>
      <c r="P11" s="20">
        <f ca="1">OFFSET($N$20,MATCH($O11,$A$21:$A$39,0),0)</f>
        <v>359.9997222222222</v>
      </c>
      <c r="Q11" s="32">
        <v>2</v>
      </c>
      <c r="R11" s="20">
        <f ca="1">OFFSET($N$20,MATCH($Q11,$A$21:$A$39,0),0)</f>
        <v>62.097777777777779</v>
      </c>
      <c r="W11" s="21" t="s">
        <v>37</v>
      </c>
      <c r="X11" s="20">
        <f ca="1">AVERAGE(X8:Y9)</f>
        <v>-1.9658848220215077</v>
      </c>
      <c r="Y11" s="30" t="s">
        <v>38</v>
      </c>
      <c r="AA11" s="20"/>
      <c r="AB11" s="20"/>
      <c r="AC11" s="20"/>
    </row>
    <row r="12" spans="1:29" s="16" customFormat="1" x14ac:dyDescent="0.25">
      <c r="A12" s="14"/>
      <c r="B12" s="48"/>
      <c r="C12" s="35" t="s">
        <v>89</v>
      </c>
      <c r="D12" s="36"/>
      <c r="E12" s="37"/>
      <c r="F12" s="47"/>
      <c r="M12" s="55" t="s">
        <v>30</v>
      </c>
      <c r="N12" s="55"/>
      <c r="O12" s="32">
        <v>13</v>
      </c>
      <c r="P12" s="20">
        <f ca="1">OFFSET($N$20,MATCH($O12,$A$21:$A$49,0),0)</f>
        <v>6.5277777777777782E-2</v>
      </c>
      <c r="Q12" s="32">
        <v>14</v>
      </c>
      <c r="R12" s="20">
        <f ca="1">OFFSET($N$20,MATCH($Q12,$A$21:$A$39,0),0)</f>
        <v>62.059444444444452</v>
      </c>
      <c r="W12" s="20"/>
      <c r="X12" s="20"/>
      <c r="Y12" s="20"/>
      <c r="AA12" s="20"/>
      <c r="AB12" s="20"/>
      <c r="AC12" s="20"/>
    </row>
    <row r="13" spans="1:29" s="16" customFormat="1" x14ac:dyDescent="0.25">
      <c r="A13" s="14"/>
      <c r="B13" s="48"/>
      <c r="C13" s="48"/>
      <c r="D13" s="18"/>
      <c r="E13" s="47"/>
      <c r="F13" s="47"/>
      <c r="M13" s="20"/>
      <c r="N13" s="20"/>
      <c r="O13" s="20"/>
      <c r="P13" s="20"/>
      <c r="Q13" s="20"/>
      <c r="R13" s="20"/>
      <c r="W13" s="20" t="s">
        <v>64</v>
      </c>
      <c r="X13" s="20">
        <f ca="1">MIN(Zs)</f>
        <v>3448.7878847818533</v>
      </c>
      <c r="Y13" s="20"/>
      <c r="AA13" s="20"/>
      <c r="AB13" s="20"/>
      <c r="AC13" s="20"/>
    </row>
    <row r="14" spans="1:29" s="16" customFormat="1" x14ac:dyDescent="0.25">
      <c r="A14" s="53"/>
      <c r="B14" s="48"/>
      <c r="C14" s="48"/>
      <c r="D14" s="18"/>
      <c r="E14" s="47"/>
      <c r="F14" s="47"/>
      <c r="M14" s="55" t="s">
        <v>32</v>
      </c>
      <c r="N14" s="55"/>
      <c r="O14" s="22"/>
      <c r="P14" s="20">
        <f ca="1">P10-P11+IF(P11&gt;P10,360)</f>
        <v>165.98959596973046</v>
      </c>
      <c r="Q14" s="20"/>
      <c r="R14" s="20">
        <f ca="1">R10-R11+IF(R11&gt;R10,360)</f>
        <v>103.89154041417488</v>
      </c>
      <c r="W14" s="20"/>
      <c r="X14" s="20"/>
      <c r="Y14" s="20"/>
      <c r="AA14" s="20"/>
      <c r="AB14" s="20"/>
      <c r="AC14" s="20"/>
    </row>
    <row r="15" spans="1:29" x14ac:dyDescent="0.25">
      <c r="A15" s="54"/>
      <c r="B15" s="48"/>
      <c r="C15" s="48"/>
      <c r="D15" s="4"/>
      <c r="E15" s="44"/>
      <c r="F15" s="44"/>
      <c r="M15" s="55" t="s">
        <v>33</v>
      </c>
      <c r="N15" s="55"/>
      <c r="O15" s="22"/>
      <c r="P15" s="20">
        <f ca="1">P10-P12+IF(P12&gt;P10,360)</f>
        <v>165.9240404141749</v>
      </c>
      <c r="Q15" s="20"/>
      <c r="R15" s="20">
        <f ca="1">R10-R12+IF(R12&gt;R10,360)</f>
        <v>103.92987374750821</v>
      </c>
      <c r="W15" s="20"/>
      <c r="X15" s="20"/>
      <c r="Y15" s="20"/>
      <c r="AA15" s="22"/>
      <c r="AB15" s="22"/>
      <c r="AC15" s="22"/>
    </row>
    <row r="16" spans="1:29" x14ac:dyDescent="0.25">
      <c r="A16" s="54"/>
      <c r="B16" s="48" t="s">
        <v>68</v>
      </c>
      <c r="C16" s="48"/>
      <c r="D16" s="4"/>
      <c r="E16" s="44"/>
      <c r="F16" s="44"/>
      <c r="M16" s="22"/>
      <c r="N16" s="22"/>
      <c r="O16" s="22"/>
      <c r="P16" s="22"/>
      <c r="Q16" s="22"/>
      <c r="R16" s="29"/>
      <c r="W16" s="20"/>
      <c r="X16" s="20"/>
      <c r="Y16" s="20"/>
      <c r="AA16" s="22"/>
      <c r="AB16" s="22"/>
      <c r="AC16" s="22"/>
    </row>
    <row r="17" spans="1:36" x14ac:dyDescent="0.25">
      <c r="A17" s="54"/>
      <c r="B17" s="48"/>
      <c r="C17" s="48"/>
      <c r="D17" s="4"/>
      <c r="E17" s="44"/>
      <c r="F17" s="44"/>
      <c r="M17" s="55" t="s">
        <v>39</v>
      </c>
      <c r="N17" s="55"/>
      <c r="O17" s="20">
        <f ca="1">AVERAGE(P14:P15,R14:R15)</f>
        <v>134.93376263639709</v>
      </c>
      <c r="P17" s="30"/>
      <c r="Q17" s="22"/>
      <c r="R17" s="22"/>
      <c r="W17" s="20"/>
      <c r="X17" s="20"/>
      <c r="Y17" s="22"/>
      <c r="Z17" s="2"/>
      <c r="AA17" s="22"/>
      <c r="AB17" s="22"/>
      <c r="AC17" s="22"/>
    </row>
    <row r="18" spans="1:36" x14ac:dyDescent="0.25">
      <c r="A18" s="54"/>
      <c r="B18" s="48"/>
      <c r="C18" s="48"/>
      <c r="D18" s="4"/>
      <c r="E18" s="44"/>
      <c r="F18" s="44"/>
      <c r="M18" s="18"/>
      <c r="O18" s="18"/>
      <c r="P18" s="18"/>
      <c r="Q18" s="18"/>
      <c r="R18" s="18"/>
      <c r="S18" s="18"/>
      <c r="T18" s="18"/>
      <c r="U18" s="18"/>
      <c r="V18" s="2"/>
      <c r="W18" s="2"/>
      <c r="X18" s="2"/>
      <c r="Y18" s="2"/>
      <c r="Z18" s="2"/>
      <c r="AA18" s="2"/>
    </row>
    <row r="19" spans="1:36" s="1" customFormat="1" x14ac:dyDescent="0.25">
      <c r="A19" s="54"/>
      <c r="B19" s="11"/>
      <c r="C19" s="11"/>
      <c r="D19" s="7"/>
      <c r="E19" s="7"/>
      <c r="F19" s="7"/>
      <c r="G19" s="7"/>
      <c r="H19" s="7"/>
      <c r="I19" s="7"/>
      <c r="J19" s="7"/>
      <c r="K19" s="7"/>
      <c r="N19" s="14"/>
      <c r="O19" s="14"/>
      <c r="P19" s="14"/>
      <c r="Q19" s="14"/>
      <c r="R19" s="14"/>
      <c r="S19" s="14"/>
      <c r="T19" s="56" t="s">
        <v>20</v>
      </c>
      <c r="U19" s="56"/>
      <c r="X19" s="57" t="s">
        <v>45</v>
      </c>
      <c r="Y19" s="57"/>
      <c r="Z19" s="57" t="s">
        <v>46</v>
      </c>
      <c r="AA19" s="57"/>
      <c r="AB19" s="1" t="s">
        <v>47</v>
      </c>
      <c r="AC19" s="1" t="s">
        <v>51</v>
      </c>
      <c r="AE19" s="41" t="s">
        <v>51</v>
      </c>
      <c r="AG19" s="41"/>
      <c r="AH19" s="41"/>
      <c r="AI19" s="41"/>
    </row>
    <row r="20" spans="1:36" s="3" customFormat="1" ht="18" x14ac:dyDescent="0.35">
      <c r="A20" s="3" t="s">
        <v>0</v>
      </c>
      <c r="B20" s="12" t="s">
        <v>1</v>
      </c>
      <c r="C20" s="12" t="s">
        <v>2</v>
      </c>
      <c r="D20" s="3" t="s">
        <v>3</v>
      </c>
      <c r="E20" s="3" t="s">
        <v>4</v>
      </c>
      <c r="F20" s="3" t="s">
        <v>5</v>
      </c>
      <c r="G20" s="12" t="s">
        <v>82</v>
      </c>
      <c r="H20" s="12" t="s">
        <v>76</v>
      </c>
      <c r="I20" s="12" t="s">
        <v>81</v>
      </c>
      <c r="J20" s="12" t="s">
        <v>80</v>
      </c>
      <c r="K20" s="3" t="s">
        <v>74</v>
      </c>
      <c r="L20" s="3" t="s">
        <v>75</v>
      </c>
      <c r="M20" s="8" t="s">
        <v>26</v>
      </c>
      <c r="N20" s="8" t="s">
        <v>27</v>
      </c>
      <c r="O20" s="8" t="s">
        <v>28</v>
      </c>
      <c r="P20" s="19" t="s">
        <v>29</v>
      </c>
      <c r="Q20" s="19" t="s">
        <v>79</v>
      </c>
      <c r="R20" s="19" t="s">
        <v>77</v>
      </c>
      <c r="S20" s="19" t="s">
        <v>78</v>
      </c>
      <c r="T20" s="19" t="s">
        <v>7</v>
      </c>
      <c r="U20" s="19" t="s">
        <v>6</v>
      </c>
      <c r="V20" s="19" t="s">
        <v>12</v>
      </c>
      <c r="W20" s="19" t="s">
        <v>8</v>
      </c>
      <c r="X20" s="3" t="s">
        <v>43</v>
      </c>
      <c r="Y20" s="3" t="s">
        <v>44</v>
      </c>
      <c r="Z20" s="3" t="s">
        <v>7</v>
      </c>
      <c r="AA20" s="3" t="s">
        <v>6</v>
      </c>
      <c r="AB20" s="3" t="s">
        <v>48</v>
      </c>
      <c r="AC20" s="3" t="s">
        <v>52</v>
      </c>
      <c r="AD20" s="19" t="s">
        <v>65</v>
      </c>
      <c r="AE20" s="3" t="s">
        <v>72</v>
      </c>
      <c r="AF20" s="19" t="s">
        <v>73</v>
      </c>
      <c r="AG20" s="19"/>
      <c r="AH20" s="19"/>
      <c r="AI20" s="19"/>
    </row>
    <row r="21" spans="1:36" x14ac:dyDescent="0.25">
      <c r="A21" s="44">
        <v>1</v>
      </c>
      <c r="B21" s="48">
        <v>14.999988425925926</v>
      </c>
      <c r="C21" s="48">
        <v>3.7032523148148151</v>
      </c>
      <c r="D21" s="44">
        <v>55.491</v>
      </c>
      <c r="E21" s="44">
        <v>4.9062000000000001</v>
      </c>
      <c r="F21" s="49" t="s">
        <v>84</v>
      </c>
      <c r="G21" s="43">
        <f>C21*24</f>
        <v>88.878055555555562</v>
      </c>
      <c r="H21" s="43">
        <f>RADIANS(G21)</f>
        <v>1.5512147022148826</v>
      </c>
      <c r="I21" s="43">
        <f t="shared" ref="I21:I33" si="3">B21*24</f>
        <v>359.9997222222222</v>
      </c>
      <c r="J21" s="39">
        <f>RADIANS(I21)</f>
        <v>6.2831804590427751</v>
      </c>
      <c r="K21" s="39">
        <f>D21*SIN(H21)</f>
        <v>55.480361604830726</v>
      </c>
      <c r="L21" s="15">
        <f>D21*COS(H21)</f>
        <v>1.086534489661912</v>
      </c>
      <c r="M21" s="13"/>
      <c r="N21" s="16">
        <f t="shared" ref="N21:N33" si="4">I21+M21</f>
        <v>359.9997222222222</v>
      </c>
      <c r="O21" s="16">
        <f ca="1">$O$17</f>
        <v>134.93376263639709</v>
      </c>
      <c r="P21" s="16">
        <f ca="1">SUM(N21,O21)</f>
        <v>494.93348485861929</v>
      </c>
      <c r="Q21" s="16">
        <f ca="1">RADIANS(P21)</f>
        <v>8.6382188891524088</v>
      </c>
      <c r="R21" s="16">
        <f t="shared" ref="R21:R33" ca="1" si="5">K21*SIN(Q21)</f>
        <v>39.276056523818433</v>
      </c>
      <c r="S21" s="16">
        <f t="shared" ref="S21:S33" ca="1" si="6">K21*COS(Q21)</f>
        <v>-39.184970431794319</v>
      </c>
      <c r="T21" s="13">
        <f t="shared" ref="T21:T33" ca="1" si="7">Old_X0+R21</f>
        <v>3877860.6900565238</v>
      </c>
      <c r="U21" s="13">
        <f t="shared" ref="U21:U33" ca="1" si="8">Old_Y0+S21</f>
        <v>1535780.6250295683</v>
      </c>
      <c r="V21" s="16">
        <f t="shared" ref="V21:V33" si="9">Old_Z0+HI+L21-E21</f>
        <v>3459.3488344896623</v>
      </c>
      <c r="W21" s="16">
        <f t="shared" ref="W21:W33" ca="1" si="10">IF(ISNUMBER(T21),V21+dZ,"")</f>
        <v>3457.3829496676408</v>
      </c>
      <c r="X21" s="16" t="str">
        <f t="shared" ref="X21:X34" si="11">IF(AND(A21&gt;=CS_Start,A21&lt;=CS_End),IF(OR(LEFT(UPPER(F21))="D"),"",T21),"")</f>
        <v/>
      </c>
      <c r="Y21" s="16" t="str">
        <f>IF(ISNUMBER(X21),U21,"")</f>
        <v/>
      </c>
      <c r="Z21" s="16" t="e">
        <f t="shared" ref="Z21:Z34" si="12">IF(X21="",NA(),VALUE((-mB*X21+Y21-bA)/(mA-mB)))</f>
        <v>#N/A</v>
      </c>
      <c r="AA21" s="16" t="e">
        <f t="shared" ref="AA21:AA34" si="13">IF(ISNA(Z21),NA(),VALUE(mA*Z21+bA))</f>
        <v>#N/A</v>
      </c>
      <c r="AB21" s="16" t="str">
        <f>IF(ISNUMBER(X21),SQRT((X21-Z21)^2+(Y21-AA21)^2),"")</f>
        <v/>
      </c>
      <c r="AC21" s="16" t="str">
        <f ca="1">IF(ISNUMBER(Z21),SQRT(($Z21-OFFSET($Z$20,MATCH(CS_Start,$A$21:$A$39,0),0))^2+($AA21-OFFSET($AA$20,MATCH(CS_Start,$A$21:$A$39,0),0))^2),"")</f>
        <v/>
      </c>
      <c r="AD21" s="16" t="str">
        <f t="shared" ref="AD21:AD23" si="14">IF(ISNUMBER(X21),W21-Min_Z,"")</f>
        <v/>
      </c>
    </row>
    <row r="22" spans="1:36" x14ac:dyDescent="0.25">
      <c r="A22" s="44">
        <v>2</v>
      </c>
      <c r="B22" s="48">
        <v>2.5874074074074076</v>
      </c>
      <c r="C22" s="48">
        <v>3.7421875</v>
      </c>
      <c r="D22" s="44">
        <v>65.537000000000006</v>
      </c>
      <c r="E22" s="44">
        <v>4.9062000000000001</v>
      </c>
      <c r="F22" s="44"/>
      <c r="G22" s="43">
        <f t="shared" ref="G22:G33" si="15">C22*24</f>
        <v>89.8125</v>
      </c>
      <c r="H22" s="43">
        <f t="shared" ref="H22:H33" si="16">RADIANS(G22)</f>
        <v>1.5675238344474072</v>
      </c>
      <c r="I22" s="43">
        <f t="shared" si="3"/>
        <v>62.097777777777779</v>
      </c>
      <c r="J22" s="39">
        <f t="shared" ref="J22:J33" si="17">RADIANS(I22)</f>
        <v>1.08381068039399</v>
      </c>
      <c r="K22" s="39">
        <f t="shared" ref="K22:K33" si="18">D22*SIN(H22)</f>
        <v>65.536649075690988</v>
      </c>
      <c r="L22" s="15">
        <f t="shared" ref="L22:L33" si="19">D22*COS(H22)</f>
        <v>0.21446894817824069</v>
      </c>
      <c r="M22" s="13"/>
      <c r="N22" s="16">
        <f t="shared" si="4"/>
        <v>62.097777777777779</v>
      </c>
      <c r="O22" s="16">
        <f t="shared" ref="O22:O34" ca="1" si="20">$O$17</f>
        <v>134.93376263639709</v>
      </c>
      <c r="P22" s="16">
        <f t="shared" ref="P22:P33" ca="1" si="21">SUM(N22,O22)</f>
        <v>197.03154041417486</v>
      </c>
      <c r="Q22" s="16">
        <f t="shared" ref="Q22:Q33" ca="1" si="22">RADIANS(P22)</f>
        <v>3.438849110503623</v>
      </c>
      <c r="R22" s="16">
        <f t="shared" ca="1" si="5"/>
        <v>-19.195559400603376</v>
      </c>
      <c r="S22" s="16">
        <f t="shared" ca="1" si="6"/>
        <v>-62.66245184612692</v>
      </c>
      <c r="T22" s="13">
        <f t="shared" ca="1" si="7"/>
        <v>3877802.2184405993</v>
      </c>
      <c r="U22" s="13">
        <f t="shared" ca="1" si="8"/>
        <v>1535757.147548154</v>
      </c>
      <c r="V22" s="16">
        <f t="shared" si="9"/>
        <v>3458.4767689481787</v>
      </c>
      <c r="W22" s="16">
        <f t="shared" ca="1" si="10"/>
        <v>3456.5108841261572</v>
      </c>
      <c r="X22" s="47" t="str">
        <f t="shared" si="11"/>
        <v/>
      </c>
      <c r="Y22" s="47" t="str">
        <f t="shared" ref="Y22:Y34" si="23">IF(ISNUMBER(X22),U22,"")</f>
        <v/>
      </c>
      <c r="Z22" s="47" t="e">
        <f t="shared" si="12"/>
        <v>#N/A</v>
      </c>
      <c r="AA22" s="47" t="e">
        <f t="shared" si="13"/>
        <v>#N/A</v>
      </c>
      <c r="AB22" s="16" t="str">
        <f t="shared" ref="AB22:AB23" si="24">IF(ISNUMBER(X22),SQRT((X22-Z22)^2+(Y22-AA22)^2),"")</f>
        <v/>
      </c>
      <c r="AC22" s="16" t="str">
        <f ca="1">IF(ISNUMBER(Z22),SQRT(($Z22-OFFSET($Z$20,MATCH(CS_Start,$A$21:$A$39,0),0))^2+($AA22-OFFSET($AA$20,MATCH(CS_Start,$A$21:$A$39,0),0))^2),"")</f>
        <v/>
      </c>
      <c r="AD22" s="16" t="str">
        <f t="shared" si="14"/>
        <v/>
      </c>
    </row>
    <row r="23" spans="1:36" x14ac:dyDescent="0.25">
      <c r="A23" s="44">
        <v>3</v>
      </c>
      <c r="B23" s="48">
        <v>7.0530787037037035</v>
      </c>
      <c r="C23" s="48">
        <v>3.7814351851851851</v>
      </c>
      <c r="D23" s="44">
        <v>18.533000000000001</v>
      </c>
      <c r="E23" s="44">
        <v>4.9062000000000001</v>
      </c>
      <c r="F23" s="44"/>
      <c r="G23" s="43">
        <f t="shared" si="15"/>
        <v>90.754444444444445</v>
      </c>
      <c r="H23" s="43">
        <f t="shared" si="16"/>
        <v>1.5839638663738316</v>
      </c>
      <c r="I23" s="43">
        <f t="shared" si="3"/>
        <v>169.27388888888888</v>
      </c>
      <c r="J23" s="39">
        <f t="shared" si="17"/>
        <v>2.9543866987661569</v>
      </c>
      <c r="K23" s="39">
        <f t="shared" si="18"/>
        <v>18.531393359464698</v>
      </c>
      <c r="L23" s="15">
        <f t="shared" si="19"/>
        <v>-0.24402695914136618</v>
      </c>
      <c r="M23" s="13"/>
      <c r="N23" s="16">
        <f t="shared" si="4"/>
        <v>169.27388888888888</v>
      </c>
      <c r="O23" s="16">
        <f t="shared" ca="1" si="20"/>
        <v>134.93376263639709</v>
      </c>
      <c r="P23" s="16">
        <f t="shared" ca="1" si="21"/>
        <v>304.207651525286</v>
      </c>
      <c r="Q23" s="16">
        <f t="shared" ca="1" si="22"/>
        <v>5.309425128875791</v>
      </c>
      <c r="R23" s="16">
        <f t="shared" ca="1" si="5"/>
        <v>-15.325564302534133</v>
      </c>
      <c r="S23" s="16">
        <f t="shared" ca="1" si="6"/>
        <v>10.418234910583642</v>
      </c>
      <c r="T23" s="13">
        <f t="shared" ca="1" si="7"/>
        <v>3877806.0884356974</v>
      </c>
      <c r="U23" s="13">
        <f t="shared" ca="1" si="8"/>
        <v>1535830.2282349106</v>
      </c>
      <c r="V23" s="16">
        <f t="shared" si="9"/>
        <v>3458.0182730408587</v>
      </c>
      <c r="W23" s="16">
        <f t="shared" ca="1" si="10"/>
        <v>3456.0523882188372</v>
      </c>
      <c r="X23" s="47">
        <f t="shared" ca="1" si="11"/>
        <v>3877806.0884356974</v>
      </c>
      <c r="Y23" s="47">
        <f t="shared" ca="1" si="23"/>
        <v>1535830.2282349106</v>
      </c>
      <c r="Z23" s="47">
        <f t="shared" ca="1" si="12"/>
        <v>3877806.6621227614</v>
      </c>
      <c r="AA23" s="47">
        <f t="shared" ca="1" si="13"/>
        <v>1535830.2661147267</v>
      </c>
      <c r="AB23" s="16">
        <f t="shared" ca="1" si="24"/>
        <v>0.57493628156348475</v>
      </c>
      <c r="AC23" s="16">
        <f ca="1">IF(ISNUMBER(Z23),SQRT(($Z23-OFFSET($Z$20,MATCH(CS_Start,$A$21:$A$39,0),0))^2+($AA23-OFFSET($AA$20,MATCH(CS_Start,$A$21:$A$39,0),0))^2),"")</f>
        <v>0</v>
      </c>
      <c r="AD23" s="16">
        <f t="shared" ca="1" si="14"/>
        <v>7.2645034369838868</v>
      </c>
      <c r="AE23" s="47">
        <f ca="1">ROUND(AC23,2)</f>
        <v>0</v>
      </c>
      <c r="AF23" s="47">
        <f ca="1">ROUND(AD23,2)</f>
        <v>7.26</v>
      </c>
      <c r="AH23" s="44">
        <v>0</v>
      </c>
      <c r="AI23" s="2">
        <f ca="1">OFFSET($AF$22,MATCH(AH23,$AE$23:$AE$47,0),0)</f>
        <v>7.26</v>
      </c>
      <c r="AJ23" s="2" t="str">
        <f t="shared" ref="AJ23:AJ31" ca="1" si="25">CONCATENATE(AH23,",",AI23)</f>
        <v>0,7.26</v>
      </c>
    </row>
    <row r="24" spans="1:36" x14ac:dyDescent="0.25">
      <c r="A24" s="44">
        <v>4</v>
      </c>
      <c r="B24" s="48">
        <v>7.1296412037037031</v>
      </c>
      <c r="C24" s="48">
        <v>4.0001967592592598</v>
      </c>
      <c r="D24" s="44">
        <v>18.532</v>
      </c>
      <c r="E24" s="44">
        <v>4.9062000000000001</v>
      </c>
      <c r="F24" s="44"/>
      <c r="G24" s="43">
        <f t="shared" si="15"/>
        <v>96.004722222222227</v>
      </c>
      <c r="H24" s="43">
        <f t="shared" si="16"/>
        <v>1.6755985002403451</v>
      </c>
      <c r="I24" s="43">
        <f t="shared" si="3"/>
        <v>171.11138888888888</v>
      </c>
      <c r="J24" s="39">
        <f t="shared" si="17"/>
        <v>2.9864571237715527</v>
      </c>
      <c r="K24" s="39">
        <f t="shared" si="18"/>
        <v>18.430320048058586</v>
      </c>
      <c r="L24" s="15">
        <f t="shared" si="19"/>
        <v>-1.9386404839809244</v>
      </c>
      <c r="M24" s="13"/>
      <c r="N24" s="16">
        <f t="shared" si="4"/>
        <v>171.11138888888888</v>
      </c>
      <c r="O24" s="16">
        <f t="shared" ca="1" si="20"/>
        <v>134.93376263639709</v>
      </c>
      <c r="P24" s="16">
        <f t="shared" ca="1" si="21"/>
        <v>306.04515152528597</v>
      </c>
      <c r="Q24" s="16">
        <f t="shared" ca="1" si="22"/>
        <v>5.3414955538811864</v>
      </c>
      <c r="R24" s="16">
        <f t="shared" ca="1" si="5"/>
        <v>-14.901900578920594</v>
      </c>
      <c r="S24" s="16">
        <f t="shared" ca="1" si="6"/>
        <v>10.84481702057883</v>
      </c>
      <c r="T24" s="13">
        <f t="shared" ca="1" si="7"/>
        <v>3877806.5120994211</v>
      </c>
      <c r="U24" s="13">
        <f t="shared" ca="1" si="8"/>
        <v>1535830.6548170205</v>
      </c>
      <c r="V24" s="16">
        <f t="shared" si="9"/>
        <v>3456.3236595160192</v>
      </c>
      <c r="W24" s="16">
        <f t="shared" ca="1" si="10"/>
        <v>3454.3577746939977</v>
      </c>
      <c r="X24" s="47">
        <f t="shared" ca="1" si="11"/>
        <v>3877806.5120994211</v>
      </c>
      <c r="Y24" s="47">
        <f t="shared" ca="1" si="23"/>
        <v>1535830.6548170205</v>
      </c>
      <c r="Z24" s="47">
        <f t="shared" ca="1" si="12"/>
        <v>3877806.6359174307</v>
      </c>
      <c r="AA24" s="47">
        <f t="shared" ca="1" si="13"/>
        <v>1535830.6629925594</v>
      </c>
      <c r="AB24" s="47">
        <f t="shared" ref="AB24:AB33" ca="1" si="26">IF(ISNUMBER(X24),SQRT((X24-Z24)^2+(Y24-AA24)^2),"")</f>
        <v>0.12408762606846763</v>
      </c>
      <c r="AC24" s="47">
        <f ca="1">IF(ISNUMBER(Z24),SQRT(($Z24-OFFSET($Z$20,MATCH(CS_Start,$A$21:$A$39,0),0))^2+($AA24-OFFSET($AA$20,MATCH(CS_Start,$A$21:$A$39,0),0))^2),"")</f>
        <v>0.39774204385525558</v>
      </c>
      <c r="AD24" s="47">
        <f t="shared" ref="AD24:AD33" ca="1" si="27">IF(ISNUMBER(X24),W24-Min_Z,"")</f>
        <v>5.5698899121443901</v>
      </c>
      <c r="AE24" s="47">
        <f t="shared" ref="AE24:AE34" ca="1" si="28">ROUND(AC24,2)</f>
        <v>0.4</v>
      </c>
      <c r="AF24" s="47">
        <f t="shared" ref="AF24:AF34" ca="1" si="29">ROUND(AD24,2)</f>
        <v>5.57</v>
      </c>
      <c r="AH24" s="44">
        <v>0.4</v>
      </c>
      <c r="AI24" s="44">
        <f ca="1">OFFSET($AF$22,MATCH(AH24,$AE$23:$AE$47,0),0)</f>
        <v>5.57</v>
      </c>
      <c r="AJ24" s="2" t="str">
        <f t="shared" ca="1" si="25"/>
        <v>0.4,5.57</v>
      </c>
    </row>
    <row r="25" spans="1:36" x14ac:dyDescent="0.25">
      <c r="A25" s="44">
        <v>5</v>
      </c>
      <c r="B25" s="48">
        <v>7.338298611111111</v>
      </c>
      <c r="C25" s="48">
        <v>4.3587037037037035</v>
      </c>
      <c r="D25" s="44">
        <v>21.623000000000001</v>
      </c>
      <c r="E25" s="44">
        <v>4.9062000000000001</v>
      </c>
      <c r="F25" s="44"/>
      <c r="G25" s="43">
        <f t="shared" si="15"/>
        <v>104.60888888888888</v>
      </c>
      <c r="H25" s="43">
        <f t="shared" si="16"/>
        <v>1.8257695379640237</v>
      </c>
      <c r="I25" s="43">
        <f t="shared" si="3"/>
        <v>176.11916666666667</v>
      </c>
      <c r="J25" s="39">
        <f t="shared" si="17"/>
        <v>3.07385933420198</v>
      </c>
      <c r="K25" s="39">
        <f t="shared" si="18"/>
        <v>20.923929549552589</v>
      </c>
      <c r="L25" s="15">
        <f t="shared" si="19"/>
        <v>-5.4537419452482414</v>
      </c>
      <c r="M25" s="13"/>
      <c r="N25" s="16">
        <f t="shared" si="4"/>
        <v>176.11916666666667</v>
      </c>
      <c r="O25" s="16">
        <f t="shared" ca="1" si="20"/>
        <v>134.93376263639709</v>
      </c>
      <c r="P25" s="16">
        <f t="shared" ca="1" si="21"/>
        <v>311.05292930306376</v>
      </c>
      <c r="Q25" s="16">
        <f t="shared" ca="1" si="22"/>
        <v>5.4288977643116132</v>
      </c>
      <c r="R25" s="16">
        <f t="shared" ca="1" si="5"/>
        <v>-15.778802169389392</v>
      </c>
      <c r="S25" s="16">
        <f t="shared" ca="1" si="6"/>
        <v>13.741915073741092</v>
      </c>
      <c r="T25" s="13">
        <f t="shared" ca="1" si="7"/>
        <v>3877805.6351978304</v>
      </c>
      <c r="U25" s="13">
        <f t="shared" ca="1" si="8"/>
        <v>1535833.5519150738</v>
      </c>
      <c r="V25" s="16">
        <f t="shared" si="9"/>
        <v>3452.8085580547522</v>
      </c>
      <c r="W25" s="16">
        <f t="shared" ca="1" si="10"/>
        <v>3450.8426732327307</v>
      </c>
      <c r="X25" s="47">
        <f t="shared" ca="1" si="11"/>
        <v>3877805.6351978304</v>
      </c>
      <c r="Y25" s="47">
        <f t="shared" ca="1" si="23"/>
        <v>1535833.5519150738</v>
      </c>
      <c r="Z25" s="47">
        <f t="shared" ca="1" si="12"/>
        <v>3877806.4416496512</v>
      </c>
      <c r="AA25" s="47">
        <f t="shared" ca="1" si="13"/>
        <v>1535833.6051640436</v>
      </c>
      <c r="AB25" s="47">
        <f t="shared" ca="1" si="26"/>
        <v>0.80820788910372809</v>
      </c>
      <c r="AC25" s="47">
        <f ca="1">IF(ISNUMBER(Z25),SQRT(($Z25-OFFSET($Z$20,MATCH(CS_Start,$A$21:$A$39,0),0))^2+($AA25-OFFSET($AA$20,MATCH(CS_Start,$A$21:$A$39,0),0))^2),"")</f>
        <v>3.3463201779419127</v>
      </c>
      <c r="AD25" s="47">
        <f t="shared" ca="1" si="27"/>
        <v>2.0547884508773677</v>
      </c>
      <c r="AE25" s="47">
        <f t="shared" ca="1" si="28"/>
        <v>3.35</v>
      </c>
      <c r="AF25" s="47">
        <f t="shared" ca="1" si="29"/>
        <v>2.0499999999999998</v>
      </c>
      <c r="AH25" s="44">
        <v>3.35</v>
      </c>
      <c r="AI25" s="44">
        <f ca="1">OFFSET($AF$22,MATCH(AH25,$AE$23:$AE$47,0),0)</f>
        <v>2.0499999999999998</v>
      </c>
      <c r="AJ25" s="2" t="str">
        <f t="shared" ca="1" si="25"/>
        <v>3.35,2.05</v>
      </c>
    </row>
    <row r="26" spans="1:36" x14ac:dyDescent="0.25">
      <c r="A26" s="44">
        <v>6</v>
      </c>
      <c r="B26" s="48">
        <v>7.3710763888888886</v>
      </c>
      <c r="C26" s="48">
        <v>4.419513888888889</v>
      </c>
      <c r="D26" s="44">
        <v>22.67</v>
      </c>
      <c r="E26" s="44">
        <v>4.9062000000000001</v>
      </c>
      <c r="F26" s="49" t="s">
        <v>83</v>
      </c>
      <c r="G26" s="43">
        <f t="shared" si="15"/>
        <v>106.06833333333333</v>
      </c>
      <c r="H26" s="43">
        <f t="shared" si="16"/>
        <v>1.8512416487695187</v>
      </c>
      <c r="I26" s="43">
        <f t="shared" si="3"/>
        <v>176.90583333333333</v>
      </c>
      <c r="J26" s="39">
        <f t="shared" si="17"/>
        <v>3.0875892576510018</v>
      </c>
      <c r="K26" s="39">
        <f t="shared" si="18"/>
        <v>21.784334691875323</v>
      </c>
      <c r="L26" s="15">
        <f t="shared" si="19"/>
        <v>-6.2746842177401501</v>
      </c>
      <c r="M26" s="13"/>
      <c r="N26" s="16">
        <f t="shared" si="4"/>
        <v>176.90583333333333</v>
      </c>
      <c r="O26" s="16">
        <f t="shared" ca="1" si="20"/>
        <v>134.93376263639709</v>
      </c>
      <c r="P26" s="16">
        <f t="shared" ca="1" si="21"/>
        <v>311.83959596973045</v>
      </c>
      <c r="Q26" s="16">
        <f t="shared" ca="1" si="22"/>
        <v>5.4426276877606359</v>
      </c>
      <c r="R26" s="16">
        <f t="shared" ca="1" si="5"/>
        <v>-16.229660345674205</v>
      </c>
      <c r="S26" s="16">
        <f t="shared" ca="1" si="6"/>
        <v>14.531185878368392</v>
      </c>
      <c r="T26" s="13">
        <f t="shared" ca="1" si="7"/>
        <v>3877805.1843396542</v>
      </c>
      <c r="U26" s="13">
        <f t="shared" ca="1" si="8"/>
        <v>1535834.3411858785</v>
      </c>
      <c r="V26" s="16">
        <f t="shared" si="9"/>
        <v>3451.98761578226</v>
      </c>
      <c r="W26" s="16">
        <f t="shared" ca="1" si="10"/>
        <v>3450.0217309602385</v>
      </c>
      <c r="X26" s="47">
        <f t="shared" ca="1" si="11"/>
        <v>3877805.1843396542</v>
      </c>
      <c r="Y26" s="47">
        <f t="shared" ca="1" si="23"/>
        <v>1535834.3411858785</v>
      </c>
      <c r="Z26" s="47">
        <f t="shared" ca="1" si="12"/>
        <v>3877806.3878042279</v>
      </c>
      <c r="AA26" s="47">
        <f t="shared" ca="1" si="13"/>
        <v>1535834.4206490815</v>
      </c>
      <c r="AB26" s="47">
        <f t="shared" ca="1" si="26"/>
        <v>1.2060851465851432</v>
      </c>
      <c r="AC26" s="47">
        <f ca="1">IF(ISNUMBER(Z26),SQRT(($Z26-OFFSET($Z$20,MATCH(CS_Start,$A$21:$A$39,0),0))^2+($AA26-OFFSET($AA$20,MATCH(CS_Start,$A$21:$A$39,0),0))^2),"")</f>
        <v>4.1635809543079159</v>
      </c>
      <c r="AD26" s="47">
        <f t="shared" ca="1" si="27"/>
        <v>1.2338461783851926</v>
      </c>
      <c r="AE26" s="47">
        <f t="shared" ca="1" si="28"/>
        <v>4.16</v>
      </c>
      <c r="AF26" s="47">
        <f t="shared" ca="1" si="29"/>
        <v>1.23</v>
      </c>
      <c r="AH26" s="44">
        <v>4.16</v>
      </c>
      <c r="AI26" s="44">
        <f ca="1">OFFSET($AF$22,MATCH(AH26,$AE$23:$AE$47,0),0)</f>
        <v>1.23</v>
      </c>
      <c r="AJ26" s="2" t="str">
        <f t="shared" ca="1" si="25"/>
        <v>4.16,1.23</v>
      </c>
    </row>
    <row r="27" spans="1:36" x14ac:dyDescent="0.25">
      <c r="A27" s="44">
        <v>7</v>
      </c>
      <c r="B27" s="48">
        <v>7.4990162037037038</v>
      </c>
      <c r="C27" s="48">
        <v>4.4693750000000003</v>
      </c>
      <c r="D27" s="44">
        <v>25.298999999999999</v>
      </c>
      <c r="E27" s="44">
        <v>4.9062000000000001</v>
      </c>
      <c r="F27" s="44"/>
      <c r="G27" s="43">
        <f t="shared" si="15"/>
        <v>107.26500000000001</v>
      </c>
      <c r="H27" s="43">
        <f t="shared" si="16"/>
        <v>1.8721274221517179</v>
      </c>
      <c r="I27" s="43">
        <f t="shared" si="3"/>
        <v>179.97638888888889</v>
      </c>
      <c r="J27" s="39">
        <f t="shared" si="17"/>
        <v>3.1411805619608502</v>
      </c>
      <c r="K27" s="39">
        <f t="shared" si="18"/>
        <v>24.159084674102616</v>
      </c>
      <c r="L27" s="15">
        <f t="shared" si="19"/>
        <v>-7.5085303961254741</v>
      </c>
      <c r="M27" s="13"/>
      <c r="N27" s="16">
        <f t="shared" si="4"/>
        <v>179.97638888888889</v>
      </c>
      <c r="O27" s="16">
        <f t="shared" ca="1" si="20"/>
        <v>134.93376263639709</v>
      </c>
      <c r="P27" s="16">
        <f t="shared" ca="1" si="21"/>
        <v>314.91015152528598</v>
      </c>
      <c r="Q27" s="16">
        <f t="shared" ca="1" si="22"/>
        <v>5.4962189920704834</v>
      </c>
      <c r="R27" s="16">
        <f t="shared" ca="1" si="5"/>
        <v>-17.109820403052801</v>
      </c>
      <c r="S27" s="16">
        <f t="shared" ca="1" si="6"/>
        <v>17.056242788660636</v>
      </c>
      <c r="T27" s="13">
        <f t="shared" ca="1" si="7"/>
        <v>3877804.3041795967</v>
      </c>
      <c r="U27" s="13">
        <f t="shared" ca="1" si="8"/>
        <v>1535836.8662427887</v>
      </c>
      <c r="V27" s="16">
        <f t="shared" si="9"/>
        <v>3450.7537696038748</v>
      </c>
      <c r="W27" s="16">
        <f t="shared" ca="1" si="10"/>
        <v>3448.7878847818533</v>
      </c>
      <c r="X27" s="47">
        <f t="shared" ca="1" si="11"/>
        <v>3877804.3041795967</v>
      </c>
      <c r="Y27" s="47">
        <f t="shared" ca="1" si="23"/>
        <v>1535836.8662427887</v>
      </c>
      <c r="Z27" s="47">
        <f t="shared" ca="1" si="12"/>
        <v>3877806.2179810638</v>
      </c>
      <c r="AA27" s="47">
        <f t="shared" ca="1" si="13"/>
        <v>1535836.9926086292</v>
      </c>
      <c r="AB27" s="47">
        <f t="shared" ca="1" si="26"/>
        <v>1.9179688164557878</v>
      </c>
      <c r="AC27" s="47">
        <f ca="1">IF(ISNUMBER(Z27),SQRT(($Z27-OFFSET($Z$20,MATCH(CS_Start,$A$21:$A$39,0),0))^2+($AA27-OFFSET($AA$20,MATCH(CS_Start,$A$21:$A$39,0),0))^2),"")</f>
        <v>6.7411410063861013</v>
      </c>
      <c r="AD27" s="47">
        <f t="shared" ca="1" si="27"/>
        <v>0</v>
      </c>
      <c r="AE27" s="47">
        <f t="shared" ca="1" si="28"/>
        <v>6.74</v>
      </c>
      <c r="AF27" s="47">
        <f t="shared" ca="1" si="29"/>
        <v>0</v>
      </c>
      <c r="AH27" s="44">
        <v>6.74</v>
      </c>
      <c r="AI27" s="44">
        <f ca="1">OFFSET($AF$22,MATCH(AH27,$AE$23:$AE$47,0),0)</f>
        <v>0</v>
      </c>
      <c r="AJ27" s="2" t="str">
        <f t="shared" ca="1" si="25"/>
        <v>6.74,0</v>
      </c>
    </row>
    <row r="28" spans="1:36" x14ac:dyDescent="0.25">
      <c r="A28" s="44">
        <v>8</v>
      </c>
      <c r="B28" s="48">
        <v>8.4196296296296307</v>
      </c>
      <c r="C28" s="48">
        <v>4.1377199074074076</v>
      </c>
      <c r="D28" s="44">
        <v>43.881</v>
      </c>
      <c r="E28" s="44">
        <v>4.9062000000000001</v>
      </c>
      <c r="F28" s="49" t="s">
        <v>85</v>
      </c>
      <c r="G28" s="43">
        <f t="shared" si="15"/>
        <v>99.305277777777775</v>
      </c>
      <c r="H28" s="43">
        <f t="shared" si="16"/>
        <v>1.7332040618297799</v>
      </c>
      <c r="I28" s="43">
        <f t="shared" si="3"/>
        <v>202.07111111111112</v>
      </c>
      <c r="J28" s="39">
        <f t="shared" si="17"/>
        <v>3.5268062120521861</v>
      </c>
      <c r="K28" s="39">
        <f t="shared" si="18"/>
        <v>43.303562292235483</v>
      </c>
      <c r="L28" s="15">
        <f t="shared" si="19"/>
        <v>-7.0953261942268266</v>
      </c>
      <c r="M28" s="13"/>
      <c r="N28" s="16">
        <f t="shared" si="4"/>
        <v>202.07111111111112</v>
      </c>
      <c r="O28" s="16">
        <f t="shared" ca="1" si="20"/>
        <v>134.93376263639709</v>
      </c>
      <c r="P28" s="16">
        <f t="shared" ca="1" si="21"/>
        <v>337.00487374750821</v>
      </c>
      <c r="Q28" s="16">
        <f t="shared" ca="1" si="22"/>
        <v>5.8818446421618198</v>
      </c>
      <c r="R28" s="16">
        <f t="shared" ca="1" si="5"/>
        <v>-16.916658995106193</v>
      </c>
      <c r="S28" s="16">
        <f t="shared" ca="1" si="6"/>
        <v>39.862578386762834</v>
      </c>
      <c r="T28" s="13">
        <f t="shared" ca="1" si="7"/>
        <v>3877804.4973410047</v>
      </c>
      <c r="U28" s="13">
        <f t="shared" ca="1" si="8"/>
        <v>1535859.6725783867</v>
      </c>
      <c r="V28" s="16">
        <f t="shared" si="9"/>
        <v>3451.1669738057735</v>
      </c>
      <c r="W28" s="16">
        <f t="shared" ca="1" si="10"/>
        <v>3449.201088983752</v>
      </c>
      <c r="X28" s="47">
        <f t="shared" ca="1" si="11"/>
        <v>3877804.4973410047</v>
      </c>
      <c r="Y28" s="47">
        <f t="shared" ca="1" si="23"/>
        <v>1535859.6725783867</v>
      </c>
      <c r="Z28" s="47">
        <f t="shared" ca="1" si="12"/>
        <v>3877804.7194834831</v>
      </c>
      <c r="AA28" s="47">
        <f t="shared" ca="1" si="13"/>
        <v>1535859.6872461662</v>
      </c>
      <c r="AB28" s="47">
        <f t="shared" ca="1" si="26"/>
        <v>0.22262619901106481</v>
      </c>
      <c r="AC28" s="47">
        <f ca="1">IF(ISNUMBER(Z28),SQRT(($Z28-OFFSET($Z$20,MATCH(CS_Start,$A$21:$A$39,0),0))^2+($AA28-OFFSET($AA$20,MATCH(CS_Start,$A$21:$A$39,0),0))^2),"")</f>
        <v>29.485196667923709</v>
      </c>
      <c r="AD28" s="47">
        <f t="shared" ca="1" si="27"/>
        <v>0.41320420189867946</v>
      </c>
      <c r="AE28" s="47">
        <f t="shared" ca="1" si="28"/>
        <v>29.49</v>
      </c>
      <c r="AF28" s="47">
        <f t="shared" ca="1" si="29"/>
        <v>0.41</v>
      </c>
      <c r="AH28" s="44">
        <v>29.49</v>
      </c>
      <c r="AI28" s="44">
        <f ca="1">OFFSET($AF$22,MATCH(AH28,$AE$23:$AE$47,0),0)</f>
        <v>0.41</v>
      </c>
      <c r="AJ28" s="2" t="str">
        <f t="shared" ca="1" si="25"/>
        <v>29.49,0.41</v>
      </c>
    </row>
    <row r="29" spans="1:36" x14ac:dyDescent="0.25">
      <c r="A29" s="44">
        <v>9</v>
      </c>
      <c r="B29" s="48">
        <v>8.7807175925925929</v>
      </c>
      <c r="C29" s="48">
        <v>3.9959953703703701</v>
      </c>
      <c r="D29" s="44">
        <v>67.388000000000005</v>
      </c>
      <c r="E29" s="44">
        <v>4.9062000000000001</v>
      </c>
      <c r="F29" s="44"/>
      <c r="G29" s="43">
        <f t="shared" si="15"/>
        <v>95.903888888888886</v>
      </c>
      <c r="H29" s="43">
        <f t="shared" si="16"/>
        <v>1.6738386265779173</v>
      </c>
      <c r="I29" s="43">
        <f t="shared" si="3"/>
        <v>210.73722222222221</v>
      </c>
      <c r="J29" s="39">
        <f t="shared" si="17"/>
        <v>3.6780583842847392</v>
      </c>
      <c r="K29" s="39">
        <f t="shared" si="18"/>
        <v>67.03056312400129</v>
      </c>
      <c r="L29" s="15">
        <f t="shared" si="19"/>
        <v>-6.9315331117495154</v>
      </c>
      <c r="M29" s="13"/>
      <c r="N29" s="16">
        <f t="shared" si="4"/>
        <v>210.73722222222221</v>
      </c>
      <c r="O29" s="16">
        <f t="shared" ca="1" si="20"/>
        <v>134.93376263639709</v>
      </c>
      <c r="P29" s="16">
        <f t="shared" ca="1" si="21"/>
        <v>345.67098485861931</v>
      </c>
      <c r="Q29" s="16">
        <f t="shared" ca="1" si="22"/>
        <v>6.0330968143943728</v>
      </c>
      <c r="R29" s="16">
        <f t="shared" ca="1" si="5"/>
        <v>-16.589373961374974</v>
      </c>
      <c r="S29" s="16">
        <f t="shared" ca="1" si="6"/>
        <v>64.94527745949182</v>
      </c>
      <c r="T29" s="13">
        <f t="shared" ca="1" si="7"/>
        <v>3877804.8246260383</v>
      </c>
      <c r="U29" s="13">
        <f t="shared" ca="1" si="8"/>
        <v>1535884.7552774595</v>
      </c>
      <c r="V29" s="16">
        <f t="shared" si="9"/>
        <v>3451.3307668882508</v>
      </c>
      <c r="W29" s="16">
        <f t="shared" ca="1" si="10"/>
        <v>3449.3648820662293</v>
      </c>
      <c r="X29" s="47">
        <f t="shared" ca="1" si="11"/>
        <v>3877804.8246260383</v>
      </c>
      <c r="Y29" s="47">
        <f t="shared" ca="1" si="23"/>
        <v>1535884.7552774595</v>
      </c>
      <c r="Z29" s="47">
        <f t="shared" ca="1" si="12"/>
        <v>3877803.0719152316</v>
      </c>
      <c r="AA29" s="47">
        <f t="shared" ca="1" si="13"/>
        <v>1535884.6395482346</v>
      </c>
      <c r="AB29" s="47">
        <f t="shared" ca="1" si="26"/>
        <v>1.756527376761245</v>
      </c>
      <c r="AC29" s="47">
        <f ca="1">IF(ISNUMBER(Z29),SQRT(($Z29-OFFSET($Z$20,MATCH(CS_Start,$A$21:$A$39,0),0))^2+($AA29-OFFSET($AA$20,MATCH(CS_Start,$A$21:$A$39,0),0))^2),"")</f>
        <v>54.491832980301389</v>
      </c>
      <c r="AD29" s="47">
        <f t="shared" ca="1" si="27"/>
        <v>0.57699728437592057</v>
      </c>
      <c r="AE29" s="47">
        <f t="shared" ca="1" si="28"/>
        <v>54.49</v>
      </c>
      <c r="AF29" s="47">
        <f t="shared" ca="1" si="29"/>
        <v>0.57999999999999996</v>
      </c>
      <c r="AH29" s="44">
        <v>54.49</v>
      </c>
      <c r="AI29" s="44">
        <f ca="1">OFFSET($AF$22,MATCH(AH29,$AE$23:$AE$47,0),0)</f>
        <v>0.57999999999999996</v>
      </c>
      <c r="AJ29" s="2" t="str">
        <f t="shared" ca="1" si="25"/>
        <v>54.49,0.58</v>
      </c>
    </row>
    <row r="30" spans="1:36" x14ac:dyDescent="0.25">
      <c r="A30" s="44">
        <v>10</v>
      </c>
      <c r="B30" s="48">
        <v>8.8034953703703707</v>
      </c>
      <c r="C30" s="48">
        <v>3.9643287037037038</v>
      </c>
      <c r="D30" s="44">
        <v>70.561999999999998</v>
      </c>
      <c r="E30" s="44">
        <v>4.9062000000000001</v>
      </c>
      <c r="F30" s="49" t="s">
        <v>83</v>
      </c>
      <c r="G30" s="43">
        <f t="shared" si="15"/>
        <v>95.143888888888895</v>
      </c>
      <c r="H30" s="43">
        <f t="shared" si="16"/>
        <v>1.6605741242627605</v>
      </c>
      <c r="I30" s="43">
        <f t="shared" si="3"/>
        <v>211.2838888888889</v>
      </c>
      <c r="J30" s="39">
        <f t="shared" si="17"/>
        <v>3.6875995175289749</v>
      </c>
      <c r="K30" s="39">
        <f t="shared" si="18"/>
        <v>70.27782422259078</v>
      </c>
      <c r="L30" s="15">
        <f t="shared" si="19"/>
        <v>-6.3263944343228724</v>
      </c>
      <c r="M30" s="13"/>
      <c r="N30" s="16">
        <f t="shared" si="4"/>
        <v>211.2838888888889</v>
      </c>
      <c r="O30" s="16">
        <f t="shared" ca="1" si="20"/>
        <v>134.93376263639709</v>
      </c>
      <c r="P30" s="16">
        <f t="shared" ca="1" si="21"/>
        <v>346.21765152528599</v>
      </c>
      <c r="Q30" s="16">
        <f t="shared" ca="1" si="22"/>
        <v>6.0426379476386085</v>
      </c>
      <c r="R30" s="16">
        <f t="shared" ca="1" si="5"/>
        <v>-16.74258558164129</v>
      </c>
      <c r="S30" s="16">
        <f t="shared" ca="1" si="6"/>
        <v>68.254365468464982</v>
      </c>
      <c r="T30" s="13">
        <f t="shared" ca="1" si="7"/>
        <v>3877804.6714144181</v>
      </c>
      <c r="U30" s="13">
        <f t="shared" ca="1" si="8"/>
        <v>1535888.0643654685</v>
      </c>
      <c r="V30" s="16">
        <f t="shared" si="9"/>
        <v>3451.9359055656773</v>
      </c>
      <c r="W30" s="16">
        <f t="shared" ca="1" si="10"/>
        <v>3449.9700207436558</v>
      </c>
      <c r="X30" s="47">
        <f t="shared" ca="1" si="11"/>
        <v>3877804.6714144181</v>
      </c>
      <c r="Y30" s="47">
        <f t="shared" ca="1" si="23"/>
        <v>1535888.0643654685</v>
      </c>
      <c r="Z30" s="47">
        <f t="shared" ca="1" si="12"/>
        <v>3877802.8537038132</v>
      </c>
      <c r="AA30" s="47">
        <f t="shared" ca="1" si="13"/>
        <v>1535887.9443443939</v>
      </c>
      <c r="AB30" s="47">
        <f t="shared" ca="1" si="26"/>
        <v>1.8216687135171663</v>
      </c>
      <c r="AC30" s="47">
        <f ca="1">IF(ISNUMBER(Z30),SQRT(($Z30-OFFSET($Z$20,MATCH(CS_Start,$A$21:$A$39,0),0))^2+($AA30-OFFSET($AA$20,MATCH(CS_Start,$A$21:$A$39,0),0))^2),"")</f>
        <v>57.803825413484965</v>
      </c>
      <c r="AD30" s="47">
        <f t="shared" ca="1" si="27"/>
        <v>1.1821359618024871</v>
      </c>
      <c r="AE30" s="47">
        <f t="shared" ca="1" si="28"/>
        <v>57.8</v>
      </c>
      <c r="AF30" s="47">
        <f t="shared" ca="1" si="29"/>
        <v>1.18</v>
      </c>
      <c r="AH30" s="44">
        <v>57.8</v>
      </c>
      <c r="AI30" s="44">
        <f ca="1">OFFSET($AF$22,MATCH(AH30,$AE$23:$AE$47,0),0)</f>
        <v>1.18</v>
      </c>
      <c r="AJ30" s="2" t="str">
        <f t="shared" ca="1" si="25"/>
        <v>57.8,1.18</v>
      </c>
    </row>
    <row r="31" spans="1:36" x14ac:dyDescent="0.25">
      <c r="A31" s="44">
        <v>11</v>
      </c>
      <c r="B31" s="48">
        <v>8.809328703703704</v>
      </c>
      <c r="C31" s="48">
        <v>3.8924884259259258</v>
      </c>
      <c r="D31" s="44">
        <v>71.834000000000003</v>
      </c>
      <c r="E31" s="44">
        <v>4.9062000000000001</v>
      </c>
      <c r="F31" s="44"/>
      <c r="G31" s="43">
        <f t="shared" si="15"/>
        <v>93.419722222222219</v>
      </c>
      <c r="H31" s="43">
        <f t="shared" si="16"/>
        <v>1.6304817390762916</v>
      </c>
      <c r="I31" s="43">
        <f t="shared" si="3"/>
        <v>211.42388888888888</v>
      </c>
      <c r="J31" s="39">
        <f t="shared" si="17"/>
        <v>3.6900429784817668</v>
      </c>
      <c r="K31" s="39">
        <f t="shared" si="18"/>
        <v>71.706089109803671</v>
      </c>
      <c r="L31" s="15">
        <f t="shared" si="19"/>
        <v>-4.284896798861686</v>
      </c>
      <c r="M31" s="13"/>
      <c r="N31" s="16">
        <f t="shared" si="4"/>
        <v>211.42388888888888</v>
      </c>
      <c r="O31" s="16">
        <f t="shared" ca="1" si="20"/>
        <v>134.93376263639709</v>
      </c>
      <c r="P31" s="16">
        <f t="shared" ca="1" si="21"/>
        <v>346.35765152528597</v>
      </c>
      <c r="Q31" s="16">
        <f t="shared" ca="1" si="22"/>
        <v>6.0450814085914004</v>
      </c>
      <c r="R31" s="16">
        <f t="shared" ca="1" si="5"/>
        <v>-16.912630081705149</v>
      </c>
      <c r="S31" s="16">
        <f t="shared" ca="1" si="6"/>
        <v>69.683040685252152</v>
      </c>
      <c r="T31" s="13">
        <f t="shared" ca="1" si="7"/>
        <v>3877804.5013699182</v>
      </c>
      <c r="U31" s="13">
        <f t="shared" ca="1" si="8"/>
        <v>1535889.4930406853</v>
      </c>
      <c r="V31" s="16">
        <f t="shared" si="9"/>
        <v>3453.9774032011387</v>
      </c>
      <c r="W31" s="16">
        <f t="shared" ca="1" si="10"/>
        <v>3452.0115183791172</v>
      </c>
      <c r="X31" s="47">
        <f t="shared" ca="1" si="11"/>
        <v>3877804.5013699182</v>
      </c>
      <c r="Y31" s="47">
        <f t="shared" ca="1" si="23"/>
        <v>1535889.4930406853</v>
      </c>
      <c r="Z31" s="47">
        <f t="shared" ca="1" si="12"/>
        <v>3877802.7590415846</v>
      </c>
      <c r="AA31" s="47">
        <f t="shared" ca="1" si="13"/>
        <v>1535889.3779970035</v>
      </c>
      <c r="AB31" s="47">
        <f t="shared" ca="1" si="26"/>
        <v>1.7461222955534714</v>
      </c>
      <c r="AC31" s="47">
        <f ca="1">IF(ISNUMBER(Z31),SQRT(($Z31-OFFSET($Z$20,MATCH(CS_Start,$A$21:$A$39,0),0))^2+($AA31-OFFSET($AA$20,MATCH(CS_Start,$A$21:$A$39,0),0))^2),"")</f>
        <v>59.240599836454052</v>
      </c>
      <c r="AD31" s="47">
        <f t="shared" ca="1" si="27"/>
        <v>3.2236335972638699</v>
      </c>
      <c r="AE31" s="47">
        <f t="shared" ca="1" si="28"/>
        <v>59.24</v>
      </c>
      <c r="AF31" s="47">
        <f t="shared" ca="1" si="29"/>
        <v>3.22</v>
      </c>
      <c r="AH31" s="44">
        <v>59.24</v>
      </c>
      <c r="AI31" s="44">
        <f ca="1">OFFSET($AF$22,MATCH(AH31,$AE$23:$AE$47,0),0)</f>
        <v>3.22</v>
      </c>
      <c r="AJ31" s="2" t="str">
        <f t="shared" ca="1" si="25"/>
        <v>59.24,3.22</v>
      </c>
    </row>
    <row r="32" spans="1:36" x14ac:dyDescent="0.25">
      <c r="A32" s="44">
        <v>12</v>
      </c>
      <c r="B32" s="48">
        <v>8.8396643518518516</v>
      </c>
      <c r="C32" s="48">
        <v>3.8403703703703704</v>
      </c>
      <c r="D32" s="44">
        <v>91.39</v>
      </c>
      <c r="E32" s="44">
        <v>4.9062000000000001</v>
      </c>
      <c r="F32" s="44"/>
      <c r="G32" s="43">
        <f t="shared" si="15"/>
        <v>92.168888888888887</v>
      </c>
      <c r="H32" s="43">
        <f t="shared" si="16"/>
        <v>1.6086505790159291</v>
      </c>
      <c r="I32" s="43">
        <f t="shared" si="3"/>
        <v>212.15194444444444</v>
      </c>
      <c r="J32" s="39">
        <f t="shared" si="17"/>
        <v>3.7027499450636476</v>
      </c>
      <c r="K32" s="39">
        <f t="shared" si="18"/>
        <v>91.324529423664472</v>
      </c>
      <c r="L32" s="15">
        <f t="shared" si="19"/>
        <v>-3.4586739577824419</v>
      </c>
      <c r="M32" s="13"/>
      <c r="N32" s="16">
        <f t="shared" si="4"/>
        <v>212.15194444444444</v>
      </c>
      <c r="O32" s="16">
        <f t="shared" ca="1" si="20"/>
        <v>134.93376263639709</v>
      </c>
      <c r="P32" s="16">
        <f t="shared" ca="1" si="21"/>
        <v>347.08570708084153</v>
      </c>
      <c r="Q32" s="16">
        <f t="shared" ca="1" si="22"/>
        <v>6.0577883751732813</v>
      </c>
      <c r="R32" s="16">
        <f t="shared" ca="1" si="5"/>
        <v>-20.410417851510623</v>
      </c>
      <c r="S32" s="16">
        <f t="shared" ca="1" si="6"/>
        <v>89.014518577479791</v>
      </c>
      <c r="T32" s="13">
        <f t="shared" ca="1" si="7"/>
        <v>3877801.0035821483</v>
      </c>
      <c r="U32" s="13">
        <f t="shared" ca="1" si="8"/>
        <v>1535908.8245185774</v>
      </c>
      <c r="V32" s="16">
        <f t="shared" si="9"/>
        <v>3454.8036260422177</v>
      </c>
      <c r="W32" s="16">
        <f t="shared" ca="1" si="10"/>
        <v>3452.8377412201962</v>
      </c>
      <c r="X32" s="47">
        <f t="shared" ca="1" si="11"/>
        <v>3877801.0035821483</v>
      </c>
      <c r="Y32" s="47">
        <f t="shared" ca="1" si="23"/>
        <v>1535908.8245185774</v>
      </c>
      <c r="Z32" s="47">
        <f t="shared" ca="1" si="12"/>
        <v>3877801.4729664847</v>
      </c>
      <c r="AA32" s="47">
        <f t="shared" ca="1" si="13"/>
        <v>1535908.8555114195</v>
      </c>
      <c r="AB32" s="47">
        <f t="shared" ca="1" si="26"/>
        <v>0.47040643224294543</v>
      </c>
      <c r="AC32" s="47">
        <f ca="1">IF(ISNUMBER(Z32),SQRT(($Z32-OFFSET($Z$20,MATCH(CS_Start,$A$21:$A$39,0),0))^2+($AA32-OFFSET($AA$20,MATCH(CS_Start,$A$21:$A$39,0),0))^2),"")</f>
        <v>78.760527013242026</v>
      </c>
      <c r="AD32" s="47">
        <f t="shared" ca="1" si="27"/>
        <v>4.0498564383428857</v>
      </c>
      <c r="AE32" s="47">
        <f t="shared" ca="1" si="28"/>
        <v>78.760000000000005</v>
      </c>
      <c r="AF32" s="47">
        <f t="shared" ca="1" si="29"/>
        <v>4.05</v>
      </c>
      <c r="AH32" s="44">
        <v>78.760000000000005</v>
      </c>
      <c r="AI32" s="44">
        <f ca="1">OFFSET($AF$22,MATCH(AH32,$AE$23:$AE$47,0),0)</f>
        <v>4.05</v>
      </c>
      <c r="AJ32" s="44" t="str">
        <f t="shared" ref="AJ32:AJ33" ca="1" si="30">CONCATENATE(AH32,",",AI32)</f>
        <v>78.76,4.05</v>
      </c>
    </row>
    <row r="33" spans="1:36" x14ac:dyDescent="0.25">
      <c r="A33" s="44">
        <v>13</v>
      </c>
      <c r="B33" s="48">
        <v>2.7199074074074074E-3</v>
      </c>
      <c r="C33" s="48">
        <v>3.7033449074074074</v>
      </c>
      <c r="D33" s="44">
        <v>55.478000000000002</v>
      </c>
      <c r="E33" s="44">
        <v>4.9062000000000001</v>
      </c>
      <c r="F33" s="49" t="s">
        <v>69</v>
      </c>
      <c r="G33" s="43">
        <f t="shared" si="15"/>
        <v>88.880277777777778</v>
      </c>
      <c r="H33" s="43">
        <f t="shared" si="16"/>
        <v>1.5512534873093713</v>
      </c>
      <c r="I33" s="43">
        <f t="shared" si="3"/>
        <v>6.5277777777777782E-2</v>
      </c>
      <c r="J33" s="39">
        <f t="shared" si="17"/>
        <v>1.1393121506074095E-3</v>
      </c>
      <c r="K33" s="39">
        <f t="shared" si="18"/>
        <v>55.467406186862199</v>
      </c>
      <c r="L33" s="15">
        <f t="shared" si="19"/>
        <v>1.0841286370361687</v>
      </c>
      <c r="M33" s="13"/>
      <c r="N33" s="16">
        <f t="shared" si="4"/>
        <v>6.5277777777777782E-2</v>
      </c>
      <c r="O33" s="16">
        <f t="shared" ca="1" si="20"/>
        <v>134.93376263639709</v>
      </c>
      <c r="P33" s="16">
        <f t="shared" ca="1" si="21"/>
        <v>134.99904041417486</v>
      </c>
      <c r="Q33" s="16">
        <f t="shared" ca="1" si="22"/>
        <v>2.3561777422602406</v>
      </c>
      <c r="R33" s="16">
        <f t="shared" ca="1" si="5"/>
        <v>39.222035921051585</v>
      </c>
      <c r="S33" s="16">
        <f t="shared" ca="1" si="6"/>
        <v>-39.220722167064928</v>
      </c>
      <c r="T33" s="13">
        <f t="shared" ca="1" si="7"/>
        <v>3877860.6360359211</v>
      </c>
      <c r="U33" s="13">
        <f t="shared" ca="1" si="8"/>
        <v>1535780.589277833</v>
      </c>
      <c r="V33" s="16">
        <f t="shared" si="9"/>
        <v>3459.3464286370363</v>
      </c>
      <c r="W33" s="16">
        <f t="shared" ca="1" si="10"/>
        <v>3457.3805438150148</v>
      </c>
      <c r="X33" s="47" t="str">
        <f t="shared" si="11"/>
        <v/>
      </c>
      <c r="Y33" s="47" t="str">
        <f t="shared" si="23"/>
        <v/>
      </c>
      <c r="Z33" s="47" t="e">
        <f t="shared" si="12"/>
        <v>#N/A</v>
      </c>
      <c r="AA33" s="47" t="e">
        <f t="shared" si="13"/>
        <v>#N/A</v>
      </c>
      <c r="AB33" s="47" t="str">
        <f t="shared" si="26"/>
        <v/>
      </c>
      <c r="AC33" s="47" t="str">
        <f ca="1">IF(ISNUMBER(Z33),SQRT(($Z33-OFFSET($Z$20,MATCH(CS_Start,$A$21:$A$39,0),0))^2+($AA33-OFFSET($AA$20,MATCH(CS_Start,$A$21:$A$39,0),0))^2),"")</f>
        <v/>
      </c>
      <c r="AD33" s="47" t="str">
        <f t="shared" si="27"/>
        <v/>
      </c>
      <c r="AE33" s="47" t="e">
        <f t="shared" ca="1" si="28"/>
        <v>#VALUE!</v>
      </c>
      <c r="AF33" s="47" t="e">
        <f t="shared" si="29"/>
        <v>#VALUE!</v>
      </c>
      <c r="AH33" s="44"/>
      <c r="AI33" s="44">
        <f ca="1">OFFSET($AF$22,MATCH(AH33,$AE$23:$AE$47,0),0)</f>
        <v>7.26</v>
      </c>
      <c r="AJ33" s="44" t="str">
        <f t="shared" ca="1" si="30"/>
        <v>,7.26</v>
      </c>
    </row>
    <row r="34" spans="1:36" x14ac:dyDescent="0.25">
      <c r="A34" s="44">
        <v>14</v>
      </c>
      <c r="B34" s="48">
        <v>2.5858101851851854</v>
      </c>
      <c r="C34" s="48">
        <v>3.7421875</v>
      </c>
      <c r="D34" s="44">
        <v>65.457999999999998</v>
      </c>
      <c r="E34" s="44">
        <v>4.9062000000000001</v>
      </c>
      <c r="F34" s="49" t="s">
        <v>70</v>
      </c>
      <c r="G34" s="43">
        <f t="shared" ref="G34" si="31">C34*24</f>
        <v>89.8125</v>
      </c>
      <c r="H34" s="43">
        <f t="shared" ref="H34" si="32">RADIANS(G34)</f>
        <v>1.5675238344474072</v>
      </c>
      <c r="I34" s="43">
        <f t="shared" ref="I34" si="33">B34*24</f>
        <v>62.059444444444452</v>
      </c>
      <c r="J34" s="49">
        <f t="shared" ref="J34" si="34">RADIANS(I34)</f>
        <v>1.0831416375140588</v>
      </c>
      <c r="K34" s="49">
        <f t="shared" ref="K34" si="35">D34*SIN(H34)</f>
        <v>65.457649498704242</v>
      </c>
      <c r="L34" s="46">
        <f t="shared" ref="L34" si="36">D34*COS(H34)</f>
        <v>0.21421042174422505</v>
      </c>
      <c r="M34" s="45"/>
      <c r="N34" s="47">
        <f t="shared" ref="N34" si="37">I34+M34</f>
        <v>62.059444444444452</v>
      </c>
      <c r="O34" s="47">
        <f t="shared" ca="1" si="20"/>
        <v>134.93376263639709</v>
      </c>
      <c r="P34" s="47">
        <f t="shared" ref="P34" ca="1" si="38">SUM(N34,O34)</f>
        <v>196.99320708084156</v>
      </c>
      <c r="Q34" s="47">
        <f t="shared" ref="Q34" ca="1" si="39">RADIANS(P34)</f>
        <v>3.4381800676236924</v>
      </c>
      <c r="R34" s="47">
        <f t="shared" ref="R34" ca="1" si="40">K34*SIN(Q34)</f>
        <v>-19.130542956349935</v>
      </c>
      <c r="S34" s="47">
        <f t="shared" ref="S34" ca="1" si="41">K34*COS(Q34)</f>
        <v>-62.59973006403834</v>
      </c>
      <c r="T34" s="45">
        <f t="shared" ref="T34" ca="1" si="42">Old_X0+R34</f>
        <v>3877802.2834570436</v>
      </c>
      <c r="U34" s="45">
        <f t="shared" ref="U34" ca="1" si="43">Old_Y0+S34</f>
        <v>1535757.2102699361</v>
      </c>
      <c r="V34" s="47">
        <f t="shared" ref="V34" si="44">Old_Z0+HI+L34-E34</f>
        <v>3458.4765104217445</v>
      </c>
      <c r="W34" s="47">
        <f t="shared" ref="W34" ca="1" si="45">IF(ISNUMBER(T34),V34+dZ,"")</f>
        <v>3456.510625599723</v>
      </c>
      <c r="X34" s="47" t="str">
        <f t="shared" si="11"/>
        <v/>
      </c>
      <c r="Y34" s="47" t="str">
        <f t="shared" si="23"/>
        <v/>
      </c>
      <c r="Z34" s="47" t="e">
        <f t="shared" si="12"/>
        <v>#N/A</v>
      </c>
      <c r="AA34" s="47" t="e">
        <f t="shared" si="13"/>
        <v>#N/A</v>
      </c>
      <c r="AB34" s="47" t="str">
        <f t="shared" ref="AB34" si="46">IF(ISNUMBER(X34),SQRT((X34-Z34)^2+(Y34-AA34)^2),"")</f>
        <v/>
      </c>
      <c r="AC34" s="47" t="str">
        <f ca="1">IF(ISNUMBER(Z34),SQRT(($Z34-OFFSET($Z$20,MATCH(CS_Start,$A$21:$A$39,0),0))^2+($AA34-OFFSET($AA$20,MATCH(CS_Start,$A$21:$A$39,0),0))^2),"")</f>
        <v/>
      </c>
      <c r="AD34" s="47" t="str">
        <f t="shared" ref="AD34" si="47">IF(ISNUMBER(X34),W34-Min_Z,"")</f>
        <v/>
      </c>
      <c r="AE34" s="47" t="e">
        <f t="shared" ca="1" si="28"/>
        <v>#VALUE!</v>
      </c>
      <c r="AF34" s="47" t="e">
        <f t="shared" si="29"/>
        <v>#VALUE!</v>
      </c>
      <c r="AH34" s="44"/>
      <c r="AI34" s="44">
        <f ca="1">OFFSET($AF$22,MATCH(AH34,$AE$23:$AE$47,0),0)</f>
        <v>7.26</v>
      </c>
      <c r="AJ34" s="44" t="str">
        <f t="shared" ref="AJ34" ca="1" si="48">CONCATENATE(AH34,",",AI34)</f>
        <v>,7.26</v>
      </c>
    </row>
    <row r="35" spans="1:36" x14ac:dyDescent="0.25">
      <c r="A35" s="44"/>
      <c r="B35" s="48"/>
      <c r="C35" s="48"/>
      <c r="D35" s="44"/>
      <c r="E35" s="44"/>
      <c r="F35" s="44"/>
      <c r="G35" s="43"/>
      <c r="H35" s="43"/>
      <c r="I35" s="43"/>
      <c r="J35" s="49"/>
      <c r="K35" s="49"/>
      <c r="L35" s="46"/>
      <c r="M35" s="45"/>
      <c r="N35" s="47"/>
      <c r="O35" s="47"/>
      <c r="P35" s="47"/>
      <c r="Q35" s="47"/>
      <c r="R35" s="47"/>
      <c r="S35" s="47"/>
      <c r="T35" s="45"/>
      <c r="U35" s="45"/>
      <c r="V35" s="47"/>
      <c r="W35" s="47"/>
      <c r="X35" s="47"/>
      <c r="Y35" s="47"/>
      <c r="Z35" s="47"/>
      <c r="AA35" s="47"/>
      <c r="AB35" s="47"/>
      <c r="AC35" s="47"/>
      <c r="AD35" s="47"/>
      <c r="AE35" s="44"/>
      <c r="AF35" s="44"/>
    </row>
    <row r="36" spans="1:36" x14ac:dyDescent="0.25">
      <c r="A36" s="44"/>
      <c r="B36" s="48"/>
      <c r="C36" s="48"/>
      <c r="D36" s="44"/>
      <c r="E36" s="44"/>
      <c r="F36" s="44"/>
      <c r="G36" s="43"/>
      <c r="H36" s="43"/>
      <c r="I36" s="43"/>
      <c r="J36" s="49"/>
      <c r="K36" s="49"/>
      <c r="L36" s="46"/>
      <c r="M36" s="45"/>
      <c r="N36" s="47"/>
      <c r="O36" s="47"/>
      <c r="P36" s="47"/>
      <c r="Q36" s="47"/>
      <c r="R36" s="47"/>
      <c r="S36" s="47"/>
      <c r="T36" s="45"/>
      <c r="U36" s="45"/>
      <c r="V36" s="47"/>
      <c r="W36" s="47"/>
      <c r="X36" s="47"/>
      <c r="Y36" s="47"/>
      <c r="Z36" s="47"/>
      <c r="AA36" s="47"/>
      <c r="AB36" s="47"/>
      <c r="AC36" s="47"/>
      <c r="AD36" s="47"/>
      <c r="AE36" s="44"/>
      <c r="AF36" s="44"/>
    </row>
    <row r="37" spans="1:36" x14ac:dyDescent="0.25">
      <c r="A37" s="44"/>
      <c r="B37" s="48"/>
      <c r="C37" s="48"/>
      <c r="D37" s="44"/>
      <c r="E37" s="44"/>
      <c r="F37" s="44"/>
      <c r="G37" s="43"/>
      <c r="H37" s="43"/>
      <c r="I37" s="43"/>
      <c r="J37" s="49"/>
      <c r="K37" s="49"/>
      <c r="L37" s="46"/>
      <c r="M37" s="45"/>
      <c r="N37" s="47"/>
      <c r="O37" s="47"/>
      <c r="P37" s="47"/>
      <c r="Q37" s="47"/>
      <c r="R37" s="47"/>
      <c r="S37" s="47"/>
      <c r="T37" s="45"/>
      <c r="U37" s="45"/>
      <c r="V37" s="47"/>
      <c r="W37" s="47"/>
      <c r="X37" s="47"/>
      <c r="Y37" s="47"/>
      <c r="Z37" s="47"/>
      <c r="AA37" s="47"/>
      <c r="AB37" s="47"/>
      <c r="AC37" s="47"/>
      <c r="AD37" s="47"/>
      <c r="AE37" s="44"/>
      <c r="AF37" s="44"/>
    </row>
    <row r="38" spans="1:36" x14ac:dyDescent="0.25">
      <c r="A38" s="44"/>
      <c r="B38" s="48"/>
      <c r="C38" s="48"/>
      <c r="D38" s="44"/>
      <c r="E38" s="44"/>
      <c r="F38" s="44"/>
      <c r="G38" s="43"/>
      <c r="H38" s="43"/>
      <c r="I38" s="43"/>
      <c r="J38" s="49"/>
      <c r="K38" s="49"/>
      <c r="L38" s="46"/>
      <c r="M38" s="45"/>
      <c r="N38" s="47"/>
      <c r="O38" s="47"/>
      <c r="P38" s="47"/>
      <c r="Q38" s="47"/>
      <c r="R38" s="47"/>
      <c r="S38" s="47"/>
      <c r="T38" s="45"/>
      <c r="U38" s="45"/>
      <c r="V38" s="47"/>
      <c r="W38" s="47"/>
      <c r="X38" s="47"/>
      <c r="Y38" s="47"/>
      <c r="Z38" s="47"/>
      <c r="AA38" s="47"/>
      <c r="AB38" s="47"/>
      <c r="AC38" s="47"/>
      <c r="AD38" s="47"/>
      <c r="AE38" s="44"/>
      <c r="AF38" s="44"/>
    </row>
    <row r="39" spans="1:36" x14ac:dyDescent="0.25">
      <c r="A39" s="44"/>
      <c r="B39" s="48"/>
      <c r="C39" s="48"/>
      <c r="D39" s="44"/>
      <c r="E39" s="44"/>
      <c r="F39" s="49"/>
      <c r="G39" s="43"/>
      <c r="H39" s="43"/>
      <c r="I39" s="43"/>
      <c r="J39" s="49"/>
      <c r="K39" s="49"/>
      <c r="L39" s="46"/>
      <c r="M39" s="45"/>
      <c r="N39" s="47"/>
      <c r="O39" s="47"/>
      <c r="P39" s="47"/>
      <c r="Q39" s="47"/>
      <c r="R39" s="47"/>
      <c r="S39" s="47"/>
      <c r="T39" s="45"/>
      <c r="U39" s="45"/>
      <c r="V39" s="47"/>
      <c r="W39" s="47"/>
      <c r="X39" s="47"/>
      <c r="Y39" s="47"/>
      <c r="Z39" s="47"/>
      <c r="AA39" s="47"/>
      <c r="AB39" s="47"/>
      <c r="AC39" s="47"/>
      <c r="AD39" s="47"/>
      <c r="AE39" s="44"/>
      <c r="AF39" s="44"/>
    </row>
    <row r="40" spans="1:36" x14ac:dyDescent="0.25">
      <c r="A40" s="44"/>
      <c r="B40" s="48"/>
      <c r="C40" s="48"/>
      <c r="D40" s="44"/>
      <c r="E40" s="44"/>
      <c r="F40" s="44"/>
      <c r="G40" s="43"/>
      <c r="H40" s="43"/>
      <c r="I40" s="43"/>
      <c r="J40" s="49"/>
      <c r="K40" s="49"/>
      <c r="L40" s="46"/>
      <c r="M40" s="45"/>
      <c r="N40" s="47"/>
      <c r="O40" s="47"/>
      <c r="P40" s="47"/>
      <c r="Q40" s="47"/>
      <c r="R40" s="47"/>
      <c r="S40" s="47"/>
      <c r="T40" s="45"/>
      <c r="U40" s="45"/>
      <c r="V40" s="47"/>
      <c r="W40" s="47"/>
      <c r="X40" s="47"/>
      <c r="Y40" s="47"/>
      <c r="Z40" s="47"/>
      <c r="AA40" s="47"/>
      <c r="AB40" s="47"/>
      <c r="AC40" s="47"/>
      <c r="AD40" s="47"/>
      <c r="AE40" s="44"/>
      <c r="AF40" s="44"/>
    </row>
    <row r="41" spans="1:36" x14ac:dyDescent="0.25">
      <c r="A41" s="44"/>
      <c r="B41" s="48"/>
      <c r="C41" s="48"/>
      <c r="D41" s="44"/>
      <c r="E41" s="44"/>
      <c r="F41" s="49"/>
      <c r="G41" s="43"/>
      <c r="H41" s="43"/>
      <c r="I41" s="43"/>
      <c r="J41" s="49"/>
      <c r="K41" s="49"/>
      <c r="L41" s="46"/>
      <c r="M41" s="45"/>
      <c r="N41" s="47"/>
      <c r="O41" s="47"/>
      <c r="P41" s="47"/>
      <c r="Q41" s="47"/>
      <c r="R41" s="47"/>
      <c r="S41" s="47"/>
      <c r="T41" s="45"/>
      <c r="U41" s="45"/>
      <c r="V41" s="47"/>
      <c r="W41" s="47"/>
      <c r="X41" s="47"/>
      <c r="Y41" s="47"/>
      <c r="Z41" s="47"/>
      <c r="AA41" s="47"/>
      <c r="AB41" s="47"/>
      <c r="AC41" s="47"/>
      <c r="AD41" s="47"/>
      <c r="AE41" s="44"/>
      <c r="AF41" s="44"/>
    </row>
    <row r="42" spans="1:36" x14ac:dyDescent="0.25">
      <c r="A42" s="44"/>
      <c r="B42" s="48"/>
      <c r="C42" s="48"/>
      <c r="D42" s="44"/>
      <c r="E42" s="44"/>
      <c r="F42" s="44"/>
      <c r="G42" s="43"/>
      <c r="H42" s="43"/>
      <c r="I42" s="43"/>
      <c r="J42" s="49"/>
      <c r="K42" s="49"/>
      <c r="L42" s="46"/>
      <c r="M42" s="45"/>
      <c r="N42" s="47"/>
      <c r="O42" s="47"/>
      <c r="P42" s="47"/>
      <c r="Q42" s="47"/>
      <c r="R42" s="47"/>
      <c r="S42" s="47"/>
      <c r="T42" s="45"/>
      <c r="U42" s="45"/>
      <c r="V42" s="47"/>
      <c r="W42" s="47"/>
      <c r="X42" s="47"/>
      <c r="Y42" s="47"/>
      <c r="Z42" s="47"/>
      <c r="AA42" s="47"/>
      <c r="AB42" s="47"/>
      <c r="AC42" s="47"/>
      <c r="AD42" s="47"/>
      <c r="AE42" s="44"/>
      <c r="AF42" s="44"/>
    </row>
    <row r="43" spans="1:36" x14ac:dyDescent="0.25">
      <c r="A43" s="44"/>
      <c r="B43" s="48"/>
      <c r="C43" s="48"/>
      <c r="D43" s="44"/>
      <c r="E43" s="44"/>
      <c r="F43" s="44"/>
      <c r="G43" s="43"/>
      <c r="H43" s="43"/>
      <c r="I43" s="43"/>
      <c r="J43" s="49"/>
      <c r="K43" s="49"/>
      <c r="L43" s="46"/>
      <c r="M43" s="45"/>
      <c r="N43" s="47"/>
      <c r="O43" s="47"/>
      <c r="P43" s="47"/>
      <c r="Q43" s="47"/>
      <c r="R43" s="47"/>
      <c r="S43" s="47"/>
      <c r="T43" s="45"/>
      <c r="U43" s="45"/>
      <c r="V43" s="47"/>
      <c r="W43" s="47"/>
      <c r="X43" s="47"/>
      <c r="Y43" s="47"/>
      <c r="Z43" s="47"/>
      <c r="AA43" s="47"/>
      <c r="AB43" s="47"/>
      <c r="AC43" s="47"/>
      <c r="AD43" s="47"/>
      <c r="AE43" s="44"/>
      <c r="AF43" s="44"/>
    </row>
    <row r="44" spans="1:36" x14ac:dyDescent="0.25">
      <c r="A44" s="44"/>
      <c r="B44" s="48"/>
      <c r="C44" s="50"/>
      <c r="D44" s="44"/>
      <c r="E44" s="44"/>
      <c r="F44" s="50"/>
      <c r="G44" s="43"/>
      <c r="H44" s="43"/>
      <c r="I44" s="43"/>
      <c r="J44" s="49"/>
      <c r="K44" s="49"/>
      <c r="L44" s="46"/>
      <c r="M44" s="45"/>
      <c r="N44" s="47"/>
      <c r="O44" s="47"/>
      <c r="P44" s="47"/>
      <c r="Q44" s="47"/>
      <c r="R44" s="47"/>
      <c r="S44" s="47"/>
      <c r="T44" s="45"/>
      <c r="U44" s="45"/>
      <c r="V44" s="47"/>
      <c r="W44" s="47"/>
      <c r="X44" s="47"/>
      <c r="Y44" s="47"/>
      <c r="Z44" s="47"/>
      <c r="AA44" s="47"/>
      <c r="AB44" s="47"/>
      <c r="AC44" s="47"/>
      <c r="AD44" s="47"/>
      <c r="AE44" s="44"/>
      <c r="AF44" s="44"/>
    </row>
    <row r="45" spans="1:36" x14ac:dyDescent="0.25">
      <c r="A45" s="44"/>
      <c r="B45" s="48"/>
      <c r="C45" s="48"/>
      <c r="D45" s="44"/>
      <c r="E45" s="44"/>
      <c r="F45" s="44"/>
      <c r="G45" s="43"/>
      <c r="H45" s="43"/>
      <c r="I45" s="43"/>
      <c r="J45" s="49"/>
      <c r="K45" s="49"/>
      <c r="L45" s="46"/>
      <c r="M45" s="45"/>
      <c r="N45" s="47"/>
      <c r="O45" s="47"/>
      <c r="P45" s="47"/>
      <c r="Q45" s="47"/>
      <c r="R45" s="47"/>
      <c r="S45" s="47"/>
      <c r="T45" s="45"/>
      <c r="U45" s="45"/>
      <c r="V45" s="47"/>
      <c r="W45" s="47"/>
      <c r="X45" s="47"/>
      <c r="Y45" s="47"/>
      <c r="Z45" s="47"/>
      <c r="AA45" s="47"/>
      <c r="AB45" s="47"/>
      <c r="AC45" s="47"/>
      <c r="AD45" s="47"/>
      <c r="AE45" s="44"/>
      <c r="AF45" s="44"/>
    </row>
    <row r="46" spans="1:36" x14ac:dyDescent="0.25">
      <c r="A46" s="44"/>
      <c r="B46" s="48"/>
      <c r="C46" s="48"/>
      <c r="D46" s="44"/>
      <c r="E46" s="44"/>
      <c r="F46" s="44"/>
      <c r="G46" s="43"/>
      <c r="H46" s="43"/>
      <c r="I46" s="43"/>
      <c r="J46" s="49"/>
      <c r="K46" s="49"/>
      <c r="L46" s="46"/>
      <c r="M46" s="45"/>
      <c r="N46" s="47"/>
      <c r="O46" s="47"/>
      <c r="P46" s="47"/>
      <c r="Q46" s="47"/>
      <c r="R46" s="47"/>
      <c r="S46" s="47"/>
      <c r="T46" s="45"/>
      <c r="U46" s="45"/>
      <c r="V46" s="47"/>
      <c r="W46" s="47"/>
      <c r="X46" s="47"/>
      <c r="Y46" s="47"/>
      <c r="Z46" s="47"/>
      <c r="AA46" s="47"/>
      <c r="AB46" s="47"/>
      <c r="AC46" s="47"/>
      <c r="AD46" s="47"/>
      <c r="AE46" s="44"/>
      <c r="AF46" s="44"/>
    </row>
    <row r="47" spans="1:36" x14ac:dyDescent="0.25">
      <c r="A47" s="44"/>
      <c r="B47" s="48"/>
      <c r="C47" s="48"/>
      <c r="D47" s="44"/>
      <c r="E47" s="44"/>
      <c r="F47" s="44"/>
      <c r="G47" s="43"/>
      <c r="H47" s="43"/>
      <c r="I47" s="43"/>
      <c r="J47" s="49"/>
      <c r="K47" s="49"/>
      <c r="L47" s="46"/>
      <c r="M47" s="45"/>
      <c r="N47" s="47"/>
      <c r="O47" s="47"/>
      <c r="P47" s="47"/>
      <c r="Q47" s="47"/>
      <c r="R47" s="47"/>
      <c r="S47" s="47"/>
      <c r="T47" s="45"/>
      <c r="U47" s="45"/>
      <c r="V47" s="47"/>
      <c r="W47" s="47"/>
      <c r="X47" s="47"/>
      <c r="Y47" s="47"/>
      <c r="Z47" s="47"/>
      <c r="AA47" s="47"/>
      <c r="AB47" s="47"/>
      <c r="AC47" s="47"/>
      <c r="AD47" s="47"/>
      <c r="AE47" s="44"/>
      <c r="AF47" s="44"/>
    </row>
    <row r="48" spans="1:36" x14ac:dyDescent="0.25">
      <c r="A48" s="44"/>
      <c r="B48" s="48"/>
      <c r="C48" s="48"/>
      <c r="D48" s="44"/>
      <c r="E48" s="44"/>
      <c r="F48" s="49"/>
      <c r="G48" s="43"/>
      <c r="H48" s="43"/>
      <c r="I48" s="43"/>
      <c r="J48" s="49"/>
      <c r="K48" s="49"/>
      <c r="L48" s="46"/>
      <c r="M48" s="45"/>
      <c r="N48" s="47"/>
      <c r="O48" s="47"/>
      <c r="P48" s="47"/>
      <c r="Q48" s="47"/>
      <c r="R48" s="47"/>
      <c r="S48" s="47"/>
      <c r="T48" s="45"/>
      <c r="U48" s="45"/>
      <c r="V48" s="47"/>
      <c r="W48" s="47"/>
      <c r="X48" s="47"/>
      <c r="Y48" s="47"/>
      <c r="Z48" s="47"/>
      <c r="AA48" s="47"/>
      <c r="AB48" s="47"/>
      <c r="AC48" s="47"/>
      <c r="AD48" s="47"/>
      <c r="AE48" s="44"/>
      <c r="AF48" s="44"/>
      <c r="AH48" s="44"/>
      <c r="AI48" s="44"/>
      <c r="AJ48" s="44"/>
    </row>
    <row r="49" spans="1:36" x14ac:dyDescent="0.25">
      <c r="A49" s="44"/>
      <c r="B49" s="48"/>
      <c r="C49" s="48"/>
      <c r="D49" s="44"/>
      <c r="E49" s="44"/>
      <c r="F49" s="49"/>
      <c r="G49" s="43"/>
      <c r="H49" s="43"/>
      <c r="I49" s="43"/>
      <c r="J49" s="49"/>
      <c r="K49" s="49"/>
      <c r="L49" s="46"/>
      <c r="M49" s="45"/>
      <c r="N49" s="47"/>
      <c r="O49" s="47"/>
      <c r="P49" s="47"/>
      <c r="Q49" s="47"/>
      <c r="R49" s="47"/>
      <c r="S49" s="47"/>
      <c r="T49" s="45"/>
      <c r="U49" s="45"/>
      <c r="V49" s="47"/>
      <c r="W49" s="47"/>
      <c r="X49" s="47"/>
      <c r="Y49" s="47"/>
      <c r="Z49" s="47"/>
      <c r="AA49" s="47"/>
      <c r="AB49" s="47"/>
      <c r="AC49" s="47"/>
      <c r="AD49" s="47"/>
      <c r="AE49" s="44"/>
      <c r="AF49" s="44"/>
      <c r="AH49" s="44"/>
      <c r="AI49" s="44"/>
      <c r="AJ49" s="44"/>
    </row>
    <row r="50" spans="1:36" x14ac:dyDescent="0.25">
      <c r="A50" s="40"/>
      <c r="C50" s="2"/>
      <c r="D50" s="42"/>
      <c r="E50" s="42"/>
      <c r="F50" s="42"/>
      <c r="G50" s="42"/>
      <c r="H50" s="42"/>
      <c r="I50" s="10"/>
      <c r="J50" s="10"/>
      <c r="K50" s="10"/>
      <c r="L50" s="10"/>
      <c r="M50" s="10"/>
      <c r="V50" s="2"/>
      <c r="W50" s="13"/>
      <c r="X50" s="2"/>
      <c r="Y50" s="2"/>
      <c r="Z50" s="2"/>
      <c r="AH50" s="44"/>
      <c r="AI50" s="44"/>
      <c r="AJ50" s="44"/>
    </row>
    <row r="51" spans="1:36" x14ac:dyDescent="0.25">
      <c r="A51" s="40"/>
      <c r="C51" s="2"/>
      <c r="D51" s="42"/>
      <c r="E51" s="42"/>
      <c r="F51" s="42"/>
      <c r="G51" s="42"/>
      <c r="H51" s="42"/>
      <c r="I51" s="10"/>
      <c r="J51" s="10"/>
      <c r="K51" s="10"/>
      <c r="L51" s="10"/>
      <c r="M51" s="10"/>
      <c r="V51" s="2"/>
      <c r="W51" s="13"/>
      <c r="X51" s="2"/>
      <c r="Y51" s="2"/>
      <c r="Z51" s="2"/>
      <c r="AH51" s="44"/>
      <c r="AI51" s="44"/>
      <c r="AJ51" s="44"/>
    </row>
    <row r="52" spans="1:36" x14ac:dyDescent="0.25">
      <c r="A52" s="40"/>
      <c r="C52" s="2"/>
      <c r="D52" s="42"/>
      <c r="E52" s="42"/>
      <c r="F52" s="42"/>
      <c r="G52" s="42"/>
      <c r="H52" s="42"/>
      <c r="I52" s="10"/>
      <c r="J52" s="10"/>
      <c r="K52" s="10"/>
      <c r="L52" s="10"/>
      <c r="M52" s="10"/>
      <c r="V52" s="2"/>
      <c r="W52" s="13"/>
      <c r="X52" s="2"/>
      <c r="Y52" s="2"/>
      <c r="Z52" s="2"/>
      <c r="AH52" s="44"/>
      <c r="AI52" s="44"/>
      <c r="AJ52" s="44"/>
    </row>
    <row r="53" spans="1:36" x14ac:dyDescent="0.25">
      <c r="A53" s="40"/>
      <c r="C53" s="2"/>
      <c r="D53" s="42"/>
      <c r="E53" s="42"/>
      <c r="F53" s="42"/>
      <c r="G53" s="42"/>
      <c r="H53" s="42"/>
      <c r="I53" s="10"/>
      <c r="J53" s="10"/>
      <c r="K53" s="10"/>
      <c r="L53" s="10"/>
      <c r="M53" s="10"/>
      <c r="V53" s="2"/>
      <c r="W53" s="13"/>
      <c r="X53" s="2"/>
      <c r="Y53" s="2"/>
      <c r="Z53" s="2"/>
      <c r="AH53" s="44"/>
      <c r="AI53" s="44"/>
      <c r="AJ53" s="44"/>
    </row>
    <row r="54" spans="1:36" x14ac:dyDescent="0.25">
      <c r="A54" s="40"/>
      <c r="C54" s="2"/>
      <c r="D54" s="42"/>
      <c r="E54" s="42"/>
      <c r="F54" s="42"/>
      <c r="G54" s="42"/>
      <c r="H54" s="42"/>
      <c r="I54" s="10"/>
      <c r="J54" s="10"/>
      <c r="K54" s="10"/>
      <c r="L54" s="10"/>
      <c r="M54" s="10"/>
      <c r="V54" s="2"/>
      <c r="W54" s="13"/>
      <c r="X54" s="2"/>
      <c r="Y54" s="2"/>
      <c r="Z54" s="2"/>
      <c r="AH54" s="44"/>
      <c r="AI54" s="44"/>
      <c r="AJ54" s="44"/>
    </row>
    <row r="55" spans="1:36" x14ac:dyDescent="0.25">
      <c r="A55" s="40"/>
      <c r="C55" s="2"/>
      <c r="D55" s="42"/>
      <c r="E55" s="42"/>
      <c r="F55" s="42"/>
      <c r="G55" s="42"/>
      <c r="H55" s="42"/>
      <c r="I55" s="10"/>
      <c r="J55" s="10"/>
      <c r="K55" s="10"/>
      <c r="L55" s="10"/>
      <c r="M55" s="10"/>
      <c r="V55" s="2"/>
      <c r="W55" s="13"/>
      <c r="X55" s="2"/>
      <c r="Y55" s="2"/>
      <c r="Z55" s="2"/>
    </row>
    <row r="56" spans="1:36" x14ac:dyDescent="0.25">
      <c r="A56" s="40"/>
      <c r="C56" s="2"/>
      <c r="D56" s="42"/>
      <c r="E56" s="42"/>
      <c r="F56" s="42"/>
      <c r="G56" s="42"/>
      <c r="H56" s="42"/>
      <c r="I56" s="10"/>
      <c r="J56" s="10"/>
      <c r="K56" s="10"/>
      <c r="L56" s="10"/>
      <c r="M56" s="10"/>
      <c r="V56" s="2"/>
      <c r="W56" s="13"/>
      <c r="X56" s="2"/>
      <c r="Y56" s="2"/>
      <c r="Z56" s="2"/>
      <c r="AA56" s="2"/>
    </row>
    <row r="57" spans="1:36" x14ac:dyDescent="0.25">
      <c r="A57" s="40"/>
      <c r="C57" s="2"/>
      <c r="D57" s="42"/>
      <c r="E57" s="42"/>
      <c r="F57" s="42"/>
      <c r="G57" s="42"/>
      <c r="H57" s="42"/>
      <c r="I57" s="10"/>
      <c r="J57" s="10"/>
      <c r="K57" s="10"/>
      <c r="L57" s="10"/>
      <c r="M57" s="10"/>
      <c r="V57" s="2"/>
      <c r="W57" s="13"/>
      <c r="X57" s="2"/>
      <c r="Y57" s="2"/>
      <c r="Z57" s="2"/>
      <c r="AA57" s="2"/>
    </row>
    <row r="58" spans="1:36" x14ac:dyDescent="0.25">
      <c r="A58" s="40"/>
      <c r="C58" s="2"/>
      <c r="D58" s="42"/>
      <c r="E58" s="42"/>
      <c r="F58" s="42"/>
      <c r="G58" s="42"/>
      <c r="H58" s="42"/>
      <c r="I58" s="10"/>
      <c r="J58" s="10"/>
      <c r="K58" s="10"/>
      <c r="L58" s="10"/>
      <c r="M58" s="10"/>
      <c r="V58" s="2"/>
      <c r="W58" s="13"/>
      <c r="X58" s="2"/>
      <c r="Y58" s="2"/>
      <c r="Z58" s="2"/>
      <c r="AA58" s="2"/>
    </row>
    <row r="59" spans="1:36" x14ac:dyDescent="0.25">
      <c r="A59" s="40"/>
      <c r="C59" s="2"/>
      <c r="D59" s="42"/>
      <c r="E59" s="42"/>
      <c r="F59" s="42"/>
      <c r="G59" s="42"/>
      <c r="H59" s="42"/>
      <c r="I59" s="10"/>
      <c r="J59" s="10"/>
      <c r="K59" s="10"/>
      <c r="L59" s="10"/>
      <c r="M59" s="10"/>
      <c r="W59" s="2"/>
      <c r="X59" s="13"/>
      <c r="Y59" s="2"/>
      <c r="Z59" s="2"/>
      <c r="AA59" s="2"/>
    </row>
    <row r="60" spans="1:36" x14ac:dyDescent="0.25">
      <c r="A60" s="40"/>
      <c r="C60" s="2"/>
      <c r="D60" s="42"/>
      <c r="E60" s="42"/>
      <c r="F60" s="42"/>
      <c r="G60" s="42"/>
      <c r="H60" s="42"/>
      <c r="I60" s="10"/>
      <c r="J60" s="10"/>
      <c r="K60" s="10"/>
      <c r="L60" s="10"/>
      <c r="M60" s="10"/>
      <c r="W60" s="2"/>
      <c r="X60" s="13"/>
      <c r="Y60" s="2"/>
      <c r="Z60" s="2"/>
      <c r="AA60" s="2"/>
    </row>
    <row r="61" spans="1:36" x14ac:dyDescent="0.25">
      <c r="A61" s="40"/>
      <c r="C61" s="2"/>
      <c r="D61" s="42"/>
      <c r="E61" s="42"/>
      <c r="F61" s="42"/>
      <c r="G61" s="42"/>
      <c r="H61" s="42"/>
      <c r="I61" s="10"/>
      <c r="J61" s="10"/>
      <c r="K61" s="10"/>
      <c r="L61" s="10"/>
      <c r="M61" s="10"/>
      <c r="W61" s="2"/>
      <c r="X61" s="13"/>
      <c r="Y61" s="2"/>
      <c r="Z61" s="2"/>
      <c r="AA61" s="2"/>
    </row>
    <row r="62" spans="1:36" x14ac:dyDescent="0.25">
      <c r="A62" s="40"/>
      <c r="C62" s="2"/>
      <c r="D62" s="42"/>
      <c r="E62" s="42"/>
      <c r="F62" s="42"/>
      <c r="G62" s="42"/>
      <c r="H62" s="42"/>
      <c r="I62" s="10"/>
      <c r="J62" s="10"/>
      <c r="K62" s="10"/>
      <c r="L62" s="10"/>
      <c r="M62" s="10"/>
      <c r="X62" s="13"/>
      <c r="Y62" s="2"/>
      <c r="Z62" s="2"/>
      <c r="AA62" s="2"/>
    </row>
    <row r="63" spans="1:36" x14ac:dyDescent="0.25">
      <c r="A63" s="17"/>
      <c r="C63" s="2"/>
      <c r="D63" s="42"/>
      <c r="E63" s="42"/>
      <c r="F63" s="42"/>
      <c r="G63" s="42"/>
      <c r="H63" s="42"/>
      <c r="I63" s="10"/>
      <c r="J63" s="10"/>
      <c r="K63" s="10"/>
      <c r="L63" s="10"/>
      <c r="M63" s="10"/>
      <c r="X63" s="13"/>
      <c r="Y63" s="2"/>
      <c r="Z63" s="2"/>
      <c r="AA63" s="2"/>
    </row>
    <row r="64" spans="1:36" x14ac:dyDescent="0.25">
      <c r="A64" s="17"/>
      <c r="C64" s="2"/>
      <c r="D64" s="42"/>
      <c r="E64" s="42"/>
      <c r="F64" s="42"/>
      <c r="G64" s="42"/>
      <c r="H64" s="42"/>
      <c r="I64" s="10"/>
      <c r="J64" s="10"/>
      <c r="K64" s="10"/>
      <c r="L64" s="10"/>
      <c r="M64" s="10"/>
      <c r="X64" s="13"/>
      <c r="Y64" s="2"/>
      <c r="Z64" s="2"/>
      <c r="AA64" s="2"/>
    </row>
    <row r="65" spans="1:27" x14ac:dyDescent="0.25">
      <c r="A65" s="17"/>
      <c r="C65" s="2"/>
      <c r="D65" s="42"/>
      <c r="E65" s="42"/>
      <c r="F65" s="42"/>
      <c r="G65" s="42"/>
      <c r="H65" s="42"/>
      <c r="I65" s="10"/>
      <c r="J65" s="10"/>
      <c r="K65" s="10"/>
      <c r="L65" s="10"/>
      <c r="M65" s="10"/>
      <c r="X65" s="13"/>
      <c r="Y65" s="2"/>
      <c r="Z65" s="2"/>
      <c r="AA65" s="2"/>
    </row>
    <row r="66" spans="1:27" x14ac:dyDescent="0.25">
      <c r="A66" s="17"/>
      <c r="C66" s="2"/>
      <c r="D66" s="42"/>
      <c r="E66" s="42"/>
      <c r="F66" s="42"/>
      <c r="G66" s="42"/>
      <c r="H66" s="42"/>
      <c r="I66" s="10"/>
      <c r="J66" s="10"/>
      <c r="K66" s="10"/>
      <c r="L66" s="10"/>
      <c r="M66" s="10"/>
      <c r="X66" s="13"/>
      <c r="Y66" s="2"/>
      <c r="Z66" s="2"/>
      <c r="AA66" s="2"/>
    </row>
    <row r="67" spans="1:27" x14ac:dyDescent="0.25">
      <c r="A67" s="17"/>
      <c r="C67" s="2"/>
      <c r="D67" s="42"/>
      <c r="E67" s="42"/>
      <c r="F67" s="42"/>
      <c r="G67" s="42"/>
      <c r="H67" s="42"/>
      <c r="I67" s="10"/>
      <c r="J67" s="10"/>
      <c r="K67" s="10"/>
      <c r="L67" s="10"/>
      <c r="M67" s="10"/>
      <c r="X67" s="13"/>
      <c r="Y67" s="2"/>
      <c r="Z67" s="2"/>
      <c r="AA67" s="2"/>
    </row>
    <row r="68" spans="1:27" x14ac:dyDescent="0.25">
      <c r="A68" s="17"/>
      <c r="C68" s="2"/>
      <c r="D68" s="42"/>
      <c r="E68" s="42"/>
      <c r="F68" s="42"/>
      <c r="G68" s="42"/>
      <c r="H68" s="42"/>
      <c r="I68" s="10"/>
      <c r="J68" s="10"/>
      <c r="K68" s="10"/>
      <c r="L68" s="10"/>
      <c r="M68" s="10"/>
      <c r="X68" s="13"/>
      <c r="Y68" s="2"/>
      <c r="Z68" s="2"/>
      <c r="AA68" s="2"/>
    </row>
    <row r="69" spans="1:27" x14ac:dyDescent="0.25">
      <c r="A69" s="17"/>
      <c r="C69" s="2"/>
      <c r="D69" s="42"/>
      <c r="E69" s="42"/>
      <c r="F69" s="42"/>
      <c r="G69" s="42"/>
      <c r="H69" s="42"/>
      <c r="I69" s="10"/>
      <c r="J69" s="10"/>
      <c r="K69" s="10"/>
      <c r="L69" s="10"/>
      <c r="M69" s="10"/>
      <c r="X69" s="13"/>
      <c r="Y69" s="2"/>
      <c r="Z69" s="2"/>
      <c r="AA69" s="2"/>
    </row>
    <row r="70" spans="1:27" x14ac:dyDescent="0.25">
      <c r="A70" s="17"/>
      <c r="C70" s="2"/>
      <c r="D70" s="42"/>
      <c r="E70" s="42"/>
      <c r="F70" s="42"/>
      <c r="G70" s="42"/>
      <c r="H70" s="42"/>
      <c r="I70" s="10"/>
      <c r="J70" s="10"/>
      <c r="K70" s="10"/>
      <c r="L70" s="10"/>
      <c r="M70" s="10"/>
      <c r="X70" s="13"/>
      <c r="Y70" s="2"/>
      <c r="Z70" s="2"/>
      <c r="AA70" s="2"/>
    </row>
    <row r="71" spans="1:27" x14ac:dyDescent="0.25">
      <c r="A71" s="17"/>
      <c r="C71" s="2"/>
      <c r="D71" s="42"/>
      <c r="E71" s="42"/>
      <c r="F71" s="42"/>
      <c r="G71" s="42"/>
      <c r="H71" s="42"/>
      <c r="I71" s="10"/>
      <c r="J71" s="10"/>
      <c r="K71" s="10"/>
      <c r="L71" s="10"/>
      <c r="M71" s="10"/>
      <c r="X71" s="13"/>
      <c r="Y71" s="2"/>
      <c r="Z71" s="2"/>
      <c r="AA71" s="2"/>
    </row>
    <row r="72" spans="1:27" x14ac:dyDescent="0.25">
      <c r="A72" s="17"/>
      <c r="C72" s="2"/>
      <c r="D72" s="42"/>
      <c r="E72" s="42"/>
      <c r="F72" s="42"/>
      <c r="G72" s="42"/>
      <c r="H72" s="42"/>
      <c r="I72" s="10"/>
      <c r="J72" s="10"/>
      <c r="K72" s="10"/>
      <c r="L72" s="10"/>
      <c r="M72" s="10"/>
      <c r="X72" s="13"/>
      <c r="Y72" s="2"/>
      <c r="Z72" s="2"/>
      <c r="AA72" s="2"/>
    </row>
    <row r="73" spans="1:27" x14ac:dyDescent="0.25">
      <c r="A73" s="17"/>
      <c r="C73" s="2"/>
      <c r="D73" s="42"/>
      <c r="E73" s="42"/>
      <c r="F73" s="42"/>
      <c r="G73" s="42"/>
      <c r="H73" s="42"/>
      <c r="I73" s="10"/>
      <c r="J73" s="10"/>
      <c r="K73" s="10"/>
      <c r="L73" s="10"/>
      <c r="M73" s="10"/>
      <c r="X73" s="13"/>
      <c r="Y73" s="2"/>
      <c r="Z73" s="2"/>
      <c r="AA73" s="2"/>
    </row>
  </sheetData>
  <sortState ref="AH23:AH32">
    <sortCondition ref="AH23"/>
  </sortState>
  <mergeCells count="20">
    <mergeCell ref="A1:B1"/>
    <mergeCell ref="A6:B6"/>
    <mergeCell ref="A7:B7"/>
    <mergeCell ref="A4:B4"/>
    <mergeCell ref="A3:B3"/>
    <mergeCell ref="A2:B2"/>
    <mergeCell ref="AA1:AC1"/>
    <mergeCell ref="T19:U19"/>
    <mergeCell ref="X19:Y19"/>
    <mergeCell ref="Z19:AA19"/>
    <mergeCell ref="M1:Q1"/>
    <mergeCell ref="Q8:R8"/>
    <mergeCell ref="O8:P8"/>
    <mergeCell ref="M10:N10"/>
    <mergeCell ref="M11:N11"/>
    <mergeCell ref="M12:N12"/>
    <mergeCell ref="M14:N14"/>
    <mergeCell ref="M15:N15"/>
    <mergeCell ref="M17:N17"/>
    <mergeCell ref="W1:Y1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"/>
  <sheetViews>
    <sheetView zoomScale="90" zoomScaleNormal="90" workbookViewId="0">
      <selection sqref="A1:H35"/>
    </sheetView>
  </sheetViews>
  <sheetFormatPr defaultRowHeight="15" x14ac:dyDescent="0.25"/>
  <cols>
    <col min="2" max="3" width="12.7109375" style="33" bestFit="1" customWidth="1"/>
    <col min="4" max="4" width="11.5703125" style="33" customWidth="1"/>
    <col min="5" max="5" width="47.42578125" bestFit="1" customWidth="1"/>
    <col min="6" max="6" width="8.85546875" style="34"/>
  </cols>
  <sheetData>
    <row r="1" spans="1:8" x14ac:dyDescent="0.25">
      <c r="A1" t="s">
        <v>57</v>
      </c>
      <c r="B1" s="33" t="s">
        <v>7</v>
      </c>
      <c r="C1" s="33" t="s">
        <v>6</v>
      </c>
      <c r="D1" s="33" t="s">
        <v>58</v>
      </c>
      <c r="E1" t="s">
        <v>63</v>
      </c>
      <c r="F1" s="34" t="s">
        <v>59</v>
      </c>
      <c r="G1" s="33" t="s">
        <v>61</v>
      </c>
      <c r="H1" s="33" t="s">
        <v>62</v>
      </c>
    </row>
    <row r="2" spans="1:8" s="10" customFormat="1" x14ac:dyDescent="0.25">
      <c r="A2" s="10" t="str">
        <f>IF(ISNUMBER(Calculations!M4),CONCATENATE("GPS",Calculations!M4),"")</f>
        <v>GPS0</v>
      </c>
      <c r="B2" s="33">
        <f>IF(ISNUMBER(Calculations!N4),CONVERT(Calculations!N4,Units_In,Units_Out),"")</f>
        <v>3877821.4139999999</v>
      </c>
      <c r="C2" s="33">
        <f>IF(ISNUMBER(Calculations!O4),CONVERT(Calculations!O4,Units_In,Units_Out),"")</f>
        <v>1535819.81</v>
      </c>
      <c r="D2" s="33" t="s">
        <v>60</v>
      </c>
      <c r="E2" s="10" t="str">
        <f>CONCATENATE("0503 ",B2,"EUSft ",C2,"NUSft")</f>
        <v>0503 3877821.414EUSft 1535819.81NUSft</v>
      </c>
      <c r="F2" s="34">
        <v>98</v>
      </c>
      <c r="G2" s="10" t="str">
        <f>IF(F2=98,"Lime",IF(F2=94,"Yellow",""))</f>
        <v>Lime</v>
      </c>
      <c r="H2" s="10" t="str">
        <f>Calculations!$A$1</f>
        <v>DSS6</v>
      </c>
    </row>
    <row r="3" spans="1:8" s="10" customFormat="1" x14ac:dyDescent="0.25">
      <c r="A3" s="10" t="str">
        <f>IF(ISNUMBER(Calculations!M5),CONCATENATE("GPS",Calculations!M5),"")</f>
        <v>GPS1</v>
      </c>
      <c r="B3" s="33">
        <f>IF(ISNUMBER(Calculations!N5),CONVERT(Calculations!N5,Units_In,Units_Out),"")</f>
        <v>3877836.1549999998</v>
      </c>
      <c r="C3" s="33">
        <f>IF(ISNUMBER(Calculations!O5),CONVERT(Calculations!O5,Units_In,Units_Out),"")</f>
        <v>1535760.7339999999</v>
      </c>
      <c r="D3" s="33" t="s">
        <v>60</v>
      </c>
      <c r="E3" s="10" t="str">
        <f t="shared" ref="E3:E4" si="0">CONCATENATE("0503 ",B3,"EUSft ",C3,"NUSft")</f>
        <v>0503 3877836.155EUSft 1535760.734NUSft</v>
      </c>
      <c r="F3" s="34">
        <v>98</v>
      </c>
      <c r="G3" s="10" t="str">
        <f t="shared" ref="G3:G65" si="1">IF(F3=98,"Lime",IF(F3=94,"Yellow",""))</f>
        <v>Lime</v>
      </c>
      <c r="H3" s="10" t="str">
        <f>Calculations!$A$1</f>
        <v>DSS6</v>
      </c>
    </row>
    <row r="4" spans="1:8" s="10" customFormat="1" x14ac:dyDescent="0.25">
      <c r="A4" s="10" t="str">
        <f>IF(ISNUMBER(Calculations!M6),CONCATENATE("GPS",Calculations!M6),"")</f>
        <v>GPS2</v>
      </c>
      <c r="B4" s="33">
        <f>IF(ISNUMBER(Calculations!N6),CONVERT(Calculations!N6,Units_In,Units_Out),"")</f>
        <v>3877773.3560000001</v>
      </c>
      <c r="C4" s="33">
        <f>IF(ISNUMBER(Calculations!O6),CONVERT(Calculations!O6,Units_In,Units_Out),"")</f>
        <v>1535783.0430000001</v>
      </c>
      <c r="D4" s="33" t="s">
        <v>60</v>
      </c>
      <c r="E4" s="10" t="str">
        <f t="shared" si="0"/>
        <v>0503 3877773.356EUSft 1535783.043NUSft</v>
      </c>
      <c r="F4" s="34">
        <v>98</v>
      </c>
      <c r="G4" s="10" t="str">
        <f t="shared" si="1"/>
        <v>Lime</v>
      </c>
      <c r="H4" s="10" t="str">
        <f>Calculations!$A$1</f>
        <v>DSS6</v>
      </c>
    </row>
    <row r="5" spans="1:8" x14ac:dyDescent="0.25">
      <c r="A5">
        <f>IF(ISNUMBER(Calculations!A21),Calculations!A21,"")</f>
        <v>1</v>
      </c>
      <c r="B5" s="33">
        <f ca="1">IF(ISNUMBER(A5),CONVERT(Calculations!T21,Units_In,Units_Out),"")</f>
        <v>3877860.6900565238</v>
      </c>
      <c r="C5" s="33">
        <f ca="1">IF(ISNUMBER(A5),CONVERT(Calculations!U21,Units_In,Units_Out),"")</f>
        <v>1535780.6250295683</v>
      </c>
      <c r="D5" s="33" t="str">
        <f>IF(ISTEXT(Calculations!F21),Calculations!F21,"")</f>
        <v>BS/ZERO</v>
      </c>
      <c r="E5" t="str">
        <f ca="1">IF(ISNUMBER(A5),CONCATENATE("0503 ",B5,"EUSft ",C5,"NUSft"),"")</f>
        <v>0503 3877860.69005652EUSft 1535780.62502957NUSft</v>
      </c>
      <c r="F5" s="34">
        <f>IF(ISNUMBER(A5),94,"")</f>
        <v>94</v>
      </c>
      <c r="G5" s="10" t="str">
        <f t="shared" si="1"/>
        <v>Yellow</v>
      </c>
      <c r="H5" s="10" t="str">
        <f>IF(ISNUMBER(A5),Calculations!$A$1,"")</f>
        <v>DSS6</v>
      </c>
    </row>
    <row r="6" spans="1:8" x14ac:dyDescent="0.25">
      <c r="A6" s="10">
        <f>IF(ISNUMBER(Calculations!A22),Calculations!A22,"")</f>
        <v>2</v>
      </c>
      <c r="B6" s="33">
        <f ca="1">IF(ISNUMBER(A6),CONVERT(Calculations!T22,Units_In,Units_Out),"")</f>
        <v>3877802.2184405993</v>
      </c>
      <c r="C6" s="33">
        <f ca="1">IF(ISNUMBER(A6),CONVERT(Calculations!U22,Units_In,Units_Out),"")</f>
        <v>1535757.1475481538</v>
      </c>
      <c r="D6" s="33" t="str">
        <f>IF(ISTEXT(Calculations!F22),Calculations!F22,"")</f>
        <v/>
      </c>
      <c r="E6" s="10" t="str">
        <f t="shared" ref="E6:E65" ca="1" si="2">IF(ISNUMBER(A6),CONCATENATE("0503 ",B6,"EUSft ",C6,"NUSft"),"")</f>
        <v>0503 3877802.2184406EUSft 1535757.14754815NUSft</v>
      </c>
      <c r="F6" s="34">
        <f t="shared" ref="F6:F65" si="3">IF(ISNUMBER(A6),94,"")</f>
        <v>94</v>
      </c>
      <c r="G6" s="10" t="str">
        <f t="shared" si="1"/>
        <v>Yellow</v>
      </c>
      <c r="H6" s="10" t="str">
        <f>IF(ISNUMBER(A6),Calculations!$A$1,"")</f>
        <v>DSS6</v>
      </c>
    </row>
    <row r="7" spans="1:8" x14ac:dyDescent="0.25">
      <c r="A7" s="10">
        <f>IF(ISNUMBER(Calculations!A23),Calculations!A23,"")</f>
        <v>3</v>
      </c>
      <c r="B7" s="33">
        <f ca="1">IF(ISNUMBER(A7),CONVERT(Calculations!T23,Units_In,Units_Out),"")</f>
        <v>3877806.0884356974</v>
      </c>
      <c r="C7" s="33">
        <f ca="1">IF(ISNUMBER(A7),CONVERT(Calculations!U23,Units_In,Units_Out),"")</f>
        <v>1535830.2282349109</v>
      </c>
      <c r="D7" s="33" t="str">
        <f>IF(ISTEXT(Calculations!F23),Calculations!F23,"")</f>
        <v/>
      </c>
      <c r="E7" s="10" t="str">
        <f t="shared" ca="1" si="2"/>
        <v>0503 3877806.0884357EUSft 1535830.22823491NUSft</v>
      </c>
      <c r="F7" s="34">
        <f t="shared" si="3"/>
        <v>94</v>
      </c>
      <c r="G7" s="10" t="str">
        <f t="shared" si="1"/>
        <v>Yellow</v>
      </c>
      <c r="H7" s="10" t="str">
        <f>IF(ISNUMBER(A7),Calculations!$A$1,"")</f>
        <v>DSS6</v>
      </c>
    </row>
    <row r="8" spans="1:8" x14ac:dyDescent="0.25">
      <c r="A8" s="10">
        <f>IF(ISNUMBER(Calculations!A24),Calculations!A24,"")</f>
        <v>4</v>
      </c>
      <c r="B8" s="33">
        <f ca="1">IF(ISNUMBER(A8),CONVERT(Calculations!T24,Units_In,Units_Out),"")</f>
        <v>3877806.5120994211</v>
      </c>
      <c r="C8" s="33">
        <f ca="1">IF(ISNUMBER(A8),CONVERT(Calculations!U24,Units_In,Units_Out),"")</f>
        <v>1535830.6548170208</v>
      </c>
      <c r="D8" s="33" t="str">
        <f>IF(ISTEXT(Calculations!F24),Calculations!F24,"")</f>
        <v/>
      </c>
      <c r="E8" s="10" t="str">
        <f t="shared" ca="1" si="2"/>
        <v>0503 3877806.51209942EUSft 1535830.65481702NUSft</v>
      </c>
      <c r="F8" s="34">
        <f t="shared" si="3"/>
        <v>94</v>
      </c>
      <c r="G8" s="10" t="str">
        <f t="shared" si="1"/>
        <v>Yellow</v>
      </c>
      <c r="H8" s="10" t="str">
        <f>IF(ISNUMBER(A8),Calculations!$A$1,"")</f>
        <v>DSS6</v>
      </c>
    </row>
    <row r="9" spans="1:8" x14ac:dyDescent="0.25">
      <c r="A9" s="10">
        <f>IF(ISNUMBER(Calculations!A25),Calculations!A25,"")</f>
        <v>5</v>
      </c>
      <c r="B9" s="33">
        <f ca="1">IF(ISNUMBER(A9),CONVERT(Calculations!T25,Units_In,Units_Out),"")</f>
        <v>3877805.6351978309</v>
      </c>
      <c r="C9" s="33">
        <f ca="1">IF(ISNUMBER(A9),CONVERT(Calculations!U25,Units_In,Units_Out),"")</f>
        <v>1535833.5519150738</v>
      </c>
      <c r="D9" s="33" t="str">
        <f>IF(ISTEXT(Calculations!F25),Calculations!F25,"")</f>
        <v/>
      </c>
      <c r="E9" s="10" t="str">
        <f t="shared" ca="1" si="2"/>
        <v>0503 3877805.63519783EUSft 1535833.55191507NUSft</v>
      </c>
      <c r="F9" s="34">
        <f t="shared" si="3"/>
        <v>94</v>
      </c>
      <c r="G9" s="10" t="str">
        <f t="shared" si="1"/>
        <v>Yellow</v>
      </c>
      <c r="H9" s="10" t="str">
        <f>IF(ISNUMBER(A9),Calculations!$A$1,"")</f>
        <v>DSS6</v>
      </c>
    </row>
    <row r="10" spans="1:8" x14ac:dyDescent="0.25">
      <c r="A10" s="10">
        <f>IF(ISNUMBER(Calculations!A26),Calculations!A26,"")</f>
        <v>6</v>
      </c>
      <c r="B10" s="33">
        <f ca="1">IF(ISNUMBER(A10),CONVERT(Calculations!T26,Units_In,Units_Out),"")</f>
        <v>3877805.1843396542</v>
      </c>
      <c r="C10" s="33">
        <f ca="1">IF(ISNUMBER(A10),CONVERT(Calculations!U26,Units_In,Units_Out),"")</f>
        <v>1535834.3411858785</v>
      </c>
      <c r="D10" s="33" t="str">
        <f>IF(ISTEXT(Calculations!F26),Calculations!F26,"")</f>
        <v>WS</v>
      </c>
      <c r="E10" s="10" t="str">
        <f t="shared" ca="1" si="2"/>
        <v>0503 3877805.18433965EUSft 1535834.34118588NUSft</v>
      </c>
      <c r="F10" s="34">
        <f t="shared" si="3"/>
        <v>94</v>
      </c>
      <c r="G10" s="10" t="str">
        <f t="shared" si="1"/>
        <v>Yellow</v>
      </c>
      <c r="H10" s="10" t="str">
        <f>IF(ISNUMBER(A10),Calculations!$A$1,"")</f>
        <v>DSS6</v>
      </c>
    </row>
    <row r="11" spans="1:8" x14ac:dyDescent="0.25">
      <c r="A11" s="10">
        <f>IF(ISNUMBER(Calculations!A27),Calculations!A27,"")</f>
        <v>7</v>
      </c>
      <c r="B11" s="33">
        <f ca="1">IF(ISNUMBER(A11),CONVERT(Calculations!T27,Units_In,Units_Out),"")</f>
        <v>3877804.3041795962</v>
      </c>
      <c r="C11" s="33">
        <f ca="1">IF(ISNUMBER(A11),CONVERT(Calculations!U27,Units_In,Units_Out),"")</f>
        <v>1535836.8662427887</v>
      </c>
      <c r="D11" s="33" t="str">
        <f>IF(ISTEXT(Calculations!F27),Calculations!F27,"")</f>
        <v/>
      </c>
      <c r="E11" s="10" t="str">
        <f t="shared" ca="1" si="2"/>
        <v>0503 3877804.3041796EUSft 1535836.86624279NUSft</v>
      </c>
      <c r="F11" s="34">
        <f t="shared" si="3"/>
        <v>94</v>
      </c>
      <c r="G11" s="10" t="str">
        <f t="shared" si="1"/>
        <v>Yellow</v>
      </c>
      <c r="H11" s="10" t="str">
        <f>IF(ISNUMBER(A11),Calculations!$A$1,"")</f>
        <v>DSS6</v>
      </c>
    </row>
    <row r="12" spans="1:8" x14ac:dyDescent="0.25">
      <c r="A12" s="10">
        <f>IF(ISNUMBER(Calculations!A28),Calculations!A28,"")</f>
        <v>8</v>
      </c>
      <c r="B12" s="33">
        <f ca="1">IF(ISNUMBER(A12),CONVERT(Calculations!T28,Units_In,Units_Out),"")</f>
        <v>3877804.4973410047</v>
      </c>
      <c r="C12" s="33">
        <f ca="1">IF(ISNUMBER(A12),CONVERT(Calculations!U28,Units_In,Units_Out),"")</f>
        <v>1535859.6725783867</v>
      </c>
      <c r="D12" s="33" t="str">
        <f>IF(ISTEXT(Calculations!F28),Calculations!F28,"")</f>
        <v>MID CHAN</v>
      </c>
      <c r="E12" s="10" t="str">
        <f t="shared" ca="1" si="2"/>
        <v>0503 3877804.497341EUSft 1535859.67257839NUSft</v>
      </c>
      <c r="F12" s="34">
        <f t="shared" si="3"/>
        <v>94</v>
      </c>
      <c r="G12" s="10" t="str">
        <f t="shared" si="1"/>
        <v>Yellow</v>
      </c>
      <c r="H12" s="10" t="str">
        <f>IF(ISNUMBER(A12),Calculations!$A$1,"")</f>
        <v>DSS6</v>
      </c>
    </row>
    <row r="13" spans="1:8" x14ac:dyDescent="0.25">
      <c r="A13" s="10">
        <f>IF(ISNUMBER(Calculations!A29),Calculations!A29,"")</f>
        <v>9</v>
      </c>
      <c r="B13" s="33">
        <f ca="1">IF(ISNUMBER(A13),CONVERT(Calculations!T29,Units_In,Units_Out),"")</f>
        <v>3877804.8246260379</v>
      </c>
      <c r="C13" s="33">
        <f ca="1">IF(ISNUMBER(A13),CONVERT(Calculations!U29,Units_In,Units_Out),"")</f>
        <v>1535884.7552774597</v>
      </c>
      <c r="D13" s="33" t="str">
        <f>IF(ISTEXT(Calculations!F29),Calculations!F29,"")</f>
        <v/>
      </c>
      <c r="E13" s="10" t="str">
        <f t="shared" ca="1" si="2"/>
        <v>0503 3877804.82462604EUSft 1535884.75527746NUSft</v>
      </c>
      <c r="F13" s="34">
        <f t="shared" si="3"/>
        <v>94</v>
      </c>
      <c r="G13" s="10" t="str">
        <f t="shared" si="1"/>
        <v>Yellow</v>
      </c>
      <c r="H13" s="10" t="str">
        <f>IF(ISNUMBER(A13),Calculations!$A$1,"")</f>
        <v>DSS6</v>
      </c>
    </row>
    <row r="14" spans="1:8" x14ac:dyDescent="0.25">
      <c r="A14" s="10">
        <f>IF(ISNUMBER(Calculations!A30),Calculations!A30,"")</f>
        <v>10</v>
      </c>
      <c r="B14" s="33">
        <f ca="1">IF(ISNUMBER(A14),CONVERT(Calculations!T30,Units_In,Units_Out),"")</f>
        <v>3877804.6714144181</v>
      </c>
      <c r="C14" s="33">
        <f ca="1">IF(ISNUMBER(A14),CONVERT(Calculations!U30,Units_In,Units_Out),"")</f>
        <v>1535888.0643654685</v>
      </c>
      <c r="D14" s="33" t="str">
        <f>IF(ISTEXT(Calculations!F30),Calculations!F30,"")</f>
        <v>WS</v>
      </c>
      <c r="E14" s="10" t="str">
        <f t="shared" ca="1" si="2"/>
        <v>0503 3877804.67141442EUSft 1535888.06436547NUSft</v>
      </c>
      <c r="F14" s="34">
        <f t="shared" si="3"/>
        <v>94</v>
      </c>
      <c r="G14" s="10" t="str">
        <f t="shared" si="1"/>
        <v>Yellow</v>
      </c>
      <c r="H14" s="10" t="str">
        <f>IF(ISNUMBER(A14),Calculations!$A$1,"")</f>
        <v>DSS6</v>
      </c>
    </row>
    <row r="15" spans="1:8" x14ac:dyDescent="0.25">
      <c r="A15" s="10">
        <f>IF(ISNUMBER(Calculations!A31),Calculations!A31,"")</f>
        <v>11</v>
      </c>
      <c r="B15" s="33">
        <f ca="1">IF(ISNUMBER(A15),CONVERT(Calculations!T31,Units_In,Units_Out),"")</f>
        <v>3877804.5013699178</v>
      </c>
      <c r="C15" s="33">
        <f ca="1">IF(ISNUMBER(A15),CONVERT(Calculations!U31,Units_In,Units_Out),"")</f>
        <v>1535889.4930406853</v>
      </c>
      <c r="D15" s="33" t="str">
        <f>IF(ISTEXT(Calculations!F31),Calculations!F31,"")</f>
        <v/>
      </c>
      <c r="E15" s="10" t="str">
        <f t="shared" ca="1" si="2"/>
        <v>0503 3877804.50136992EUSft 1535889.49304069NUSft</v>
      </c>
      <c r="F15" s="34">
        <f t="shared" si="3"/>
        <v>94</v>
      </c>
      <c r="G15" s="10" t="str">
        <f t="shared" si="1"/>
        <v>Yellow</v>
      </c>
      <c r="H15" s="10" t="str">
        <f>IF(ISNUMBER(A15),Calculations!$A$1,"")</f>
        <v>DSS6</v>
      </c>
    </row>
    <row r="16" spans="1:8" x14ac:dyDescent="0.25">
      <c r="A16" s="10">
        <f>IF(ISNUMBER(Calculations!A32),Calculations!A32,"")</f>
        <v>12</v>
      </c>
      <c r="B16" s="33">
        <f ca="1">IF(ISNUMBER(A16),CONVERT(Calculations!T32,Units_In,Units_Out),"")</f>
        <v>3877801.0035821483</v>
      </c>
      <c r="C16" s="33">
        <f ca="1">IF(ISNUMBER(A16),CONVERT(Calculations!U32,Units_In,Units_Out),"")</f>
        <v>1535908.8245185774</v>
      </c>
      <c r="D16" s="33" t="str">
        <f>IF(ISTEXT(Calculations!F32),Calculations!F32,"")</f>
        <v/>
      </c>
      <c r="E16" s="10" t="str">
        <f t="shared" ca="1" si="2"/>
        <v>0503 3877801.00358215EUSft 1535908.82451858NUSft</v>
      </c>
      <c r="F16" s="34">
        <f t="shared" si="3"/>
        <v>94</v>
      </c>
      <c r="G16" s="10" t="str">
        <f t="shared" si="1"/>
        <v>Yellow</v>
      </c>
      <c r="H16" s="10" t="str">
        <f>IF(ISNUMBER(A16),Calculations!$A$1,"")</f>
        <v>DSS6</v>
      </c>
    </row>
    <row r="17" spans="1:8" x14ac:dyDescent="0.25">
      <c r="A17" s="10">
        <f>IF(ISNUMBER(Calculations!A33),Calculations!A33,"")</f>
        <v>13</v>
      </c>
      <c r="B17" s="33">
        <f ca="1">IF(ISNUMBER(A17),CONVERT(Calculations!T33,Units_In,Units_Out),"")</f>
        <v>3877860.6360359211</v>
      </c>
      <c r="C17" s="33">
        <f ca="1">IF(ISNUMBER(A17),CONVERT(Calculations!U33,Units_In,Units_Out),"")</f>
        <v>1535780.589277833</v>
      </c>
      <c r="D17" s="33" t="str">
        <f>IF(ISTEXT(Calculations!F33),Calculations!F33,"")</f>
        <v>PT1</v>
      </c>
      <c r="E17" s="10" t="str">
        <f t="shared" ca="1" si="2"/>
        <v>0503 3877860.63603592EUSft 1535780.58927783NUSft</v>
      </c>
      <c r="F17" s="34">
        <f t="shared" si="3"/>
        <v>94</v>
      </c>
      <c r="G17" s="10" t="str">
        <f t="shared" si="1"/>
        <v>Yellow</v>
      </c>
      <c r="H17" s="10" t="str">
        <f>IF(ISNUMBER(A17),Calculations!$A$1,"")</f>
        <v>DSS6</v>
      </c>
    </row>
    <row r="18" spans="1:8" x14ac:dyDescent="0.25">
      <c r="A18" s="10">
        <f>IF(ISNUMBER(Calculations!A34),Calculations!A34,"")</f>
        <v>14</v>
      </c>
      <c r="B18" s="33">
        <f ca="1">IF(ISNUMBER(A18),CONVERT(Calculations!T34,Units_In,Units_Out),"")</f>
        <v>3877802.2834570431</v>
      </c>
      <c r="C18" s="33">
        <f ca="1">IF(ISNUMBER(A18),CONVERT(Calculations!U34,Units_In,Units_Out),"")</f>
        <v>1535757.2102699361</v>
      </c>
      <c r="D18" s="33" t="str">
        <f>IF(ISTEXT(Calculations!F34),Calculations!F34,"")</f>
        <v>PT2</v>
      </c>
      <c r="E18" s="10" t="str">
        <f t="shared" ca="1" si="2"/>
        <v>0503 3877802.28345704EUSft 1535757.21026994NUSft</v>
      </c>
      <c r="F18" s="34">
        <f t="shared" si="3"/>
        <v>94</v>
      </c>
      <c r="G18" s="10" t="str">
        <f t="shared" si="1"/>
        <v>Yellow</v>
      </c>
      <c r="H18" s="10" t="str">
        <f>IF(ISNUMBER(A18),Calculations!$A$1,"")</f>
        <v>DSS6</v>
      </c>
    </row>
    <row r="19" spans="1:8" x14ac:dyDescent="0.25">
      <c r="A19" s="10" t="str">
        <f>IF(ISNUMBER(Calculations!#REF!),Calculations!#REF!,"")</f>
        <v/>
      </c>
      <c r="B19" s="33" t="str">
        <f>IF(ISNUMBER(A19),CONVERT(Calculations!#REF!,Units_In,Units_Out),"")</f>
        <v/>
      </c>
      <c r="C19" s="33" t="str">
        <f>IF(ISNUMBER(A19),CONVERT(Calculations!#REF!,Units_In,Units_Out),"")</f>
        <v/>
      </c>
      <c r="D19" s="33" t="str">
        <f>IF(ISTEXT(Calculations!#REF!),Calculations!#REF!,"")</f>
        <v/>
      </c>
      <c r="E19" s="10" t="str">
        <f t="shared" si="2"/>
        <v/>
      </c>
      <c r="F19" s="34" t="str">
        <f t="shared" si="3"/>
        <v/>
      </c>
      <c r="G19" s="10" t="str">
        <f t="shared" si="1"/>
        <v/>
      </c>
      <c r="H19" s="10" t="str">
        <f>IF(ISNUMBER(A19),Calculations!$A$1,"")</f>
        <v/>
      </c>
    </row>
    <row r="20" spans="1:8" x14ac:dyDescent="0.25">
      <c r="A20" s="10" t="str">
        <f>IF(ISNUMBER(Calculations!#REF!),Calculations!#REF!,"")</f>
        <v/>
      </c>
      <c r="B20" s="33" t="str">
        <f>IF(ISNUMBER(A20),CONVERT(Calculations!#REF!,Units_In,Units_Out),"")</f>
        <v/>
      </c>
      <c r="C20" s="33" t="str">
        <f>IF(ISNUMBER(A20),CONVERT(Calculations!#REF!,Units_In,Units_Out),"")</f>
        <v/>
      </c>
      <c r="D20" s="33" t="str">
        <f>IF(ISTEXT(Calculations!#REF!),Calculations!#REF!,"")</f>
        <v/>
      </c>
      <c r="E20" s="10" t="str">
        <f t="shared" si="2"/>
        <v/>
      </c>
      <c r="F20" s="34" t="str">
        <f t="shared" si="3"/>
        <v/>
      </c>
      <c r="G20" s="10" t="str">
        <f t="shared" si="1"/>
        <v/>
      </c>
      <c r="H20" s="10" t="str">
        <f>IF(ISNUMBER(A20),Calculations!$A$1,"")</f>
        <v/>
      </c>
    </row>
    <row r="21" spans="1:8" x14ac:dyDescent="0.25">
      <c r="A21" s="10" t="str">
        <f>IF(ISNUMBER(Calculations!#REF!),Calculations!#REF!,"")</f>
        <v/>
      </c>
      <c r="B21" s="33" t="str">
        <f>IF(ISNUMBER(A21),CONVERT(Calculations!#REF!,Units_In,Units_Out),"")</f>
        <v/>
      </c>
      <c r="C21" s="33" t="str">
        <f>IF(ISNUMBER(A21),CONVERT(Calculations!#REF!,Units_In,Units_Out),"")</f>
        <v/>
      </c>
      <c r="D21" s="33" t="str">
        <f>IF(ISTEXT(Calculations!#REF!),Calculations!#REF!,"")</f>
        <v/>
      </c>
      <c r="E21" s="10" t="str">
        <f t="shared" si="2"/>
        <v/>
      </c>
      <c r="F21" s="34" t="str">
        <f t="shared" si="3"/>
        <v/>
      </c>
      <c r="G21" s="10" t="str">
        <f t="shared" si="1"/>
        <v/>
      </c>
      <c r="H21" s="10" t="str">
        <f>IF(ISNUMBER(A21),Calculations!$A$1,"")</f>
        <v/>
      </c>
    </row>
    <row r="22" spans="1:8" x14ac:dyDescent="0.25">
      <c r="A22" s="10" t="str">
        <f>IF(ISNUMBER(Calculations!#REF!),Calculations!#REF!,"")</f>
        <v/>
      </c>
      <c r="B22" s="33" t="str">
        <f>IF(ISNUMBER(A22),CONVERT(Calculations!#REF!,Units_In,Units_Out),"")</f>
        <v/>
      </c>
      <c r="C22" s="33" t="str">
        <f>IF(ISNUMBER(A22),CONVERT(Calculations!#REF!,Units_In,Units_Out),"")</f>
        <v/>
      </c>
      <c r="D22" s="33" t="str">
        <f>IF(ISTEXT(Calculations!#REF!),Calculations!#REF!,"")</f>
        <v/>
      </c>
      <c r="E22" s="10" t="str">
        <f t="shared" si="2"/>
        <v/>
      </c>
      <c r="F22" s="34" t="str">
        <f t="shared" si="3"/>
        <v/>
      </c>
      <c r="G22" s="10" t="str">
        <f t="shared" si="1"/>
        <v/>
      </c>
      <c r="H22" s="10" t="str">
        <f>IF(ISNUMBER(A22),Calculations!$A$1,"")</f>
        <v/>
      </c>
    </row>
    <row r="23" spans="1:8" x14ac:dyDescent="0.25">
      <c r="A23" s="10" t="str">
        <f>IF(ISNUMBER(Calculations!#REF!),Calculations!#REF!,"")</f>
        <v/>
      </c>
      <c r="B23" s="33" t="str">
        <f>IF(ISNUMBER(A23),CONVERT(Calculations!#REF!,Units_In,Units_Out),"")</f>
        <v/>
      </c>
      <c r="C23" s="33" t="str">
        <f>IF(ISNUMBER(A23),CONVERT(Calculations!#REF!,Units_In,Units_Out),"")</f>
        <v/>
      </c>
      <c r="D23" s="33" t="str">
        <f>IF(ISTEXT(Calculations!#REF!),Calculations!#REF!,"")</f>
        <v/>
      </c>
      <c r="E23" s="10" t="str">
        <f t="shared" si="2"/>
        <v/>
      </c>
      <c r="F23" s="34" t="str">
        <f t="shared" si="3"/>
        <v/>
      </c>
      <c r="G23" s="10" t="str">
        <f t="shared" si="1"/>
        <v/>
      </c>
      <c r="H23" s="10" t="str">
        <f>IF(ISNUMBER(A23),Calculations!$A$1,"")</f>
        <v/>
      </c>
    </row>
    <row r="24" spans="1:8" x14ac:dyDescent="0.25">
      <c r="A24" s="10" t="str">
        <f>IF(ISNUMBER(Calculations!#REF!),Calculations!#REF!,"")</f>
        <v/>
      </c>
      <c r="B24" s="33" t="str">
        <f>IF(ISNUMBER(A24),CONVERT(Calculations!#REF!,Units_In,Units_Out),"")</f>
        <v/>
      </c>
      <c r="C24" s="33" t="str">
        <f>IF(ISNUMBER(A24),CONVERT(Calculations!#REF!,Units_In,Units_Out),"")</f>
        <v/>
      </c>
      <c r="D24" s="33" t="str">
        <f>IF(ISTEXT(Calculations!#REF!),Calculations!#REF!,"")</f>
        <v/>
      </c>
      <c r="E24" s="10" t="str">
        <f t="shared" si="2"/>
        <v/>
      </c>
      <c r="F24" s="34" t="str">
        <f t="shared" si="3"/>
        <v/>
      </c>
      <c r="G24" s="10" t="str">
        <f t="shared" si="1"/>
        <v/>
      </c>
      <c r="H24" s="10" t="str">
        <f>IF(ISNUMBER(A24),Calculations!$A$1,"")</f>
        <v/>
      </c>
    </row>
    <row r="25" spans="1:8" x14ac:dyDescent="0.25">
      <c r="A25" s="10" t="str">
        <f>IF(ISNUMBER(Calculations!#REF!),Calculations!#REF!,"")</f>
        <v/>
      </c>
      <c r="B25" s="33" t="str">
        <f>IF(ISNUMBER(A25),CONVERT(Calculations!#REF!,Units_In,Units_Out),"")</f>
        <v/>
      </c>
      <c r="C25" s="33" t="str">
        <f>IF(ISNUMBER(A25),CONVERT(Calculations!#REF!,Units_In,Units_Out),"")</f>
        <v/>
      </c>
      <c r="D25" s="33" t="str">
        <f>IF(ISTEXT(Calculations!#REF!),Calculations!#REF!,"")</f>
        <v/>
      </c>
      <c r="E25" s="10" t="str">
        <f t="shared" si="2"/>
        <v/>
      </c>
      <c r="F25" s="34" t="str">
        <f t="shared" si="3"/>
        <v/>
      </c>
      <c r="G25" s="10" t="str">
        <f t="shared" si="1"/>
        <v/>
      </c>
      <c r="H25" s="10" t="str">
        <f>IF(ISNUMBER(A25),Calculations!$A$1,"")</f>
        <v/>
      </c>
    </row>
    <row r="26" spans="1:8" x14ac:dyDescent="0.25">
      <c r="A26" s="10" t="str">
        <f>IF(ISNUMBER(Calculations!#REF!),Calculations!#REF!,"")</f>
        <v/>
      </c>
      <c r="B26" s="33" t="str">
        <f>IF(ISNUMBER(A26),CONVERT(Calculations!#REF!,Units_In,Units_Out),"")</f>
        <v/>
      </c>
      <c r="C26" s="33" t="str">
        <f>IF(ISNUMBER(A26),CONVERT(Calculations!#REF!,Units_In,Units_Out),"")</f>
        <v/>
      </c>
      <c r="D26" s="33" t="str">
        <f>IF(ISTEXT(Calculations!#REF!),Calculations!#REF!,"")</f>
        <v/>
      </c>
      <c r="E26" s="10" t="str">
        <f t="shared" si="2"/>
        <v/>
      </c>
      <c r="F26" s="34" t="str">
        <f t="shared" si="3"/>
        <v/>
      </c>
      <c r="G26" s="10" t="str">
        <f t="shared" si="1"/>
        <v/>
      </c>
      <c r="H26" s="10" t="str">
        <f>IF(ISNUMBER(A26),Calculations!$A$1,"")</f>
        <v/>
      </c>
    </row>
    <row r="27" spans="1:8" x14ac:dyDescent="0.25">
      <c r="A27" s="10" t="str">
        <f>IF(ISNUMBER(Calculations!#REF!),Calculations!#REF!,"")</f>
        <v/>
      </c>
      <c r="B27" s="33" t="str">
        <f>IF(ISNUMBER(A27),CONVERT(Calculations!#REF!,Units_In,Units_Out),"")</f>
        <v/>
      </c>
      <c r="C27" s="33" t="str">
        <f>IF(ISNUMBER(A27),CONVERT(Calculations!#REF!,Units_In,Units_Out),"")</f>
        <v/>
      </c>
      <c r="D27" s="33" t="str">
        <f>IF(ISTEXT(Calculations!#REF!),Calculations!#REF!,"")</f>
        <v/>
      </c>
      <c r="E27" s="10" t="str">
        <f t="shared" si="2"/>
        <v/>
      </c>
      <c r="F27" s="34" t="str">
        <f t="shared" si="3"/>
        <v/>
      </c>
      <c r="G27" s="10" t="str">
        <f t="shared" si="1"/>
        <v/>
      </c>
      <c r="H27" s="10" t="str">
        <f>IF(ISNUMBER(A27),Calculations!$A$1,"")</f>
        <v/>
      </c>
    </row>
    <row r="28" spans="1:8" x14ac:dyDescent="0.25">
      <c r="A28" s="10" t="str">
        <f>IF(ISNUMBER(Calculations!#REF!),Calculations!#REF!,"")</f>
        <v/>
      </c>
      <c r="B28" s="33" t="str">
        <f>IF(ISNUMBER(A28),CONVERT(Calculations!#REF!,Units_In,Units_Out),"")</f>
        <v/>
      </c>
      <c r="C28" s="33" t="str">
        <f>IF(ISNUMBER(A28),CONVERT(Calculations!#REF!,Units_In,Units_Out),"")</f>
        <v/>
      </c>
      <c r="D28" s="33" t="str">
        <f>IF(ISTEXT(Calculations!#REF!),Calculations!#REF!,"")</f>
        <v/>
      </c>
      <c r="E28" s="10" t="str">
        <f t="shared" si="2"/>
        <v/>
      </c>
      <c r="F28" s="34" t="str">
        <f t="shared" si="3"/>
        <v/>
      </c>
      <c r="G28" s="10" t="str">
        <f t="shared" si="1"/>
        <v/>
      </c>
      <c r="H28" s="10" t="str">
        <f>IF(ISNUMBER(A28),Calculations!$A$1,"")</f>
        <v/>
      </c>
    </row>
    <row r="29" spans="1:8" x14ac:dyDescent="0.25">
      <c r="A29" s="10" t="str">
        <f>IF(ISNUMBER(Calculations!#REF!),Calculations!#REF!,"")</f>
        <v/>
      </c>
      <c r="B29" s="33" t="str">
        <f>IF(ISNUMBER(A29),CONVERT(Calculations!#REF!,Units_In,Units_Out),"")</f>
        <v/>
      </c>
      <c r="C29" s="33" t="str">
        <f>IF(ISNUMBER(A29),CONVERT(Calculations!#REF!,Units_In,Units_Out),"")</f>
        <v/>
      </c>
      <c r="D29" s="33" t="str">
        <f>IF(ISTEXT(Calculations!#REF!),Calculations!#REF!,"")</f>
        <v/>
      </c>
      <c r="E29" s="10" t="str">
        <f t="shared" si="2"/>
        <v/>
      </c>
      <c r="F29" s="34" t="str">
        <f t="shared" si="3"/>
        <v/>
      </c>
      <c r="G29" s="10" t="str">
        <f t="shared" si="1"/>
        <v/>
      </c>
      <c r="H29" s="10" t="str">
        <f>IF(ISNUMBER(A29),Calculations!$A$1,"")</f>
        <v/>
      </c>
    </row>
    <row r="30" spans="1:8" x14ac:dyDescent="0.25">
      <c r="A30" s="10" t="str">
        <f>IF(ISNUMBER(Calculations!#REF!),Calculations!#REF!,"")</f>
        <v/>
      </c>
      <c r="B30" s="33" t="str">
        <f>IF(ISNUMBER(A30),CONVERT(Calculations!#REF!,Units_In,Units_Out),"")</f>
        <v/>
      </c>
      <c r="C30" s="33" t="str">
        <f>IF(ISNUMBER(A30),CONVERT(Calculations!#REF!,Units_In,Units_Out),"")</f>
        <v/>
      </c>
      <c r="D30" s="33" t="str">
        <f>IF(ISTEXT(Calculations!#REF!),Calculations!#REF!,"")</f>
        <v/>
      </c>
      <c r="E30" s="10" t="str">
        <f t="shared" si="2"/>
        <v/>
      </c>
      <c r="F30" s="34" t="str">
        <f t="shared" si="3"/>
        <v/>
      </c>
      <c r="G30" s="10" t="str">
        <f t="shared" si="1"/>
        <v/>
      </c>
      <c r="H30" s="10" t="str">
        <f>IF(ISNUMBER(A30),Calculations!$A$1,"")</f>
        <v/>
      </c>
    </row>
    <row r="31" spans="1:8" x14ac:dyDescent="0.25">
      <c r="A31" s="10" t="str">
        <f>IF(ISNUMBER(Calculations!A35),Calculations!A35,"")</f>
        <v/>
      </c>
      <c r="B31" s="33" t="str">
        <f>IF(ISNUMBER(A31),CONVERT(Calculations!T35,Units_In,Units_Out),"")</f>
        <v/>
      </c>
      <c r="C31" s="33" t="str">
        <f>IF(ISNUMBER(A31),CONVERT(Calculations!U35,Units_In,Units_Out),"")</f>
        <v/>
      </c>
      <c r="D31" s="33" t="str">
        <f>IF(ISTEXT(Calculations!F35),Calculations!F35,"")</f>
        <v/>
      </c>
      <c r="E31" s="10" t="str">
        <f t="shared" si="2"/>
        <v/>
      </c>
      <c r="F31" s="34" t="str">
        <f t="shared" si="3"/>
        <v/>
      </c>
      <c r="G31" s="10" t="str">
        <f t="shared" si="1"/>
        <v/>
      </c>
      <c r="H31" s="10" t="str">
        <f>IF(ISNUMBER(A31),Calculations!$A$1,"")</f>
        <v/>
      </c>
    </row>
    <row r="32" spans="1:8" x14ac:dyDescent="0.25">
      <c r="A32" s="10" t="str">
        <f>IF(ISNUMBER(Calculations!A36),Calculations!A36,"")</f>
        <v/>
      </c>
      <c r="B32" s="33" t="str">
        <f>IF(ISNUMBER(A32),CONVERT(Calculations!T36,Units_In,Units_Out),"")</f>
        <v/>
      </c>
      <c r="C32" s="33" t="str">
        <f>IF(ISNUMBER(A32),CONVERT(Calculations!U36,Units_In,Units_Out),"")</f>
        <v/>
      </c>
      <c r="D32" s="33" t="str">
        <f>IF(ISTEXT(Calculations!F36),Calculations!F36,"")</f>
        <v/>
      </c>
      <c r="E32" s="10" t="str">
        <f t="shared" si="2"/>
        <v/>
      </c>
      <c r="F32" s="34" t="str">
        <f t="shared" si="3"/>
        <v/>
      </c>
      <c r="G32" s="10" t="str">
        <f t="shared" si="1"/>
        <v/>
      </c>
      <c r="H32" s="10" t="str">
        <f>IF(ISNUMBER(A32),Calculations!$A$1,"")</f>
        <v/>
      </c>
    </row>
    <row r="33" spans="1:8" x14ac:dyDescent="0.25">
      <c r="A33" s="10" t="str">
        <f>IF(ISNUMBER(Calculations!A37),Calculations!A37,"")</f>
        <v/>
      </c>
      <c r="B33" s="33" t="str">
        <f>IF(ISNUMBER(A33),CONVERT(Calculations!T37,Units_In,Units_Out),"")</f>
        <v/>
      </c>
      <c r="C33" s="33" t="str">
        <f>IF(ISNUMBER(A33),CONVERT(Calculations!U37,Units_In,Units_Out),"")</f>
        <v/>
      </c>
      <c r="D33" s="33" t="str">
        <f>IF(ISTEXT(Calculations!F37),Calculations!F37,"")</f>
        <v/>
      </c>
      <c r="E33" s="10" t="str">
        <f t="shared" si="2"/>
        <v/>
      </c>
      <c r="F33" s="34" t="str">
        <f t="shared" si="3"/>
        <v/>
      </c>
      <c r="G33" s="10" t="str">
        <f t="shared" si="1"/>
        <v/>
      </c>
      <c r="H33" s="10" t="str">
        <f>IF(ISNUMBER(A33),Calculations!$A$1,"")</f>
        <v/>
      </c>
    </row>
    <row r="34" spans="1:8" x14ac:dyDescent="0.25">
      <c r="A34" s="10" t="str">
        <f>IF(ISNUMBER(Calculations!A38),Calculations!A38,"")</f>
        <v/>
      </c>
      <c r="B34" s="33" t="str">
        <f>IF(ISNUMBER(A34),CONVERT(Calculations!T38,Units_In,Units_Out),"")</f>
        <v/>
      </c>
      <c r="C34" s="33" t="str">
        <f>IF(ISNUMBER(A34),CONVERT(Calculations!U38,Units_In,Units_Out),"")</f>
        <v/>
      </c>
      <c r="D34" s="33" t="str">
        <f>IF(ISTEXT(Calculations!F38),Calculations!F38,"")</f>
        <v/>
      </c>
      <c r="E34" s="10" t="str">
        <f t="shared" si="2"/>
        <v/>
      </c>
      <c r="F34" s="34" t="str">
        <f t="shared" si="3"/>
        <v/>
      </c>
      <c r="G34" s="10" t="str">
        <f t="shared" si="1"/>
        <v/>
      </c>
      <c r="H34" s="10" t="str">
        <f>IF(ISNUMBER(A34),Calculations!$A$1,"")</f>
        <v/>
      </c>
    </row>
    <row r="35" spans="1:8" x14ac:dyDescent="0.25">
      <c r="A35" s="10" t="str">
        <f>IF(ISNUMBER(Calculations!A39),Calculations!A39,"")</f>
        <v/>
      </c>
      <c r="B35" s="33" t="str">
        <f>IF(ISNUMBER(A35),CONVERT(Calculations!T39,Units_In,Units_Out),"")</f>
        <v/>
      </c>
      <c r="C35" s="33" t="str">
        <f>IF(ISNUMBER(A35),CONVERT(Calculations!U39,Units_In,Units_Out),"")</f>
        <v/>
      </c>
      <c r="D35" s="33" t="str">
        <f>IF(ISTEXT(Calculations!F39),Calculations!F39,"")</f>
        <v/>
      </c>
      <c r="E35" s="10" t="str">
        <f t="shared" si="2"/>
        <v/>
      </c>
      <c r="F35" s="34" t="str">
        <f t="shared" si="3"/>
        <v/>
      </c>
      <c r="G35" s="10" t="str">
        <f t="shared" si="1"/>
        <v/>
      </c>
      <c r="H35" s="10" t="str">
        <f>IF(ISNUMBER(A35),Calculations!$A$1,"")</f>
        <v/>
      </c>
    </row>
    <row r="36" spans="1:8" x14ac:dyDescent="0.25">
      <c r="A36" s="10" t="str">
        <f>IF(ISNUMBER(Calculations!A40),Calculations!A40,"")</f>
        <v/>
      </c>
      <c r="B36" s="33" t="str">
        <f>IF(ISNUMBER(A36),CONVERT(Calculations!U40,Units_In,Units_Out),"")</f>
        <v/>
      </c>
      <c r="C36" s="33" t="str">
        <f>IF(ISNUMBER(A36),CONVERT(Calculations!V40,Units_In,Units_Out),"")</f>
        <v/>
      </c>
      <c r="D36" s="33" t="str">
        <f>IF(ISTEXT(Calculations!F40),Calculations!F40,"")</f>
        <v/>
      </c>
      <c r="E36" s="10" t="str">
        <f t="shared" si="2"/>
        <v/>
      </c>
      <c r="F36" s="34" t="str">
        <f t="shared" si="3"/>
        <v/>
      </c>
      <c r="G36" s="10" t="str">
        <f t="shared" si="1"/>
        <v/>
      </c>
      <c r="H36" s="10" t="str">
        <f>IF(ISNUMBER(A36),Calculations!$A$1,"")</f>
        <v/>
      </c>
    </row>
    <row r="37" spans="1:8" x14ac:dyDescent="0.25">
      <c r="A37" s="10" t="str">
        <f>IF(ISNUMBER(Calculations!A41),Calculations!A41,"")</f>
        <v/>
      </c>
      <c r="B37" s="33" t="str">
        <f>IF(ISNUMBER(A37),CONVERT(Calculations!U41,Units_In,Units_Out),"")</f>
        <v/>
      </c>
      <c r="C37" s="33" t="str">
        <f>IF(ISNUMBER(A37),CONVERT(Calculations!V41,Units_In,Units_Out),"")</f>
        <v/>
      </c>
      <c r="D37" s="33" t="str">
        <f>IF(ISTEXT(Calculations!F41),Calculations!F41,"")</f>
        <v/>
      </c>
      <c r="E37" s="10" t="str">
        <f t="shared" si="2"/>
        <v/>
      </c>
      <c r="F37" s="34" t="str">
        <f t="shared" si="3"/>
        <v/>
      </c>
      <c r="G37" s="10" t="str">
        <f t="shared" si="1"/>
        <v/>
      </c>
      <c r="H37" s="10" t="str">
        <f>IF(ISNUMBER(A37),Calculations!$A$1,"")</f>
        <v/>
      </c>
    </row>
    <row r="38" spans="1:8" x14ac:dyDescent="0.25">
      <c r="A38" s="10" t="str">
        <f>IF(ISNUMBER(Calculations!#REF!),Calculations!#REF!,"")</f>
        <v/>
      </c>
      <c r="B38" s="33" t="str">
        <f>IF(ISNUMBER(A38),CONVERT(Calculations!#REF!,Units_In,Units_Out),"")</f>
        <v/>
      </c>
      <c r="C38" s="33" t="str">
        <f>IF(ISNUMBER(A38),CONVERT(Calculations!#REF!,Units_In,Units_Out),"")</f>
        <v/>
      </c>
      <c r="D38" s="33" t="str">
        <f>IF(ISTEXT(Calculations!#REF!),Calculations!#REF!,"")</f>
        <v/>
      </c>
      <c r="E38" s="10" t="str">
        <f t="shared" si="2"/>
        <v/>
      </c>
      <c r="F38" s="34" t="str">
        <f t="shared" si="3"/>
        <v/>
      </c>
      <c r="G38" s="10" t="str">
        <f t="shared" si="1"/>
        <v/>
      </c>
      <c r="H38" s="10" t="str">
        <f>IF(ISNUMBER(A38),Calculations!$A$1,"")</f>
        <v/>
      </c>
    </row>
    <row r="39" spans="1:8" x14ac:dyDescent="0.25">
      <c r="A39" s="10" t="str">
        <f>IF(ISNUMBER(Calculations!#REF!),Calculations!#REF!,"")</f>
        <v/>
      </c>
      <c r="B39" s="33" t="str">
        <f>IF(ISNUMBER(A39),CONVERT(Calculations!#REF!,Units_In,Units_Out),"")</f>
        <v/>
      </c>
      <c r="C39" s="33" t="str">
        <f>IF(ISNUMBER(A39),CONVERT(Calculations!#REF!,Units_In,Units_Out),"")</f>
        <v/>
      </c>
      <c r="D39" s="33" t="str">
        <f>IF(ISTEXT(Calculations!#REF!),Calculations!#REF!,"")</f>
        <v/>
      </c>
      <c r="E39" s="10" t="str">
        <f t="shared" si="2"/>
        <v/>
      </c>
      <c r="F39" s="34" t="str">
        <f t="shared" si="3"/>
        <v/>
      </c>
      <c r="G39" s="10" t="str">
        <f t="shared" si="1"/>
        <v/>
      </c>
      <c r="H39" s="10" t="str">
        <f>IF(ISNUMBER(A39),Calculations!$A$1,"")</f>
        <v/>
      </c>
    </row>
    <row r="40" spans="1:8" x14ac:dyDescent="0.25">
      <c r="A40" s="10" t="str">
        <f>IF(ISNUMBER(Calculations!#REF!),Calculations!#REF!,"")</f>
        <v/>
      </c>
      <c r="B40" s="33" t="str">
        <f>IF(ISNUMBER(A40),CONVERT(Calculations!#REF!,Units_In,Units_Out),"")</f>
        <v/>
      </c>
      <c r="C40" s="33" t="str">
        <f>IF(ISNUMBER(A40),CONVERT(Calculations!#REF!,Units_In,Units_Out),"")</f>
        <v/>
      </c>
      <c r="D40" s="33" t="str">
        <f>IF(ISTEXT(Calculations!#REF!),Calculations!#REF!,"")</f>
        <v/>
      </c>
      <c r="E40" s="10" t="str">
        <f t="shared" si="2"/>
        <v/>
      </c>
      <c r="F40" s="34" t="str">
        <f t="shared" si="3"/>
        <v/>
      </c>
      <c r="G40" s="10" t="str">
        <f t="shared" si="1"/>
        <v/>
      </c>
      <c r="H40" s="10" t="str">
        <f>IF(ISNUMBER(A40),Calculations!$A$1,"")</f>
        <v/>
      </c>
    </row>
    <row r="41" spans="1:8" x14ac:dyDescent="0.25">
      <c r="A41" s="10" t="str">
        <f>IF(ISNUMBER(Calculations!#REF!),Calculations!#REF!,"")</f>
        <v/>
      </c>
      <c r="B41" s="33" t="str">
        <f>IF(ISNUMBER(A41),CONVERT(Calculations!#REF!,Units_In,Units_Out),"")</f>
        <v/>
      </c>
      <c r="C41" s="33" t="str">
        <f>IF(ISNUMBER(A41),CONVERT(Calculations!#REF!,Units_In,Units_Out),"")</f>
        <v/>
      </c>
      <c r="D41" s="33" t="str">
        <f>IF(ISTEXT(Calculations!#REF!),Calculations!#REF!,"")</f>
        <v/>
      </c>
      <c r="E41" s="10" t="str">
        <f t="shared" si="2"/>
        <v/>
      </c>
      <c r="F41" s="34" t="str">
        <f t="shared" si="3"/>
        <v/>
      </c>
      <c r="G41" s="10" t="str">
        <f t="shared" si="1"/>
        <v/>
      </c>
      <c r="H41" s="10" t="str">
        <f>IF(ISNUMBER(A41),Calculations!$A$1,"")</f>
        <v/>
      </c>
    </row>
    <row r="42" spans="1:8" x14ac:dyDescent="0.25">
      <c r="A42" s="10" t="str">
        <f>IF(ISNUMBER(Calculations!#REF!),Calculations!#REF!,"")</f>
        <v/>
      </c>
      <c r="B42" s="33" t="str">
        <f>IF(ISNUMBER(A42),CONVERT(Calculations!#REF!,Units_In,Units_Out),"")</f>
        <v/>
      </c>
      <c r="C42" s="33" t="str">
        <f>IF(ISNUMBER(A42),CONVERT(Calculations!#REF!,Units_In,Units_Out),"")</f>
        <v/>
      </c>
      <c r="D42" s="33" t="str">
        <f>IF(ISTEXT(Calculations!#REF!),Calculations!#REF!,"")</f>
        <v/>
      </c>
      <c r="E42" s="10" t="str">
        <f t="shared" si="2"/>
        <v/>
      </c>
      <c r="F42" s="34" t="str">
        <f t="shared" si="3"/>
        <v/>
      </c>
      <c r="G42" s="10" t="str">
        <f t="shared" si="1"/>
        <v/>
      </c>
      <c r="H42" s="10" t="str">
        <f>IF(ISNUMBER(A42),Calculations!$A$1,"")</f>
        <v/>
      </c>
    </row>
    <row r="43" spans="1:8" x14ac:dyDescent="0.25">
      <c r="A43" s="10" t="str">
        <f>IF(ISNUMBER(Calculations!#REF!),Calculations!#REF!,"")</f>
        <v/>
      </c>
      <c r="B43" s="33" t="str">
        <f>IF(ISNUMBER(A43),CONVERT(Calculations!#REF!,Units_In,Units_Out),"")</f>
        <v/>
      </c>
      <c r="C43" s="33" t="str">
        <f>IF(ISNUMBER(A43),CONVERT(Calculations!#REF!,Units_In,Units_Out),"")</f>
        <v/>
      </c>
      <c r="D43" s="33" t="str">
        <f>IF(ISTEXT(Calculations!#REF!),Calculations!#REF!,"")</f>
        <v/>
      </c>
      <c r="E43" s="10" t="str">
        <f t="shared" si="2"/>
        <v/>
      </c>
      <c r="F43" s="34" t="str">
        <f t="shared" si="3"/>
        <v/>
      </c>
      <c r="G43" s="10" t="str">
        <f t="shared" si="1"/>
        <v/>
      </c>
      <c r="H43" s="10" t="str">
        <f>IF(ISNUMBER(A43),Calculations!$A$1,"")</f>
        <v/>
      </c>
    </row>
    <row r="44" spans="1:8" x14ac:dyDescent="0.25">
      <c r="A44" s="10" t="str">
        <f>IF(ISNUMBER(Calculations!#REF!),Calculations!#REF!,"")</f>
        <v/>
      </c>
      <c r="B44" s="33" t="str">
        <f>IF(ISNUMBER(A44),CONVERT(Calculations!#REF!,Units_In,Units_Out),"")</f>
        <v/>
      </c>
      <c r="C44" s="33" t="str">
        <f>IF(ISNUMBER(A44),CONVERT(Calculations!#REF!,Units_In,Units_Out),"")</f>
        <v/>
      </c>
      <c r="D44" s="33" t="str">
        <f>IF(ISTEXT(Calculations!#REF!),Calculations!#REF!,"")</f>
        <v/>
      </c>
      <c r="E44" s="10" t="str">
        <f t="shared" si="2"/>
        <v/>
      </c>
      <c r="F44" s="34" t="str">
        <f t="shared" si="3"/>
        <v/>
      </c>
      <c r="G44" s="10" t="str">
        <f t="shared" si="1"/>
        <v/>
      </c>
      <c r="H44" s="10" t="str">
        <f>IF(ISNUMBER(A44),Calculations!$A$1,"")</f>
        <v/>
      </c>
    </row>
    <row r="45" spans="1:8" x14ac:dyDescent="0.25">
      <c r="A45" s="10" t="str">
        <f>IF(ISNUMBER(Calculations!#REF!),Calculations!#REF!,"")</f>
        <v/>
      </c>
      <c r="B45" s="33" t="str">
        <f>IF(ISNUMBER(A45),CONVERT(Calculations!#REF!,Units_In,Units_Out),"")</f>
        <v/>
      </c>
      <c r="C45" s="33" t="str">
        <f>IF(ISNUMBER(A45),CONVERT(Calculations!#REF!,Units_In,Units_Out),"")</f>
        <v/>
      </c>
      <c r="D45" s="33" t="str">
        <f>IF(ISTEXT(Calculations!#REF!),Calculations!#REF!,"")</f>
        <v/>
      </c>
      <c r="E45" s="10" t="str">
        <f t="shared" si="2"/>
        <v/>
      </c>
      <c r="F45" s="34" t="str">
        <f t="shared" si="3"/>
        <v/>
      </c>
      <c r="G45" s="10" t="str">
        <f t="shared" si="1"/>
        <v/>
      </c>
      <c r="H45" s="10" t="str">
        <f>IF(ISNUMBER(A45),Calculations!$A$1,"")</f>
        <v/>
      </c>
    </row>
    <row r="46" spans="1:8" x14ac:dyDescent="0.25">
      <c r="A46" s="10" t="str">
        <f>IF(ISNUMBER(Calculations!#REF!),Calculations!#REF!,"")</f>
        <v/>
      </c>
      <c r="B46" s="33" t="str">
        <f>IF(ISNUMBER(A46),CONVERT(Calculations!#REF!,Units_In,Units_Out),"")</f>
        <v/>
      </c>
      <c r="C46" s="33" t="str">
        <f>IF(ISNUMBER(A46),CONVERT(Calculations!#REF!,Units_In,Units_Out),"")</f>
        <v/>
      </c>
      <c r="D46" s="33" t="str">
        <f>IF(ISTEXT(Calculations!#REF!),Calculations!#REF!,"")</f>
        <v/>
      </c>
      <c r="E46" s="10" t="str">
        <f t="shared" si="2"/>
        <v/>
      </c>
      <c r="F46" s="34" t="str">
        <f t="shared" si="3"/>
        <v/>
      </c>
      <c r="G46" s="10" t="str">
        <f t="shared" si="1"/>
        <v/>
      </c>
      <c r="H46" s="10" t="str">
        <f>IF(ISNUMBER(A46),Calculations!$A$1,"")</f>
        <v/>
      </c>
    </row>
    <row r="47" spans="1:8" x14ac:dyDescent="0.25">
      <c r="A47" s="10" t="str">
        <f>IF(ISNUMBER(Calculations!#REF!),Calculations!#REF!,"")</f>
        <v/>
      </c>
      <c r="B47" s="33" t="str">
        <f>IF(ISNUMBER(A47),CONVERT(Calculations!#REF!,Units_In,Units_Out),"")</f>
        <v/>
      </c>
      <c r="C47" s="33" t="str">
        <f>IF(ISNUMBER(A47),CONVERT(Calculations!#REF!,Units_In,Units_Out),"")</f>
        <v/>
      </c>
      <c r="D47" s="33" t="str">
        <f>IF(ISTEXT(Calculations!#REF!),Calculations!#REF!,"")</f>
        <v/>
      </c>
      <c r="E47" s="10" t="str">
        <f t="shared" si="2"/>
        <v/>
      </c>
      <c r="F47" s="34" t="str">
        <f t="shared" si="3"/>
        <v/>
      </c>
      <c r="G47" s="10" t="str">
        <f t="shared" si="1"/>
        <v/>
      </c>
      <c r="H47" s="10" t="str">
        <f>IF(ISNUMBER(A47),Calculations!$A$1,"")</f>
        <v/>
      </c>
    </row>
    <row r="48" spans="1:8" x14ac:dyDescent="0.25">
      <c r="A48" s="10" t="str">
        <f>IF(ISNUMBER(Calculations!#REF!),Calculations!#REF!,"")</f>
        <v/>
      </c>
      <c r="B48" s="33" t="str">
        <f>IF(ISNUMBER(A48),CONVERT(Calculations!#REF!,Units_In,Units_Out),"")</f>
        <v/>
      </c>
      <c r="C48" s="33" t="str">
        <f>IF(ISNUMBER(A48),CONVERT(Calculations!#REF!,Units_In,Units_Out),"")</f>
        <v/>
      </c>
      <c r="D48" s="33" t="str">
        <f>IF(ISTEXT(Calculations!#REF!),Calculations!#REF!,"")</f>
        <v/>
      </c>
      <c r="E48" s="10" t="str">
        <f t="shared" si="2"/>
        <v/>
      </c>
      <c r="F48" s="34" t="str">
        <f t="shared" si="3"/>
        <v/>
      </c>
      <c r="G48" s="10" t="str">
        <f t="shared" si="1"/>
        <v/>
      </c>
      <c r="H48" s="10" t="str">
        <f>IF(ISNUMBER(A48),Calculations!$A$1,"")</f>
        <v/>
      </c>
    </row>
    <row r="49" spans="1:8" x14ac:dyDescent="0.25">
      <c r="A49" s="10" t="str">
        <f>IF(ISNUMBER(Calculations!#REF!),Calculations!#REF!,"")</f>
        <v/>
      </c>
      <c r="B49" s="33" t="str">
        <f>IF(ISNUMBER(A49),CONVERT(Calculations!#REF!,Units_In,Units_Out),"")</f>
        <v/>
      </c>
      <c r="C49" s="33" t="str">
        <f>IF(ISNUMBER(A49),CONVERT(Calculations!#REF!,Units_In,Units_Out),"")</f>
        <v/>
      </c>
      <c r="D49" s="33" t="str">
        <f>IF(ISTEXT(Calculations!#REF!),Calculations!#REF!,"")</f>
        <v/>
      </c>
      <c r="E49" s="10" t="str">
        <f t="shared" si="2"/>
        <v/>
      </c>
      <c r="F49" s="34" t="str">
        <f t="shared" si="3"/>
        <v/>
      </c>
      <c r="G49" s="10" t="str">
        <f t="shared" si="1"/>
        <v/>
      </c>
      <c r="H49" s="10" t="str">
        <f>IF(ISNUMBER(A49),Calculations!$A$1,"")</f>
        <v/>
      </c>
    </row>
    <row r="50" spans="1:8" x14ac:dyDescent="0.25">
      <c r="A50" s="10" t="str">
        <f>IF(ISNUMBER(Calculations!#REF!),Calculations!#REF!,"")</f>
        <v/>
      </c>
      <c r="B50" s="33" t="str">
        <f>IF(ISNUMBER(A50),CONVERT(Calculations!#REF!,Units_In,Units_Out),"")</f>
        <v/>
      </c>
      <c r="C50" s="33" t="str">
        <f>IF(ISNUMBER(A50),CONVERT(Calculations!#REF!,Units_In,Units_Out),"")</f>
        <v/>
      </c>
      <c r="D50" s="33" t="str">
        <f>IF(ISTEXT(Calculations!#REF!),Calculations!#REF!,"")</f>
        <v/>
      </c>
      <c r="E50" s="10" t="str">
        <f t="shared" si="2"/>
        <v/>
      </c>
      <c r="F50" s="34" t="str">
        <f t="shared" si="3"/>
        <v/>
      </c>
      <c r="G50" s="10" t="str">
        <f t="shared" si="1"/>
        <v/>
      </c>
      <c r="H50" s="10" t="str">
        <f>IF(ISNUMBER(A50),Calculations!$A$1,"")</f>
        <v/>
      </c>
    </row>
    <row r="51" spans="1:8" x14ac:dyDescent="0.25">
      <c r="A51" s="10" t="str">
        <f>IF(ISNUMBER(Calculations!#REF!),Calculations!#REF!,"")</f>
        <v/>
      </c>
      <c r="B51" s="33" t="str">
        <f>IF(ISNUMBER(A51),CONVERT(Calculations!#REF!,Units_In,Units_Out),"")</f>
        <v/>
      </c>
      <c r="C51" s="33" t="str">
        <f>IF(ISNUMBER(A51),CONVERT(Calculations!#REF!,Units_In,Units_Out),"")</f>
        <v/>
      </c>
      <c r="D51" s="33" t="str">
        <f>IF(ISTEXT(Calculations!#REF!),Calculations!#REF!,"")</f>
        <v/>
      </c>
      <c r="E51" s="10" t="str">
        <f t="shared" si="2"/>
        <v/>
      </c>
      <c r="F51" s="34" t="str">
        <f t="shared" si="3"/>
        <v/>
      </c>
      <c r="G51" s="10" t="str">
        <f t="shared" si="1"/>
        <v/>
      </c>
      <c r="H51" s="10" t="str">
        <f>IF(ISNUMBER(A51),Calculations!$A$1,"")</f>
        <v/>
      </c>
    </row>
    <row r="52" spans="1:8" x14ac:dyDescent="0.25">
      <c r="A52" s="10" t="str">
        <f>IF(ISNUMBER(Calculations!#REF!),Calculations!#REF!,"")</f>
        <v/>
      </c>
      <c r="B52" s="33" t="str">
        <f>IF(ISNUMBER(A52),CONVERT(Calculations!#REF!,Units_In,Units_Out),"")</f>
        <v/>
      </c>
      <c r="C52" s="33" t="str">
        <f>IF(ISNUMBER(A52),CONVERT(Calculations!#REF!,Units_In,Units_Out),"")</f>
        <v/>
      </c>
      <c r="D52" s="33" t="str">
        <f>IF(ISTEXT(Calculations!#REF!),Calculations!#REF!,"")</f>
        <v/>
      </c>
      <c r="E52" s="10" t="str">
        <f t="shared" si="2"/>
        <v/>
      </c>
      <c r="F52" s="34" t="str">
        <f t="shared" si="3"/>
        <v/>
      </c>
      <c r="G52" s="10" t="str">
        <f t="shared" si="1"/>
        <v/>
      </c>
      <c r="H52" s="10" t="str">
        <f>IF(ISNUMBER(A52),Calculations!$A$1,"")</f>
        <v/>
      </c>
    </row>
    <row r="53" spans="1:8" x14ac:dyDescent="0.25">
      <c r="A53" s="10" t="str">
        <f>IF(ISNUMBER(Calculations!#REF!),Calculations!#REF!,"")</f>
        <v/>
      </c>
      <c r="B53" s="33" t="str">
        <f>IF(ISNUMBER(A53),CONVERT(Calculations!#REF!,Units_In,Units_Out),"")</f>
        <v/>
      </c>
      <c r="C53" s="33" t="str">
        <f>IF(ISNUMBER(A53),CONVERT(Calculations!#REF!,Units_In,Units_Out),"")</f>
        <v/>
      </c>
      <c r="D53" s="33" t="str">
        <f>IF(ISTEXT(Calculations!#REF!),Calculations!#REF!,"")</f>
        <v/>
      </c>
      <c r="E53" s="10" t="str">
        <f t="shared" si="2"/>
        <v/>
      </c>
      <c r="F53" s="34" t="str">
        <f t="shared" si="3"/>
        <v/>
      </c>
      <c r="G53" s="10" t="str">
        <f t="shared" si="1"/>
        <v/>
      </c>
      <c r="H53" s="10" t="str">
        <f>IF(ISNUMBER(A53),Calculations!$A$1,"")</f>
        <v/>
      </c>
    </row>
    <row r="54" spans="1:8" x14ac:dyDescent="0.25">
      <c r="A54" s="10" t="str">
        <f>IF(ISNUMBER(Calculations!#REF!),Calculations!#REF!,"")</f>
        <v/>
      </c>
      <c r="B54" s="33" t="str">
        <f>IF(ISNUMBER(A54),CONVERT(Calculations!#REF!,Units_In,Units_Out),"")</f>
        <v/>
      </c>
      <c r="C54" s="33" t="str">
        <f>IF(ISNUMBER(A54),CONVERT(Calculations!#REF!,Units_In,Units_Out),"")</f>
        <v/>
      </c>
      <c r="D54" s="33" t="str">
        <f>IF(ISTEXT(Calculations!#REF!),Calculations!#REF!,"")</f>
        <v/>
      </c>
      <c r="E54" s="10" t="str">
        <f t="shared" si="2"/>
        <v/>
      </c>
      <c r="F54" s="34" t="str">
        <f t="shared" si="3"/>
        <v/>
      </c>
      <c r="G54" s="10" t="str">
        <f t="shared" si="1"/>
        <v/>
      </c>
      <c r="H54" s="10" t="str">
        <f>IF(ISNUMBER(A54),Calculations!$A$1,"")</f>
        <v/>
      </c>
    </row>
    <row r="55" spans="1:8" x14ac:dyDescent="0.25">
      <c r="A55" s="10" t="str">
        <f>IF(ISNUMBER(Calculations!#REF!),Calculations!#REF!,"")</f>
        <v/>
      </c>
      <c r="B55" s="33" t="str">
        <f>IF(ISNUMBER(A55),CONVERT(Calculations!#REF!,Units_In,Units_Out),"")</f>
        <v/>
      </c>
      <c r="C55" s="33" t="str">
        <f>IF(ISNUMBER(A55),CONVERT(Calculations!#REF!,Units_In,Units_Out),"")</f>
        <v/>
      </c>
      <c r="D55" s="33" t="str">
        <f>IF(ISTEXT(Calculations!#REF!),Calculations!#REF!,"")</f>
        <v/>
      </c>
      <c r="E55" s="10" t="str">
        <f t="shared" si="2"/>
        <v/>
      </c>
      <c r="F55" s="34" t="str">
        <f t="shared" si="3"/>
        <v/>
      </c>
      <c r="G55" s="10" t="str">
        <f t="shared" si="1"/>
        <v/>
      </c>
      <c r="H55" s="10" t="str">
        <f>IF(ISNUMBER(A55),Calculations!$A$1,"")</f>
        <v/>
      </c>
    </row>
    <row r="56" spans="1:8" x14ac:dyDescent="0.25">
      <c r="A56" s="10" t="str">
        <f>IF(ISNUMBER(Calculations!#REF!),Calculations!#REF!,"")</f>
        <v/>
      </c>
      <c r="B56" s="33" t="str">
        <f>IF(ISNUMBER(A56),CONVERT(Calculations!#REF!,Units_In,Units_Out),"")</f>
        <v/>
      </c>
      <c r="C56" s="33" t="str">
        <f>IF(ISNUMBER(A56),CONVERT(Calculations!#REF!,Units_In,Units_Out),"")</f>
        <v/>
      </c>
      <c r="D56" s="33" t="str">
        <f>IF(ISTEXT(Calculations!#REF!),Calculations!#REF!,"")</f>
        <v/>
      </c>
      <c r="E56" s="10" t="str">
        <f t="shared" si="2"/>
        <v/>
      </c>
      <c r="F56" s="34" t="str">
        <f t="shared" si="3"/>
        <v/>
      </c>
      <c r="G56" s="10" t="str">
        <f t="shared" si="1"/>
        <v/>
      </c>
      <c r="H56" s="10" t="str">
        <f>IF(ISNUMBER(A56),Calculations!$A$1,"")</f>
        <v/>
      </c>
    </row>
    <row r="57" spans="1:8" x14ac:dyDescent="0.25">
      <c r="A57" s="10" t="str">
        <f>IF(ISNUMBER(Calculations!#REF!),Calculations!#REF!,"")</f>
        <v/>
      </c>
      <c r="B57" s="33" t="str">
        <f>IF(ISNUMBER(A57),CONVERT(Calculations!#REF!,Units_In,Units_Out),"")</f>
        <v/>
      </c>
      <c r="C57" s="33" t="str">
        <f>IF(ISNUMBER(A57),CONVERT(Calculations!#REF!,Units_In,Units_Out),"")</f>
        <v/>
      </c>
      <c r="D57" s="33" t="str">
        <f>IF(ISTEXT(Calculations!#REF!),Calculations!#REF!,"")</f>
        <v/>
      </c>
      <c r="E57" s="10" t="str">
        <f t="shared" si="2"/>
        <v/>
      </c>
      <c r="F57" s="34" t="str">
        <f t="shared" si="3"/>
        <v/>
      </c>
      <c r="G57" s="10" t="str">
        <f t="shared" si="1"/>
        <v/>
      </c>
      <c r="H57" s="10" t="str">
        <f>IF(ISNUMBER(A57),Calculations!$A$1,"")</f>
        <v/>
      </c>
    </row>
    <row r="58" spans="1:8" x14ac:dyDescent="0.25">
      <c r="A58" s="10" t="str">
        <f>IF(ISNUMBER(Calculations!#REF!),Calculations!#REF!,"")</f>
        <v/>
      </c>
      <c r="B58" s="33" t="str">
        <f>IF(ISNUMBER(A58),CONVERT(Calculations!#REF!,Units_In,Units_Out),"")</f>
        <v/>
      </c>
      <c r="C58" s="33" t="str">
        <f>IF(ISNUMBER(A58),CONVERT(Calculations!#REF!,Units_In,Units_Out),"")</f>
        <v/>
      </c>
      <c r="D58" s="33" t="str">
        <f>IF(ISTEXT(Calculations!#REF!),Calculations!#REF!,"")</f>
        <v/>
      </c>
      <c r="E58" s="10" t="str">
        <f t="shared" si="2"/>
        <v/>
      </c>
      <c r="F58" s="34" t="str">
        <f t="shared" si="3"/>
        <v/>
      </c>
      <c r="G58" s="10" t="str">
        <f t="shared" si="1"/>
        <v/>
      </c>
      <c r="H58" s="10" t="str">
        <f>IF(ISNUMBER(A58),Calculations!$A$1,"")</f>
        <v/>
      </c>
    </row>
    <row r="59" spans="1:8" x14ac:dyDescent="0.25">
      <c r="A59" s="10" t="str">
        <f>IF(ISNUMBER(Calculations!#REF!),Calculations!#REF!,"")</f>
        <v/>
      </c>
      <c r="B59" s="33" t="str">
        <f>IF(ISNUMBER(A59),CONVERT(Calculations!#REF!,Units_In,Units_Out),"")</f>
        <v/>
      </c>
      <c r="C59" s="33" t="str">
        <f>IF(ISNUMBER(A59),CONVERT(Calculations!#REF!,Units_In,Units_Out),"")</f>
        <v/>
      </c>
      <c r="D59" s="33" t="str">
        <f>IF(ISTEXT(Calculations!#REF!),Calculations!#REF!,"")</f>
        <v/>
      </c>
      <c r="E59" s="10" t="str">
        <f t="shared" si="2"/>
        <v/>
      </c>
      <c r="F59" s="34" t="str">
        <f t="shared" si="3"/>
        <v/>
      </c>
      <c r="G59" s="10" t="str">
        <f t="shared" si="1"/>
        <v/>
      </c>
      <c r="H59" s="10" t="str">
        <f>IF(ISNUMBER(A59),Calculations!$A$1,"")</f>
        <v/>
      </c>
    </row>
    <row r="60" spans="1:8" x14ac:dyDescent="0.25">
      <c r="A60" s="10" t="str">
        <f>IF(ISNUMBER(Calculations!#REF!),Calculations!#REF!,"")</f>
        <v/>
      </c>
      <c r="B60" s="33" t="str">
        <f>IF(ISNUMBER(A60),CONVERT(Calculations!#REF!,Units_In,Units_Out),"")</f>
        <v/>
      </c>
      <c r="C60" s="33" t="str">
        <f>IF(ISNUMBER(A60),CONVERT(Calculations!#REF!,Units_In,Units_Out),"")</f>
        <v/>
      </c>
      <c r="D60" s="33" t="str">
        <f>IF(ISTEXT(Calculations!#REF!),Calculations!#REF!,"")</f>
        <v/>
      </c>
      <c r="E60" s="10" t="str">
        <f t="shared" si="2"/>
        <v/>
      </c>
      <c r="F60" s="34" t="str">
        <f t="shared" si="3"/>
        <v/>
      </c>
      <c r="G60" s="10" t="str">
        <f t="shared" si="1"/>
        <v/>
      </c>
      <c r="H60" s="10" t="str">
        <f>IF(ISNUMBER(A60),Calculations!$A$1,"")</f>
        <v/>
      </c>
    </row>
    <row r="61" spans="1:8" x14ac:dyDescent="0.25">
      <c r="A61" s="10" t="str">
        <f>IF(ISNUMBER(Calculations!#REF!),Calculations!#REF!,"")</f>
        <v/>
      </c>
      <c r="B61" s="33" t="str">
        <f>IF(ISNUMBER(A61),CONVERT(Calculations!#REF!,Units_In,Units_Out),"")</f>
        <v/>
      </c>
      <c r="C61" s="33" t="str">
        <f>IF(ISNUMBER(A61),CONVERT(Calculations!#REF!,Units_In,Units_Out),"")</f>
        <v/>
      </c>
      <c r="D61" s="33" t="str">
        <f>IF(ISTEXT(Calculations!#REF!),Calculations!#REF!,"")</f>
        <v/>
      </c>
      <c r="E61" s="10" t="str">
        <f t="shared" si="2"/>
        <v/>
      </c>
      <c r="F61" s="34" t="str">
        <f t="shared" si="3"/>
        <v/>
      </c>
      <c r="G61" s="10" t="str">
        <f t="shared" si="1"/>
        <v/>
      </c>
      <c r="H61" s="10" t="str">
        <f>IF(ISNUMBER(A61),Calculations!$A$1,"")</f>
        <v/>
      </c>
    </row>
    <row r="62" spans="1:8" x14ac:dyDescent="0.25">
      <c r="A62" s="10" t="str">
        <f>IF(ISNUMBER(Calculations!#REF!),Calculations!#REF!,"")</f>
        <v/>
      </c>
      <c r="B62" s="33" t="str">
        <f>IF(ISNUMBER(A62),CONVERT(Calculations!#REF!,Units_In,Units_Out),"")</f>
        <v/>
      </c>
      <c r="C62" s="33" t="str">
        <f>IF(ISNUMBER(A62),CONVERT(Calculations!#REF!,Units_In,Units_Out),"")</f>
        <v/>
      </c>
      <c r="D62" s="33" t="str">
        <f>IF(ISTEXT(Calculations!#REF!),Calculations!#REF!,"")</f>
        <v/>
      </c>
      <c r="E62" s="10" t="str">
        <f t="shared" si="2"/>
        <v/>
      </c>
      <c r="F62" s="34" t="str">
        <f t="shared" si="3"/>
        <v/>
      </c>
      <c r="G62" s="10" t="str">
        <f t="shared" si="1"/>
        <v/>
      </c>
      <c r="H62" s="10" t="str">
        <f>IF(ISNUMBER(A62),Calculations!$A$1,"")</f>
        <v/>
      </c>
    </row>
    <row r="63" spans="1:8" x14ac:dyDescent="0.25">
      <c r="A63" s="10" t="str">
        <f>IF(ISNUMBER(Calculations!#REF!),Calculations!#REF!,"")</f>
        <v/>
      </c>
      <c r="B63" s="33" t="str">
        <f>IF(ISNUMBER(A63),CONVERT(Calculations!#REF!,Units_In,Units_Out),"")</f>
        <v/>
      </c>
      <c r="C63" s="33" t="str">
        <f>IF(ISNUMBER(A63),CONVERT(Calculations!#REF!,Units_In,Units_Out),"")</f>
        <v/>
      </c>
      <c r="D63" s="33" t="str">
        <f>IF(ISTEXT(Calculations!#REF!),Calculations!#REF!,"")</f>
        <v/>
      </c>
      <c r="E63" s="10" t="str">
        <f t="shared" si="2"/>
        <v/>
      </c>
      <c r="F63" s="34" t="str">
        <f t="shared" si="3"/>
        <v/>
      </c>
      <c r="G63" s="10" t="str">
        <f t="shared" si="1"/>
        <v/>
      </c>
      <c r="H63" s="10" t="str">
        <f>IF(ISNUMBER(A63),Calculations!$A$1,"")</f>
        <v/>
      </c>
    </row>
    <row r="64" spans="1:8" x14ac:dyDescent="0.25">
      <c r="A64" s="10" t="str">
        <f>IF(ISNUMBER(Calculations!#REF!),Calculations!#REF!,"")</f>
        <v/>
      </c>
      <c r="B64" s="33" t="str">
        <f>IF(ISNUMBER(A64),CONVERT(Calculations!#REF!,Units_In,Units_Out),"")</f>
        <v/>
      </c>
      <c r="C64" s="33" t="str">
        <f>IF(ISNUMBER(A64),CONVERT(Calculations!#REF!,Units_In,Units_Out),"")</f>
        <v/>
      </c>
      <c r="D64" s="33" t="str">
        <f>IF(ISTEXT(Calculations!#REF!),Calculations!#REF!,"")</f>
        <v/>
      </c>
      <c r="E64" s="10" t="str">
        <f t="shared" si="2"/>
        <v/>
      </c>
      <c r="F64" s="34" t="str">
        <f t="shared" si="3"/>
        <v/>
      </c>
      <c r="G64" s="10" t="str">
        <f t="shared" si="1"/>
        <v/>
      </c>
      <c r="H64" s="10" t="str">
        <f>IF(ISNUMBER(A64),Calculations!$A$1,"")</f>
        <v/>
      </c>
    </row>
    <row r="65" spans="1:8" x14ac:dyDescent="0.25">
      <c r="A65" s="10" t="str">
        <f>IF(ISNUMBER(Calculations!#REF!),Calculations!#REF!,"")</f>
        <v/>
      </c>
      <c r="B65" s="33" t="str">
        <f>IF(ISNUMBER(A65),CONVERT(Calculations!#REF!,Units_In,Units_Out),"")</f>
        <v/>
      </c>
      <c r="C65" s="33" t="str">
        <f>IF(ISNUMBER(A65),CONVERT(Calculations!#REF!,Units_In,Units_Out),"")</f>
        <v/>
      </c>
      <c r="D65" s="33" t="str">
        <f>IF(ISTEXT(Calculations!#REF!),Calculations!#REF!,"")</f>
        <v/>
      </c>
      <c r="E65" s="10" t="str">
        <f t="shared" si="2"/>
        <v/>
      </c>
      <c r="F65" s="34" t="str">
        <f t="shared" si="3"/>
        <v/>
      </c>
      <c r="G65" s="10" t="str">
        <f t="shared" si="1"/>
        <v/>
      </c>
      <c r="H65" s="10" t="str">
        <f>IF(ISNUMBER(A65),Calculations!$A$1,"")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"/>
  <sheetViews>
    <sheetView workbookViewId="0">
      <selection sqref="A1:L32"/>
    </sheetView>
  </sheetViews>
  <sheetFormatPr defaultRowHeight="15" x14ac:dyDescent="0.25"/>
  <cols>
    <col min="1" max="1" width="10" bestFit="1" customWidth="1"/>
    <col min="2" max="2" width="9" bestFit="1" customWidth="1"/>
    <col min="3" max="3" width="12" bestFit="1" customWidth="1"/>
    <col min="4" max="4" width="7.85546875" bestFit="1" customWidth="1"/>
    <col min="5" max="6" width="12.7109375" bestFit="1" customWidth="1"/>
    <col min="7" max="7" width="12.7109375" style="10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23</vt:i4>
      </vt:variant>
    </vt:vector>
  </HeadingPairs>
  <TitlesOfParts>
    <vt:vector size="26" baseType="lpstr">
      <vt:lpstr>Calculations</vt:lpstr>
      <vt:lpstr>GoogleEarth</vt:lpstr>
      <vt:lpstr>Sheet1</vt:lpstr>
      <vt:lpstr>bA</vt:lpstr>
      <vt:lpstr>CS_End</vt:lpstr>
      <vt:lpstr>CS_Start</vt:lpstr>
      <vt:lpstr>DfromL</vt:lpstr>
      <vt:lpstr>dZ</vt:lpstr>
      <vt:lpstr>HI</vt:lpstr>
      <vt:lpstr>mA</vt:lpstr>
      <vt:lpstr>mB</vt:lpstr>
      <vt:lpstr>Min_Z</vt:lpstr>
      <vt:lpstr>Old_X0</vt:lpstr>
      <vt:lpstr>Old_X1</vt:lpstr>
      <vt:lpstr>Old_X2</vt:lpstr>
      <vt:lpstr>Old_Y0</vt:lpstr>
      <vt:lpstr>Old_Y1</vt:lpstr>
      <vt:lpstr>Old_Y2</vt:lpstr>
      <vt:lpstr>Old_Z0</vt:lpstr>
      <vt:lpstr>Old_Z1</vt:lpstr>
      <vt:lpstr>Old_Z2</vt:lpstr>
      <vt:lpstr>Units_In</vt:lpstr>
      <vt:lpstr>Units_Out</vt:lpstr>
      <vt:lpstr>xB</vt:lpstr>
      <vt:lpstr>yB</vt:lpstr>
      <vt:lpstr>Zs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</dc:creator>
  <cp:lastModifiedBy>kmorse</cp:lastModifiedBy>
  <dcterms:created xsi:type="dcterms:W3CDTF">2011-11-09T05:33:48Z</dcterms:created>
  <dcterms:modified xsi:type="dcterms:W3CDTF">2013-09-16T18:38:36Z</dcterms:modified>
</cp:coreProperties>
</file>