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Calculations!$AB$21:$AB$46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Calculations!$X$21:$X$62</definedName>
    <definedName name="yB">Calculations!$Y$21:$Y$62</definedName>
    <definedName name="Zs">Calculations!$W$21:$W$45</definedName>
  </definedNames>
  <calcPr calcId="145621"/>
</workbook>
</file>

<file path=xl/calcChain.xml><?xml version="1.0" encoding="utf-8"?>
<calcChain xmlns="http://schemas.openxmlformats.org/spreadsheetml/2006/main">
  <c r="I41" i="1" l="1"/>
  <c r="J41" i="1" s="1"/>
  <c r="G41" i="1"/>
  <c r="H41" i="1" s="1"/>
  <c r="I40" i="1"/>
  <c r="J40" i="1" s="1"/>
  <c r="G40" i="1"/>
  <c r="H40" i="1" s="1"/>
  <c r="I39" i="1"/>
  <c r="J39" i="1" s="1"/>
  <c r="G39" i="1"/>
  <c r="H39" i="1" s="1"/>
  <c r="I38" i="1"/>
  <c r="J38" i="1" s="1"/>
  <c r="G38" i="1"/>
  <c r="H38" i="1" s="1"/>
  <c r="L41" i="1" l="1"/>
  <c r="K41" i="1"/>
  <c r="N41" i="1"/>
  <c r="L40" i="1"/>
  <c r="K40" i="1"/>
  <c r="N40" i="1"/>
  <c r="L39" i="1"/>
  <c r="K39" i="1"/>
  <c r="N39" i="1"/>
  <c r="L38" i="1"/>
  <c r="K38" i="1"/>
  <c r="N38" i="1"/>
  <c r="G36" i="1"/>
  <c r="H36" i="1" s="1"/>
  <c r="I36" i="1"/>
  <c r="J36" i="1" s="1"/>
  <c r="N36" i="1"/>
  <c r="G37" i="1"/>
  <c r="H37" i="1" s="1"/>
  <c r="I37" i="1"/>
  <c r="J37" i="1" s="1"/>
  <c r="K37" i="1" l="1"/>
  <c r="L37" i="1"/>
  <c r="N37" i="1"/>
  <c r="K36" i="1"/>
  <c r="L36" i="1"/>
  <c r="X22" i="1"/>
  <c r="Z22" i="1" s="1"/>
  <c r="X21" i="1"/>
  <c r="Z21" i="1" s="1"/>
  <c r="G34" i="1"/>
  <c r="H34" i="1" s="1"/>
  <c r="I34" i="1"/>
  <c r="J34" i="1" s="1"/>
  <c r="G35" i="1"/>
  <c r="H35" i="1" s="1"/>
  <c r="K35" i="1" s="1"/>
  <c r="I35" i="1"/>
  <c r="J35" i="1" s="1"/>
  <c r="N35" i="1" l="1"/>
  <c r="Y22" i="1"/>
  <c r="Y21" i="1"/>
  <c r="K34" i="1"/>
  <c r="L34" i="1"/>
  <c r="L35" i="1"/>
  <c r="N34" i="1"/>
  <c r="P5" i="1" l="1"/>
  <c r="P6" i="1"/>
  <c r="P4" i="1"/>
  <c r="O5" i="1"/>
  <c r="O6" i="1"/>
  <c r="O4" i="1"/>
  <c r="N5" i="1"/>
  <c r="N6" i="1"/>
  <c r="N4" i="1"/>
  <c r="V39" i="1" l="1"/>
  <c r="V38" i="1"/>
  <c r="V40" i="1"/>
  <c r="V41" i="1"/>
  <c r="V36" i="1"/>
  <c r="V37" i="1"/>
  <c r="V34" i="1"/>
  <c r="V35" i="1"/>
  <c r="Q5" i="1"/>
  <c r="Q6" i="1"/>
  <c r="P10" i="1" l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O17" i="1" l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40" i="1" l="1"/>
  <c r="P40" i="1" s="1"/>
  <c r="Q40" i="1" s="1"/>
  <c r="S40" i="1" s="1"/>
  <c r="U40" i="1" s="1"/>
  <c r="O41" i="1"/>
  <c r="P41" i="1" s="1"/>
  <c r="Q41" i="1" s="1"/>
  <c r="O38" i="1"/>
  <c r="P38" i="1" s="1"/>
  <c r="Q38" i="1" s="1"/>
  <c r="R38" i="1" s="1"/>
  <c r="T38" i="1" s="1"/>
  <c r="O39" i="1"/>
  <c r="P39" i="1" s="1"/>
  <c r="Q39" i="1" s="1"/>
  <c r="O37" i="1"/>
  <c r="P37" i="1" s="1"/>
  <c r="Q37" i="1" s="1"/>
  <c r="O36" i="1"/>
  <c r="P36" i="1" s="1"/>
  <c r="Q36" i="1" s="1"/>
  <c r="O35" i="1"/>
  <c r="P35" i="1" s="1"/>
  <c r="Q35" i="1" s="1"/>
  <c r="O34" i="1"/>
  <c r="P34" i="1" s="1"/>
  <c r="Q34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R40" i="1" l="1"/>
  <c r="T40" i="1" s="1"/>
  <c r="X40" i="1" s="1"/>
  <c r="R41" i="1"/>
  <c r="T41" i="1" s="1"/>
  <c r="X41" i="1" s="1"/>
  <c r="S41" i="1"/>
  <c r="U41" i="1" s="1"/>
  <c r="S38" i="1"/>
  <c r="U38" i="1" s="1"/>
  <c r="S39" i="1"/>
  <c r="U39" i="1" s="1"/>
  <c r="R39" i="1"/>
  <c r="T39" i="1" s="1"/>
  <c r="X38" i="1"/>
  <c r="R36" i="1"/>
  <c r="T36" i="1" s="1"/>
  <c r="X36" i="1" s="1"/>
  <c r="S36" i="1"/>
  <c r="U36" i="1" s="1"/>
  <c r="S37" i="1"/>
  <c r="U37" i="1" s="1"/>
  <c r="R37" i="1"/>
  <c r="T37" i="1" s="1"/>
  <c r="S34" i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Y41" i="1" l="1"/>
  <c r="Y40" i="1"/>
  <c r="X39" i="1"/>
  <c r="Y38" i="1"/>
  <c r="Y36" i="1"/>
  <c r="X37" i="1"/>
  <c r="Y35" i="1"/>
  <c r="Y34" i="1"/>
  <c r="Y5" i="1"/>
  <c r="Y8" i="1" s="1"/>
  <c r="X9" i="1"/>
  <c r="Y9" i="1"/>
  <c r="Y39" i="1" l="1"/>
  <c r="Y37" i="1"/>
  <c r="O21" i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X11" i="1" s="1"/>
  <c r="W40" i="1" l="1"/>
  <c r="W41" i="1"/>
  <c r="W38" i="1"/>
  <c r="W39" i="1"/>
  <c r="W37" i="1"/>
  <c r="W36" i="1"/>
  <c r="W35" i="1"/>
  <c r="W34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W21" i="1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E7" i="2" l="1"/>
  <c r="E19" i="2"/>
  <c r="Y28" i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41" i="1" l="1"/>
  <c r="AF41" i="1" s="1"/>
  <c r="AD40" i="1"/>
  <c r="AF40" i="1" s="1"/>
  <c r="AD38" i="1"/>
  <c r="AF38" i="1" s="1"/>
  <c r="AD39" i="1"/>
  <c r="AF39" i="1" s="1"/>
  <c r="AD36" i="1"/>
  <c r="AF36" i="1" s="1"/>
  <c r="AD37" i="1"/>
  <c r="AF37" i="1" s="1"/>
  <c r="AD34" i="1"/>
  <c r="AF34" i="1" s="1"/>
  <c r="AD35" i="1"/>
  <c r="AF35" i="1" s="1"/>
  <c r="AD33" i="1"/>
  <c r="AF33" i="1" s="1"/>
  <c r="AD26" i="1"/>
  <c r="AF26" i="1" s="1"/>
  <c r="AD27" i="1"/>
  <c r="AF27" i="1" s="1"/>
  <c r="AD28" i="1"/>
  <c r="AF28" i="1" s="1"/>
  <c r="AD24" i="1"/>
  <c r="AF24" i="1" s="1"/>
  <c r="AD32" i="1"/>
  <c r="AF32" i="1" s="1"/>
  <c r="AD25" i="1"/>
  <c r="AF25" i="1" s="1"/>
  <c r="AD30" i="1"/>
  <c r="AF30" i="1" s="1"/>
  <c r="AD29" i="1"/>
  <c r="AF29" i="1" s="1"/>
  <c r="AD31" i="1"/>
  <c r="AF31" i="1" s="1"/>
  <c r="AD23" i="1"/>
  <c r="AF23" i="1" s="1"/>
  <c r="AC4" i="1" l="1"/>
  <c r="AC3" i="1"/>
  <c r="AC6" i="1" s="1"/>
  <c r="Z41" i="1" l="1"/>
  <c r="Z40" i="1"/>
  <c r="Z39" i="1"/>
  <c r="Z38" i="1"/>
  <c r="Z36" i="1"/>
  <c r="Z37" i="1"/>
  <c r="Z28" i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AA31" i="1" s="1"/>
  <c r="Z29" i="1"/>
  <c r="AA29" i="1" s="1"/>
  <c r="Z33" i="1"/>
  <c r="AA33" i="1" s="1"/>
  <c r="Z27" i="1"/>
  <c r="AA27" i="1" s="1"/>
  <c r="Z26" i="1"/>
  <c r="Z30" i="1"/>
  <c r="AA30" i="1" s="1"/>
  <c r="AA26" i="1" l="1"/>
  <c r="AC26" i="1" s="1"/>
  <c r="AE26" i="1" s="1"/>
  <c r="AA40" i="1"/>
  <c r="AB40" i="1" s="1"/>
  <c r="AA41" i="1"/>
  <c r="AA39" i="1"/>
  <c r="AB39" i="1" s="1"/>
  <c r="AA38" i="1"/>
  <c r="AA36" i="1"/>
  <c r="AB36" i="1" s="1"/>
  <c r="AA37" i="1"/>
  <c r="AB37" i="1" s="1"/>
  <c r="AA23" i="1"/>
  <c r="AC23" i="1" s="1"/>
  <c r="AE23" i="1" s="1"/>
  <c r="AA22" i="1"/>
  <c r="AC22" i="1"/>
  <c r="AA21" i="1"/>
  <c r="AC21" i="1"/>
  <c r="AB35" i="1"/>
  <c r="AB34" i="1"/>
  <c r="AB32" i="1"/>
  <c r="AB33" i="1"/>
  <c r="AB28" i="1"/>
  <c r="AB27" i="1"/>
  <c r="AB29" i="1"/>
  <c r="AB24" i="1"/>
  <c r="AB31" i="1"/>
  <c r="AB25" i="1"/>
  <c r="AB30" i="1"/>
  <c r="AB26" i="1" l="1"/>
  <c r="AC41" i="1"/>
  <c r="AE41" i="1" s="1"/>
  <c r="AB41" i="1"/>
  <c r="AC40" i="1"/>
  <c r="AE40" i="1" s="1"/>
  <c r="AC38" i="1"/>
  <c r="AE38" i="1" s="1"/>
  <c r="AB38" i="1"/>
  <c r="AC39" i="1"/>
  <c r="AE39" i="1" s="1"/>
  <c r="AC36" i="1"/>
  <c r="AE36" i="1" s="1"/>
  <c r="AC37" i="1"/>
  <c r="AE37" i="1" s="1"/>
  <c r="AC33" i="1"/>
  <c r="AE33" i="1" s="1"/>
  <c r="AC24" i="1"/>
  <c r="AE24" i="1" s="1"/>
  <c r="AC35" i="1"/>
  <c r="AE35" i="1" s="1"/>
  <c r="AC34" i="1"/>
  <c r="AE34" i="1" s="1"/>
  <c r="AC27" i="1"/>
  <c r="AE27" i="1" s="1"/>
  <c r="AC25" i="1"/>
  <c r="AE25" i="1" s="1"/>
  <c r="AC31" i="1"/>
  <c r="AE31" i="1" s="1"/>
  <c r="AC32" i="1"/>
  <c r="AE32" i="1" s="1"/>
  <c r="AC29" i="1"/>
  <c r="AE29" i="1" s="1"/>
  <c r="AC30" i="1"/>
  <c r="AE30" i="1" s="1"/>
  <c r="AC28" i="1"/>
  <c r="AE28" i="1" s="1"/>
  <c r="AB23" i="1"/>
  <c r="AC9" i="1" l="1"/>
  <c r="AI39" i="1"/>
  <c r="AJ39" i="1" s="1"/>
  <c r="AI38" i="1"/>
  <c r="AJ38" i="1" s="1"/>
  <c r="AI41" i="1"/>
  <c r="AJ41" i="1" s="1"/>
  <c r="AI40" i="1"/>
  <c r="AJ40" i="1" s="1"/>
  <c r="AI36" i="1"/>
  <c r="AJ36" i="1" s="1"/>
  <c r="AI37" i="1"/>
  <c r="AJ37" i="1" s="1"/>
  <c r="AI34" i="1"/>
  <c r="AJ34" i="1" s="1"/>
  <c r="AI35" i="1"/>
  <c r="AJ35" i="1" s="1"/>
  <c r="AC10" i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<sst xmlns="http://schemas.openxmlformats.org/spreadsheetml/2006/main" count="106" uniqueCount="92">
  <si>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</si>
  <si>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</si>
  <si>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</si>
  <si>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</si>
  <si>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</si>
  <si>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</si>
  <si>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</si>
  <si>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</si>
  <si>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</si>
  <si>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</si>
  <si>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</si>
  <si>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</si>
  <si>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</si>
  <si>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</si>
  <si>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</si>
  <si>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</si>
  <si>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</si>
  <si>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</si>
  <si>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</si>
  <si>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</si>
  <si>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</si>
  <si>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</si>
  <si>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</si>
  <si>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</si>
  <si>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</si>
  <si>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</si>
  <si>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</si>
  <si>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</si>
  <si>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</si>
  <si>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</si>
  <si>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</si>
  <si>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</si>
  <si>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</si>
  <si>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</si>
  <si>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</si>
  <si>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</si>
  <si>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</si>
  <si>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</si>
  <si>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</si>
  <si>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</si>
  <si>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</si>
  <si>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</si>
  <si>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</si>
  <si>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</si>
  <si>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</si>
  <si>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</si>
  <si>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</si>
  <si>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</si>
  <si>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</si>
  <si>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</si>
  <si>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</si>
  <si>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</si>
  <si>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</si>
  <si>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</si>
  <si>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</si>
  <si>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</si>
  <si>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</si>
  <si>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</si>
  <si>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</si>
  <si>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</si>
  <si>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</si>
  <si>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</si>
  <si>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</si>
  <si>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</si>
  <si>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</si>
  <si>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</si>
  <si>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</si>
  <si>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</si>
  <si>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</si>
  <si>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PT1</t>
  </si>
  <si>
    <t>PT2</t>
  </si>
  <si>
    <t>ft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</si>
  <si>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</si>
  <si>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</si>
  <si>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</si>
  <si>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</si>
  <si>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</si>
  <si>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</si>
  <si>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</si>
  <si>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</si>
  <si>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</si>
  <si>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</si>
  <si>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</si>
  <si>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WS</t>
  </si>
  <si>
    <t>BS/ZERO</t>
  </si>
  <si>
    <t xml:space="preserve">BS </t>
  </si>
  <si>
    <t>Damaged</t>
  </si>
  <si>
    <t>DSS7</t>
  </si>
  <si>
    <t>1,1538208.393,3888484.914,3451.486,</t>
  </si>
  <si>
    <t>2,1538119.465,3888527.945,3452.228,</t>
  </si>
  <si>
    <t>3,1538147.715,3888457.569,3450.431,</t>
  </si>
  <si>
    <t>DBL PT#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</si>
</sst>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Calculations!$AH$23:$AH$61</c:f>
              <c:numCache>
                <c:formatCode>General</c:formatCode>
                <c:ptCount val="39"/>
                <c:pt idx="0">
                  <c:v>0</c:v>
                </c:pt>
                <c:pt idx="1">
                  <c:v>33.619999999999997</c:v>
                </c:pt>
                <c:pt idx="2">
                  <c:v>65.09</c:v>
                </c:pt>
                <c:pt idx="3">
                  <c:v>70</c:v>
                </c:pt>
                <c:pt idx="4">
                  <c:v>78.22</c:v>
                </c:pt>
                <c:pt idx="5">
                  <c:v>79.319999999999993</c:v>
                </c:pt>
                <c:pt idx="6">
                  <c:v>82.78</c:v>
                </c:pt>
                <c:pt idx="7">
                  <c:v>105.91</c:v>
                </c:pt>
                <c:pt idx="8">
                  <c:v>126.89</c:v>
                </c:pt>
                <c:pt idx="9">
                  <c:v>130.49</c:v>
                </c:pt>
                <c:pt idx="10">
                  <c:v>131.94</c:v>
                </c:pt>
                <c:pt idx="11">
                  <c:v>154.19</c:v>
                </c:pt>
                <c:pt idx="12">
                  <c:v>196.04</c:v>
                </c:pt>
                <c:pt idx="13">
                  <c:v>254.23</c:v>
                </c:pt>
              </c:numCache>
            </c:numRef>
          </c:xVal>
          <c:yVal>
            <c:numRef>
              <c:f>Calculations!$AI$23:$AI$61</c:f>
              <c:numCache>
                <c:formatCode>General</c:formatCode>
                <c:ptCount val="39"/>
                <c:pt idx="0">
                  <c:v>5.38</c:v>
                </c:pt>
                <c:pt idx="1">
                  <c:v>4.07</c:v>
                </c:pt>
                <c:pt idx="2">
                  <c:v>4.54</c:v>
                </c:pt>
                <c:pt idx="3">
                  <c:v>5.27</c:v>
                </c:pt>
                <c:pt idx="4">
                  <c:v>3.17</c:v>
                </c:pt>
                <c:pt idx="5">
                  <c:v>1.87</c:v>
                </c:pt>
                <c:pt idx="6">
                  <c:v>0.75</c:v>
                </c:pt>
                <c:pt idx="7">
                  <c:v>0</c:v>
                </c:pt>
                <c:pt idx="8">
                  <c:v>0.6</c:v>
                </c:pt>
                <c:pt idx="9">
                  <c:v>1.82</c:v>
                </c:pt>
                <c:pt idx="10">
                  <c:v>3.56</c:v>
                </c:pt>
                <c:pt idx="11">
                  <c:v>4.8</c:v>
                </c:pt>
                <c:pt idx="12">
                  <c:v>5.86</c:v>
                </c:pt>
                <c:pt idx="13">
                  <c:v>8.7100000000000009</c:v>
                </c:pt>
                <c:pt idx="14">
                  <c:v>5.38</c:v>
                </c:pt>
                <c:pt idx="15">
                  <c:v>5.38</c:v>
                </c:pt>
                <c:pt idx="16">
                  <c:v>5.38</c:v>
                </c:pt>
                <c:pt idx="17">
                  <c:v>5.38</c:v>
                </c:pt>
                <c:pt idx="18">
                  <c:v>5.38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67392"/>
        <c:axId val="106268928"/>
      </c:scatterChart>
      <c:valAx>
        <c:axId val="10626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68928"/>
        <c:crosses val="autoZero"/>
        <c:crossBetween val="midCat"/>
      </c:valAx>
      <c:valAx>
        <c:axId val="10626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267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Calculations!$R$25:$R$39</c:f>
              <c:numCache>
                <c:formatCode>0.00</c:formatCode>
                <c:ptCount val="15"/>
                <c:pt idx="0">
                  <c:v>-19.578807929724281</c:v>
                </c:pt>
                <c:pt idx="1">
                  <c:v>-35.510261278537349</c:v>
                </c:pt>
                <c:pt idx="2">
                  <c:v>-50.503867914432185</c:v>
                </c:pt>
                <c:pt idx="3">
                  <c:v>-52.647078640204761</c:v>
                </c:pt>
                <c:pt idx="4">
                  <c:v>-54.828553878501531</c:v>
                </c:pt>
                <c:pt idx="5">
                  <c:v>-56.520119756663334</c:v>
                </c:pt>
                <c:pt idx="6">
                  <c:v>-57.277458820248626</c:v>
                </c:pt>
                <c:pt idx="7">
                  <c:v>-58.838597666220153</c:v>
                </c:pt>
                <c:pt idx="8">
                  <c:v>-71.342923277191602</c:v>
                </c:pt>
                <c:pt idx="9">
                  <c:v>-81.973484654704365</c:v>
                </c:pt>
                <c:pt idx="10">
                  <c:v>-83.643883743204739</c:v>
                </c:pt>
                <c:pt idx="11">
                  <c:v>-84.219220393431598</c:v>
                </c:pt>
                <c:pt idx="12">
                  <c:v>-96.605473271641685</c:v>
                </c:pt>
                <c:pt idx="13">
                  <c:v>-116.75793210333423</c:v>
                </c:pt>
                <c:pt idx="14">
                  <c:v>-168.39739374180908</c:v>
                </c:pt>
              </c:numCache>
            </c:numRef>
          </c:xVal>
          <c:yVal>
            <c:numRef>
              <c:f>Calculations!$S$25:$S$39</c:f>
              <c:numCache>
                <c:formatCode>0.00</c:formatCode>
                <c:ptCount val="15"/>
                <c:pt idx="0">
                  <c:v>33.684330501559742</c:v>
                </c:pt>
                <c:pt idx="1">
                  <c:v>63.547313666229627</c:v>
                </c:pt>
                <c:pt idx="2">
                  <c:v>91.451644937490144</c:v>
                </c:pt>
                <c:pt idx="3">
                  <c:v>95.943861617119452</c:v>
                </c:pt>
                <c:pt idx="4">
                  <c:v>99.262251086230307</c:v>
                </c:pt>
                <c:pt idx="5">
                  <c:v>103.26189177776288</c:v>
                </c:pt>
                <c:pt idx="6">
                  <c:v>104.07098417703875</c:v>
                </c:pt>
                <c:pt idx="7">
                  <c:v>107.20631372115923</c:v>
                </c:pt>
                <c:pt idx="8">
                  <c:v>126.67746298781698</c:v>
                </c:pt>
                <c:pt idx="9">
                  <c:v>144.84126093727355</c:v>
                </c:pt>
                <c:pt idx="10">
                  <c:v>148.06558072697152</c:v>
                </c:pt>
                <c:pt idx="11">
                  <c:v>149.43063753261117</c:v>
                </c:pt>
                <c:pt idx="12">
                  <c:v>167.92235528027922</c:v>
                </c:pt>
                <c:pt idx="13">
                  <c:v>204.87310154096929</c:v>
                </c:pt>
                <c:pt idx="14">
                  <c:v>239.86148379221629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11904"/>
        <c:axId val="106414464"/>
      </c:scatterChart>
      <c:valAx>
        <c:axId val="1064119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6414464"/>
        <c:crosses val="autoZero"/>
        <c:crossBetween val="midCat"/>
      </c:valAx>
      <c:valAx>
        <c:axId val="1064144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411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Calculations!$Z$21:$Z$41</c:f>
              <c:numCache>
                <c:formatCode>0.00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3888472.5498830006</c:v>
                </c:pt>
                <c:pt idx="5">
                  <c:v>3888453.3723205277</c:v>
                </c:pt>
                <c:pt idx="6">
                  <c:v>3888435.4177285708</c:v>
                </c:pt>
                <c:pt idx="7">
                  <c:v>3888432.6153423204</c:v>
                </c:pt>
                <c:pt idx="8">
                  <c:v>#N/A</c:v>
                </c:pt>
                <c:pt idx="9">
                  <c:v>3888427.9259080067</c:v>
                </c:pt>
                <c:pt idx="10">
                  <c:v>3888427.3003146667</c:v>
                </c:pt>
                <c:pt idx="11">
                  <c:v>3888425.323146922</c:v>
                </c:pt>
                <c:pt idx="12">
                  <c:v>3888412.1301198434</c:v>
                </c:pt>
                <c:pt idx="13">
                  <c:v>3888400.1595105259</c:v>
                </c:pt>
                <c:pt idx="14">
                  <c:v>3888398.1050852118</c:v>
                </c:pt>
                <c:pt idx="15">
                  <c:v>3888397.2782309274</c:v>
                </c:pt>
                <c:pt idx="16">
                  <c:v>3888384.5825466244</c:v>
                </c:pt>
                <c:pt idx="17">
                  <c:v>3888360.7101891059</c:v>
                </c:pt>
                <c:pt idx="18">
                  <c:v>3888327.5091705625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Calculations!$AA$21:$AA$41</c:f>
              <c:numCache>
                <c:formatCode>0.00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1538247.0889057806</c:v>
                </c:pt>
                <c:pt idx="5">
                  <c:v>1538274.6970286332</c:v>
                </c:pt>
                <c:pt idx="6">
                  <c:v>1538300.5445565041</c:v>
                </c:pt>
                <c:pt idx="7">
                  <c:v>1538304.5788869346</c:v>
                </c:pt>
                <c:pt idx="8">
                  <c:v>#N/A</c:v>
                </c:pt>
                <c:pt idx="9">
                  <c:v>1538311.3298219834</c:v>
                </c:pt>
                <c:pt idx="10">
                  <c:v>1538312.230429545</c:v>
                </c:pt>
                <c:pt idx="11">
                  <c:v>1538315.0767709445</c:v>
                </c:pt>
                <c:pt idx="12">
                  <c:v>1538334.0695242146</c:v>
                </c:pt>
                <c:pt idx="13">
                  <c:v>1538351.3024782529</c:v>
                </c:pt>
                <c:pt idx="14">
                  <c:v>1538354.2600400671</c:v>
                </c:pt>
                <c:pt idx="15">
                  <c:v>1538355.4503839752</c:v>
                </c:pt>
                <c:pt idx="16">
                  <c:v>1538373.7271598913</c:v>
                </c:pt>
                <c:pt idx="17">
                  <c:v>1538408.0939351311</c:v>
                </c:pt>
                <c:pt idx="18">
                  <c:v>1538455.89030133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2688"/>
        <c:axId val="107537536"/>
      </c:scatterChart>
      <c:valAx>
        <c:axId val="1075226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7537536"/>
        <c:crosses val="autoZero"/>
        <c:crossBetween val="midCat"/>
      </c:valAx>
      <c:valAx>
        <c:axId val="1075375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52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Calculations!$L$52:$L$78</c:f>
              <c:numCache>
                <c:formatCode>General</c:formatCode>
                <c:ptCount val="27"/>
              </c:numCache>
            </c:numRef>
          </c:xVal>
          <c:yVal>
            <c:numRef>
              <c:f>Calculations!$M$52:$M$78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(Calculations!$L$50:$L$51,Calculations!$L$79:$L$80)</c:f>
              <c:numCache>
                <c:formatCode>General</c:formatCode>
                <c:ptCount val="4"/>
              </c:numCache>
            </c:numRef>
          </c:xVal>
          <c:yVal>
            <c:numRef>
              <c:f>(Calculations!$M$50:$M$51,Calculations!$M$79:$M$80)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4416"/>
        <c:axId val="121965952"/>
      </c:scatterChart>
      <c:valAx>
        <c:axId val="12196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965952"/>
        <c:crosses val="autoZero"/>
        <c:crossBetween val="midCat"/>
      </c:valAx>
      <c:valAx>
        <c:axId val="121965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19644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599262</xdr:colOff>
      <xdr:row>42</xdr:row>
      <xdr:rowOff>123749</xdr:rowOff>
    </xdr:from>
    <xdr:to>
      <xdr:col>34</xdr:col>
      <xdr:colOff>167833</xdr:colOff>
      <xdr:row>57</xdr:row>
      <xdr:rowOff>9449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705971</xdr:colOff>
      <xdr:row>43</xdr:row>
      <xdr:rowOff>8988</xdr:rowOff>
    </xdr:from>
    <xdr:to>
      <xdr:col>20</xdr:col>
      <xdr:colOff>654100</xdr:colOff>
      <xdr:row>57</xdr:row>
      <xdr:rowOff>85188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179294</xdr:colOff>
      <xdr:row>42</xdr:row>
      <xdr:rowOff>129988</xdr:rowOff>
    </xdr:from>
    <xdr:to>
      <xdr:col>27</xdr:col>
      <xdr:colOff>392206</xdr:colOff>
      <xdr:row>57</xdr:row>
      <xdr:rowOff>15688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0"/>
  <sheetViews>
    <sheetView tabSelected="1" topLeftCell="L26" zoomScale="85" zoomScaleNormal="85" workbookViewId="0">
      <selection activeCell="AJ23" sqref="AJ23:AJ36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55" t="s">
        <v>87</v>
      </c>
      <c r="B1" s="56"/>
      <c r="C1" s="51">
        <v>40839</v>
      </c>
      <c r="D1" s="44"/>
      <c r="E1" s="44"/>
      <c r="F1" s="44"/>
      <c r="M1" s="61" t="s">
        <v>21</v>
      </c>
      <c r="N1" s="61"/>
      <c r="O1" s="61"/>
      <c r="P1" s="61"/>
      <c r="Q1" s="61"/>
      <c r="R1" s="22"/>
      <c r="W1" s="58" t="s">
        <v>34</v>
      </c>
      <c r="X1" s="58"/>
      <c r="Y1" s="58"/>
      <c r="Z1" s="2"/>
      <c r="AA1" s="58" t="s">
        <v>56</v>
      </c>
      <c r="AB1" s="58"/>
      <c r="AC1" s="58"/>
    </row>
    <row r="2" spans="1:29" x14ac:dyDescent="0.25">
      <c r="A2" s="55" t="s">
        <v>16</v>
      </c>
      <c r="B2" s="56"/>
      <c r="C2" s="38">
        <v>5.0521000000000003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55" t="s">
        <v>66</v>
      </c>
      <c r="B3" s="56"/>
      <c r="C3" s="38" t="s">
        <v>71</v>
      </c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 ca="1">SLOPE(yB,xB)</f>
        <v>-1.4396054186395946</v>
      </c>
    </row>
    <row r="4" spans="1:29" ht="18" x14ac:dyDescent="0.35">
      <c r="A4" s="55" t="s">
        <v>67</v>
      </c>
      <c r="B4" s="56"/>
      <c r="C4" s="38" t="s">
        <v>71</v>
      </c>
      <c r="D4" s="44"/>
      <c r="E4" s="44"/>
      <c r="F4" s="44"/>
      <c r="M4" s="22">
        <v>0</v>
      </c>
      <c r="N4" s="20">
        <f>VALUE(MID(C10,FIND(",",C10,3)+1,FIND(",",C10,15)-FIND(",",C10,3)-1))</f>
        <v>3888484.9139999999</v>
      </c>
      <c r="O4" s="20">
        <f>VALUE(MID(C10,FIND(",",C10,1)+1,FIND(",",C10,5)-FIND(",",C10,1)-1))</f>
        <v>1538208.3929999999</v>
      </c>
      <c r="P4" s="20">
        <f>VALUE(MID(C10,FIND(",",C10,17)+1,FIND(",",C10,27)-FIND(",",C10,17)-1))</f>
        <v>3451.4859999999999</v>
      </c>
      <c r="Q4" s="23"/>
      <c r="R4" s="22"/>
      <c r="W4" s="27"/>
      <c r="X4" s="20">
        <f ca="1">VALUE(OFFSET($P$3,MATCH($O$10,$M$4:$M$6,0),0))</f>
        <v>3452.2280000000001</v>
      </c>
      <c r="Y4" s="20">
        <f ca="1">OFFSET($P$3,MATCH($Q$10,$M$4:$M$6,0),0)</f>
        <v>3450.431</v>
      </c>
      <c r="Z4" s="2"/>
      <c r="AA4" s="26" t="s">
        <v>41</v>
      </c>
      <c r="AB4" s="26" t="s">
        <v>54</v>
      </c>
      <c r="AC4" s="28">
        <f ca="1">INTERCEPT(yB,xB)</f>
        <v>7136113.2419486698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>
        <f t="shared" ref="N5:N6" si="0">VALUE(MID(C11,FIND(",",C11,3)+1,FIND(",",C11,15)-FIND(",",C11,3)-1))</f>
        <v>3888527.9449999998</v>
      </c>
      <c r="O5" s="20">
        <f t="shared" ref="O5:O6" si="1">VALUE(MID(C11,FIND(",",C11,1)+1,FIND(",",C11,5)-FIND(",",C11,1)-1))</f>
        <v>1538119.4650000001</v>
      </c>
      <c r="P5" s="20">
        <f t="shared" ref="P5:P6" si="2">VALUE(MID(C11,FIND(",",C11,17)+1,FIND(",",C11,27)-FIND(",",C11,17)-1))</f>
        <v>3452.2280000000001</v>
      </c>
      <c r="Q5" s="24">
        <f>DEGREES(ATAN2(Old_Y1-Old_Y0,Old_X1-Old_X0))+IF(Old_X1-Old_X0&lt;0,360)</f>
        <v>154.17831755957138</v>
      </c>
      <c r="R5" s="22"/>
      <c r="W5" s="21"/>
      <c r="X5" s="20">
        <f ca="1">VALUE(OFFSET($V$20,MATCH($O11,$A$21:$A$46,0),0))</f>
        <v>3451.5350732599504</v>
      </c>
      <c r="Y5" s="20">
        <f ca="1">OFFSET($V$20,MATCH($Q11,$A$21:$A$46,0),0)</f>
        <v>3447.6647126137968</v>
      </c>
      <c r="Z5" s="2"/>
      <c r="AA5" s="26"/>
      <c r="AB5" s="26"/>
      <c r="AC5" s="20"/>
    </row>
    <row r="6" spans="1:29" ht="18" x14ac:dyDescent="0.35">
      <c r="A6" s="57" t="s">
        <v>17</v>
      </c>
      <c r="B6" s="57"/>
      <c r="C6" s="38">
        <v>5</v>
      </c>
      <c r="D6" s="4"/>
      <c r="E6" s="44"/>
      <c r="F6" s="44"/>
      <c r="M6" s="22">
        <v>2</v>
      </c>
      <c r="N6" s="20">
        <f t="shared" si="0"/>
        <v>3888457.5690000001</v>
      </c>
      <c r="O6" s="20">
        <f t="shared" si="1"/>
        <v>1538147.7150000001</v>
      </c>
      <c r="P6" s="20">
        <f t="shared" si="2"/>
        <v>3450.431</v>
      </c>
      <c r="Q6" s="24">
        <f>DEGREES(ATAN2(Old_Y2-Old_Y0,Old_X2-Old_X0))+IF(Old_X2-Old_X0&lt;0,360)</f>
        <v>204.25906896226996</v>
      </c>
      <c r="R6" s="22"/>
      <c r="W6" s="21"/>
      <c r="X6" s="20">
        <f ca="1">VALUE(OFFSET($V$20,MATCH($O12,$A$21:$A$56,0),0))</f>
        <v>3451.5326974413842</v>
      </c>
      <c r="Y6" s="20">
        <f ca="1">VALUE(OFFSET($V$20,MATCH($O12,$A$21:$A$56,0),0))</f>
        <v>3451.5326974413842</v>
      </c>
      <c r="Z6" s="5"/>
      <c r="AA6" s="26" t="s">
        <v>42</v>
      </c>
      <c r="AB6" s="21" t="s">
        <v>55</v>
      </c>
      <c r="AC6" s="20">
        <f ca="1">-1/mA</f>
        <v>0.69463478467939144</v>
      </c>
    </row>
    <row r="7" spans="1:29" x14ac:dyDescent="0.25">
      <c r="A7" s="57" t="s">
        <v>18</v>
      </c>
      <c r="B7" s="57"/>
      <c r="C7" s="38">
        <v>18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6"/>
      <c r="D8" s="4"/>
      <c r="E8" s="44"/>
      <c r="F8" s="44"/>
      <c r="M8" s="22"/>
      <c r="N8" s="20"/>
      <c r="O8" s="58" t="s">
        <v>24</v>
      </c>
      <c r="P8" s="58"/>
      <c r="Q8" s="58" t="s">
        <v>25</v>
      </c>
      <c r="R8" s="58"/>
      <c r="W8" s="21" t="s">
        <v>35</v>
      </c>
      <c r="X8" s="20">
        <f ca="1">X5-X4</f>
        <v>-0.69292674004964283</v>
      </c>
      <c r="Y8" s="20">
        <f ca="1">Y5-Y4</f>
        <v>-2.7662873862032029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>
        <f ca="1">X6-X4</f>
        <v>-0.69530255861582191</v>
      </c>
      <c r="Y9" s="20">
        <f ca="1">Y6-Y4</f>
        <v>1.1016974413842036</v>
      </c>
      <c r="AA9" s="31" t="s">
        <v>49</v>
      </c>
      <c r="AB9" s="31"/>
      <c r="AC9" s="20">
        <f ca="1">AVERAGE(DfromL)</f>
        <v>4.0931534468416544</v>
      </c>
    </row>
    <row r="10" spans="1:29" s="16" customFormat="1" x14ac:dyDescent="0.25">
      <c r="A10" s="53"/>
      <c r="B10" s="48"/>
      <c r="C10" s="35" t="s">
        <v>88</v>
      </c>
      <c r="D10" s="36"/>
      <c r="E10" s="37"/>
      <c r="F10" s="47"/>
      <c r="M10" s="62" t="s">
        <v>22</v>
      </c>
      <c r="N10" s="62"/>
      <c r="O10" s="32">
        <v>1</v>
      </c>
      <c r="P10" s="20">
        <f ca="1">OFFSET($Q$3,MATCH($O$10,$M$4:$M$6,0),0)</f>
        <v>154.17831755957138</v>
      </c>
      <c r="Q10" s="32">
        <v>2</v>
      </c>
      <c r="R10" s="20">
        <f ca="1">OFFSET($Q$3,MATCH($O$10,$M$4:$M$6,0),0)</f>
        <v>154.17831755957138</v>
      </c>
      <c r="W10" s="22"/>
      <c r="X10" s="22"/>
      <c r="Y10" s="22"/>
      <c r="AA10" s="31" t="s">
        <v>50</v>
      </c>
      <c r="AB10" s="31"/>
      <c r="AC10" s="20">
        <f ca="1">_xlfn.STDEV.P(DfromL)</f>
        <v>3.756849258856322</v>
      </c>
    </row>
    <row r="11" spans="1:29" s="16" customFormat="1" x14ac:dyDescent="0.25">
      <c r="A11" s="14"/>
      <c r="B11" s="48"/>
      <c r="C11" s="35" t="s">
        <v>89</v>
      </c>
      <c r="D11" s="36"/>
      <c r="E11" s="37"/>
      <c r="F11" s="47"/>
      <c r="M11" s="58" t="s">
        <v>31</v>
      </c>
      <c r="N11" s="58"/>
      <c r="O11" s="32">
        <v>1</v>
      </c>
      <c r="P11" s="20">
        <f ca="1">OFFSET($N$20,MATCH($O11,$A$21:$A$46,0),0)</f>
        <v>0</v>
      </c>
      <c r="Q11" s="32">
        <v>2</v>
      </c>
      <c r="R11" s="20">
        <f ca="1">OFFSET($N$20,MATCH($Q11,$A$21:$A$46,0),0)</f>
        <v>52.453611111111108</v>
      </c>
      <c r="W11" s="21" t="s">
        <v>37</v>
      </c>
      <c r="X11" s="20">
        <f ca="1">AVERAGE(X8:Y9)</f>
        <v>-0.76320481087111602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 t="s">
        <v>90</v>
      </c>
      <c r="D12" s="36"/>
      <c r="E12" s="37"/>
      <c r="F12" s="47"/>
      <c r="M12" s="58" t="s">
        <v>30</v>
      </c>
      <c r="N12" s="58"/>
      <c r="O12" s="32">
        <v>19</v>
      </c>
      <c r="P12" s="20">
        <f ca="1">OFFSET($N$20,MATCH($O12,$A$21:$A$56,0),0)</f>
        <v>359.98222222222222</v>
      </c>
      <c r="Q12" s="32">
        <v>20</v>
      </c>
      <c r="R12" s="20">
        <f ca="1">OFFSET($N$20,MATCH($Q12,$A$21:$A$46,0),0)</f>
        <v>52.446666666666673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 ca="1">MIN(Zs)</f>
        <v>3432.265853733184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8" t="s">
        <v>32</v>
      </c>
      <c r="N14" s="58"/>
      <c r="O14" s="22"/>
      <c r="P14" s="20">
        <f ca="1">P10-P11+IF(P11&gt;P10,360)</f>
        <v>154.17831755957138</v>
      </c>
      <c r="Q14" s="20"/>
      <c r="R14" s="20">
        <f ca="1">R10-R11+IF(R11&gt;R10,360)</f>
        <v>101.72470644846027</v>
      </c>
      <c r="W14" s="20"/>
      <c r="X14" s="20"/>
      <c r="Y14" s="20"/>
      <c r="AA14" s="20"/>
      <c r="AB14" s="20"/>
      <c r="AC14" s="20"/>
    </row>
    <row r="15" spans="1:29" x14ac:dyDescent="0.25">
      <c r="A15" s="54"/>
      <c r="B15" s="48"/>
      <c r="C15" s="48"/>
      <c r="D15" s="4"/>
      <c r="E15" s="44"/>
      <c r="F15" s="44"/>
      <c r="M15" s="58" t="s">
        <v>33</v>
      </c>
      <c r="N15" s="58"/>
      <c r="O15" s="22"/>
      <c r="P15" s="20">
        <f ca="1">P10-P12+IF(P12&gt;P10,360)</f>
        <v>154.19609533734916</v>
      </c>
      <c r="Q15" s="20"/>
      <c r="R15" s="20">
        <f ca="1">R10-R12+IF(R12&gt;R10,360)</f>
        <v>101.73165089290471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8" t="s">
        <v>39</v>
      </c>
      <c r="N17" s="58"/>
      <c r="O17" s="20">
        <f ca="1">AVERAGE(P14:P15,R14:R15)</f>
        <v>127.95769255957138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9" t="s">
        <v>20</v>
      </c>
      <c r="U19" s="59"/>
      <c r="X19" s="60" t="s">
        <v>45</v>
      </c>
      <c r="Y19" s="60"/>
      <c r="Z19" s="60" t="s">
        <v>46</v>
      </c>
      <c r="AA19" s="60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82</v>
      </c>
      <c r="H20" s="12" t="s">
        <v>76</v>
      </c>
      <c r="I20" s="12" t="s">
        <v>81</v>
      </c>
      <c r="J20" s="12" t="s">
        <v>80</v>
      </c>
      <c r="K20" s="3" t="s">
        <v>74</v>
      </c>
      <c r="L20" s="3" t="s">
        <v>75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79</v>
      </c>
      <c r="R20" s="19" t="s">
        <v>77</v>
      </c>
      <c r="S20" s="19" t="s">
        <v>78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72</v>
      </c>
      <c r="AF20" s="19" t="s">
        <v>73</v>
      </c>
      <c r="AG20" s="19"/>
      <c r="AH20" s="19"/>
      <c r="AI20" s="19"/>
    </row>
    <row r="21" spans="1:36" x14ac:dyDescent="0.25">
      <c r="A21" s="44">
        <v>1</v>
      </c>
      <c r="B21" s="48">
        <v>0</v>
      </c>
      <c r="C21" s="48">
        <v>3.7523495370370372</v>
      </c>
      <c r="D21" s="44">
        <v>98.384</v>
      </c>
      <c r="E21" s="44">
        <v>4.9062000000000001</v>
      </c>
      <c r="F21" s="49" t="s">
        <v>84</v>
      </c>
      <c r="G21" s="43">
        <f>C21*24</f>
        <v>90.05638888888889</v>
      </c>
      <c r="H21" s="43">
        <f>RADIANS(G21)</f>
        <v>1.571780498567549</v>
      </c>
      <c r="I21" s="43">
        <f t="shared" ref="I21:I33" si="3">B21*24</f>
        <v>0</v>
      </c>
      <c r="J21" s="39">
        <f>RADIANS(I21)</f>
        <v>0</v>
      </c>
      <c r="K21" s="39">
        <f>D21*SIN(H21)</f>
        <v>98.383952352923956</v>
      </c>
      <c r="L21" s="15">
        <f>D21*COS(H21)</f>
        <v>-9.682674004966009E-2</v>
      </c>
      <c r="M21" s="13"/>
      <c r="N21" s="16">
        <f t="shared" ref="N21:N33" si="4">I21+M21</f>
        <v>0</v>
      </c>
      <c r="O21" s="16">
        <f ca="1">$O$17</f>
        <v>127.95769255957138</v>
      </c>
      <c r="P21" s="16">
        <f ca="1">SUM(N21,O21)</f>
        <v>127.95769255957138</v>
      </c>
      <c r="Q21" s="16">
        <f ca="1">RADIANS(P21)</f>
        <v>2.2332830384191711</v>
      </c>
      <c r="R21" s="16">
        <f t="shared" ref="R21:R33" ca="1" si="5">K21*SIN(Q21)</f>
        <v>77.572317328057039</v>
      </c>
      <c r="S21" s="16">
        <f t="shared" ref="S21:S33" ca="1" si="6">K21*COS(Q21)</f>
        <v>-60.51394603674126</v>
      </c>
      <c r="T21" s="13">
        <f t="shared" ref="T21:T33" ca="1" si="7">Old_X0+R21</f>
        <v>3888562.4863173277</v>
      </c>
      <c r="U21" s="13">
        <f t="shared" ref="U21:U33" ca="1" si="8">Old_Y0+S21</f>
        <v>1538147.8790539631</v>
      </c>
      <c r="V21" s="16">
        <f t="shared" ref="V21:V33" si="9">Old_Z0+HI+L21-E21</f>
        <v>3451.5350732599504</v>
      </c>
      <c r="W21" s="16">
        <f t="shared" ref="W21:W33" ca="1" si="10">IF(ISNUMBER(T21),V21+dZ,"")</f>
        <v>3450.7718684490792</v>
      </c>
      <c r="X21" s="16" t="str">
        <f t="shared" ref="X21:X41" si="11">IF(AND(A21&gt;=CS_Start,A21&lt;=CS_End),IF(OR(LEFT(UPPER(F21))="D"),"",T21),"")</f>
        <v/>
      </c>
      <c r="Y21" s="16" t="str">
        <f>IF(ISNUMBER(X21),U21,"")</f>
        <v/>
      </c>
      <c r="Z21" s="16" t="e">
        <f t="shared" ref="Z21:Z41" si="12">IF(X21="",NA(),VALUE((-mB*X21+Y21-bA)/(mA-mB)))</f>
        <v>#N/A</v>
      </c>
      <c r="AA21" s="16" t="e">
        <f t="shared" ref="AA21:AA41" si="13">IF(ISNA(Z21),NA(),VALUE(mA*Z21+bA))</f>
        <v>#N/A</v>
      </c>
      <c r="AB21" s="16" t="str">
        <f>IF(ISNUMBER(X21),SQRT((X21-Z21)^2+(Y21-AA21)^2),"")</f>
        <v/>
      </c>
      <c r="AC21" s="16" t="str">
        <f ca="1">IF(ISNUMBER(Z21),SQRT(($Z21-OFFSET($Z$20,MATCH(CS_Start,$A$21:$A$46,0),0))^2+($AA21-OFFSET($AA$20,MATCH(CS_Start,$A$21:$A$46,0),0))^2),"")</f>
        <v/>
      </c>
      <c r="AD21" s="16" t="str">
        <f t="shared" ref="AD21:AD23" si="14">IF(ISNUMBER(X21),W21-Min_Z,"")</f>
        <v/>
      </c>
    </row>
    <row r="22" spans="1:36" x14ac:dyDescent="0.25">
      <c r="A22" s="44">
        <v>2</v>
      </c>
      <c r="B22" s="48">
        <v>2.1855671296296295</v>
      </c>
      <c r="C22" s="48">
        <v>3.8900694444444444</v>
      </c>
      <c r="D22" s="44">
        <v>67.655000000000001</v>
      </c>
      <c r="E22" s="44">
        <v>4.9062000000000001</v>
      </c>
      <c r="F22" s="49" t="s">
        <v>85</v>
      </c>
      <c r="G22" s="43">
        <f t="shared" ref="G22:G33" si="15">C22*24</f>
        <v>93.361666666666665</v>
      </c>
      <c r="H22" s="43">
        <f t="shared" ref="H22:H33" si="16">RADIANS(G22)</f>
        <v>1.6294684784827727</v>
      </c>
      <c r="I22" s="43">
        <f t="shared" si="3"/>
        <v>52.453611111111108</v>
      </c>
      <c r="J22" s="39">
        <f t="shared" ref="J22:J33" si="17">RADIANS(I22)</f>
        <v>0.91548821844957007</v>
      </c>
      <c r="K22" s="39">
        <f t="shared" ref="K22:K33" si="18">D22*SIN(H22)</f>
        <v>67.538584892213677</v>
      </c>
      <c r="L22" s="15">
        <f t="shared" ref="L22:L33" si="19">D22*COS(H22)</f>
        <v>-3.9671873862029035</v>
      </c>
      <c r="M22" s="13"/>
      <c r="N22" s="16">
        <f t="shared" si="4"/>
        <v>52.453611111111108</v>
      </c>
      <c r="O22" s="16">
        <f t="shared" ref="O22:O41" ca="1" si="20">$O$17</f>
        <v>127.95769255957138</v>
      </c>
      <c r="P22" s="16">
        <f t="shared" ref="P22:P33" ca="1" si="21">SUM(N22,O22)</f>
        <v>180.41130367068249</v>
      </c>
      <c r="Q22" s="16">
        <f t="shared" ref="Q22:Q33" ca="1" si="22">RADIANS(P22)</f>
        <v>3.1487712568687409</v>
      </c>
      <c r="R22" s="16">
        <f t="shared" ca="1" si="5"/>
        <v>-0.4848285428790714</v>
      </c>
      <c r="S22" s="16">
        <f t="shared" ca="1" si="6"/>
        <v>-67.536844688856789</v>
      </c>
      <c r="T22" s="13">
        <f t="shared" ca="1" si="7"/>
        <v>3888484.429171457</v>
      </c>
      <c r="U22" s="13">
        <f t="shared" ca="1" si="8"/>
        <v>1538140.856155311</v>
      </c>
      <c r="V22" s="16">
        <f t="shared" si="9"/>
        <v>3447.6647126137968</v>
      </c>
      <c r="W22" s="16">
        <f t="shared" ca="1" si="10"/>
        <v>3446.9015078029256</v>
      </c>
      <c r="X22" s="47" t="str">
        <f t="shared" si="11"/>
        <v/>
      </c>
      <c r="Y22" s="47" t="str">
        <f t="shared" ref="Y22:Y35" si="23">IF(ISNUMBER(X22),U22,"")</f>
        <v/>
      </c>
      <c r="Z22" s="47" t="e">
        <f t="shared" si="12"/>
        <v>#N/A</v>
      </c>
      <c r="AA22" s="47" t="e">
        <f t="shared" si="13"/>
        <v>#N/A</v>
      </c>
      <c r="AB22" s="16" t="str">
        <f t="shared" ref="AB22:AB23" si="24">IF(ISNUMBER(X22),SQRT((X22-Z22)^2+(Y22-AA22)^2),"")</f>
        <v/>
      </c>
      <c r="AC22" s="16" t="str">
        <f ca="1">IF(ISNUMBER(Z22),SQRT(($Z22-OFFSET($Z$20,MATCH(CS_Start,$A$21:$A$46,0),0))^2+($AA22-OFFSET($AA$20,MATCH(CS_Start,$A$21:$A$46,0),0))^2),"")</f>
        <v/>
      </c>
      <c r="AD22" s="16" t="str">
        <f t="shared" si="14"/>
        <v/>
      </c>
    </row>
    <row r="23" spans="1:36" x14ac:dyDescent="0.25">
      <c r="A23" s="44">
        <v>3</v>
      </c>
      <c r="B23" s="48">
        <v>4.1264930555555557</v>
      </c>
      <c r="C23" s="48">
        <v>4.0651736111111108</v>
      </c>
      <c r="D23" s="44">
        <v>69.299000000000007</v>
      </c>
      <c r="E23" s="44">
        <v>4.9062000000000001</v>
      </c>
      <c r="F23" s="44" t="s">
        <v>86</v>
      </c>
      <c r="G23" s="43">
        <f t="shared" si="15"/>
        <v>97.564166666666665</v>
      </c>
      <c r="H23" s="43">
        <f t="shared" si="16"/>
        <v>1.7028159402978342</v>
      </c>
      <c r="I23" s="43">
        <f t="shared" si="3"/>
        <v>99.035833333333329</v>
      </c>
      <c r="J23" s="39">
        <f t="shared" si="17"/>
        <v>1.7285013691230176</v>
      </c>
      <c r="K23" s="39">
        <f t="shared" si="18"/>
        <v>68.695964316631176</v>
      </c>
      <c r="L23" s="15">
        <f t="shared" si="19"/>
        <v>-9.1222742563538901</v>
      </c>
      <c r="M23" s="13"/>
      <c r="N23" s="16">
        <f t="shared" si="4"/>
        <v>99.035833333333329</v>
      </c>
      <c r="O23" s="16">
        <f t="shared" ca="1" si="20"/>
        <v>127.95769255957138</v>
      </c>
      <c r="P23" s="16">
        <f t="shared" ca="1" si="21"/>
        <v>226.9935258929047</v>
      </c>
      <c r="Q23" s="16">
        <f t="shared" ca="1" si="22"/>
        <v>3.9617844075421882</v>
      </c>
      <c r="R23" s="16">
        <f t="shared" ca="1" si="5"/>
        <v>-50.235753616473005</v>
      </c>
      <c r="S23" s="16">
        <f t="shared" ca="1" si="6"/>
        <v>-46.856211669072046</v>
      </c>
      <c r="T23" s="13">
        <f t="shared" ca="1" si="7"/>
        <v>3888434.6782463836</v>
      </c>
      <c r="U23" s="13">
        <f t="shared" ca="1" si="8"/>
        <v>1538161.5367883309</v>
      </c>
      <c r="V23" s="16">
        <f t="shared" si="9"/>
        <v>3442.5096257436458</v>
      </c>
      <c r="W23" s="16">
        <f t="shared" ca="1" si="10"/>
        <v>3441.7464209327745</v>
      </c>
      <c r="X23" s="47" t="str">
        <f t="shared" si="11"/>
        <v/>
      </c>
      <c r="Y23" s="47" t="str">
        <f t="shared" si="23"/>
        <v/>
      </c>
      <c r="Z23" s="47" t="e">
        <f t="shared" si="12"/>
        <v>#N/A</v>
      </c>
      <c r="AA23" s="47" t="e">
        <f t="shared" si="13"/>
        <v>#N/A</v>
      </c>
      <c r="AB23" s="16" t="str">
        <f t="shared" si="24"/>
        <v/>
      </c>
      <c r="AC23" s="16" t="str">
        <f ca="1">IF(ISNUMBER(Z23),SQRT(($Z23-OFFSET($Z$20,MATCH(CS_Start,$A$21:$A$46,0),0))^2+($AA23-OFFSET($AA$20,MATCH(CS_Start,$A$21:$A$46,0),0))^2),"")</f>
        <v/>
      </c>
      <c r="AD23" s="16" t="str">
        <f t="shared" si="14"/>
        <v/>
      </c>
      <c r="AE23" s="47" t="e">
        <f ca="1">ROUND(AC23,2)</f>
        <v>#VALUE!</v>
      </c>
      <c r="AF23" s="47" t="e">
        <f t="shared" ref="AF23:AF41" si="25">ROUND(AD23,2)</f>
        <v>#VALUE!</v>
      </c>
      <c r="AH23" s="44">
        <v>0</v>
      </c>
      <c r="AI23" s="2">
        <f ca="1">OFFSET($AF$22,MATCH(AH23,$AE$23:$AE$54,0),0)</f>
        <v>5.38</v>
      </c>
      <c r="AJ23" s="2" t="str">
        <f t="shared" ref="AJ23:AJ31" ca="1" si="26">CONCATENATE(AH23,",",AI23)</f>
        <v>0,5.38</v>
      </c>
    </row>
    <row r="24" spans="1:36" x14ac:dyDescent="0.25">
      <c r="A24" s="44">
        <v>4</v>
      </c>
      <c r="B24" s="48">
        <v>5.5776157407407405</v>
      </c>
      <c r="C24" s="48">
        <v>4.4609490740740743</v>
      </c>
      <c r="D24" s="44">
        <v>43.773000000000003</v>
      </c>
      <c r="E24" s="44">
        <v>4.9062000000000001</v>
      </c>
      <c r="F24" s="44" t="s">
        <v>86</v>
      </c>
      <c r="G24" s="43">
        <f t="shared" si="15"/>
        <v>107.06277777777778</v>
      </c>
      <c r="H24" s="43">
        <f t="shared" si="16"/>
        <v>1.8685979785532403</v>
      </c>
      <c r="I24" s="43">
        <f t="shared" si="3"/>
        <v>133.86277777777778</v>
      </c>
      <c r="J24" s="39">
        <f t="shared" si="17"/>
        <v>2.3363462180877206</v>
      </c>
      <c r="K24" s="39">
        <f t="shared" si="18"/>
        <v>41.846280474497931</v>
      </c>
      <c r="L24" s="15">
        <f t="shared" si="19"/>
        <v>-12.843844418617561</v>
      </c>
      <c r="M24" s="13"/>
      <c r="N24" s="16">
        <f t="shared" si="4"/>
        <v>133.86277777777778</v>
      </c>
      <c r="O24" s="16">
        <f t="shared" ca="1" si="20"/>
        <v>127.95769255957138</v>
      </c>
      <c r="P24" s="16">
        <f t="shared" ca="1" si="21"/>
        <v>261.82047033734915</v>
      </c>
      <c r="Q24" s="16">
        <f t="shared" ca="1" si="22"/>
        <v>4.5696292565068912</v>
      </c>
      <c r="R24" s="16">
        <f t="shared" ca="1" si="5"/>
        <v>-41.420583513194352</v>
      </c>
      <c r="S24" s="16">
        <f t="shared" ca="1" si="6"/>
        <v>-5.9536922138148158</v>
      </c>
      <c r="T24" s="13">
        <f t="shared" ca="1" si="7"/>
        <v>3888443.4934164868</v>
      </c>
      <c r="U24" s="13">
        <f t="shared" ca="1" si="8"/>
        <v>1538202.4393077861</v>
      </c>
      <c r="V24" s="16">
        <f t="shared" si="9"/>
        <v>3438.7880555813822</v>
      </c>
      <c r="W24" s="16">
        <f t="shared" ca="1" si="10"/>
        <v>3438.024850770511</v>
      </c>
      <c r="X24" s="47" t="str">
        <f t="shared" si="11"/>
        <v/>
      </c>
      <c r="Y24" s="47" t="str">
        <f t="shared" si="23"/>
        <v/>
      </c>
      <c r="Z24" s="47" t="e">
        <f t="shared" si="12"/>
        <v>#N/A</v>
      </c>
      <c r="AA24" s="47" t="e">
        <f t="shared" si="13"/>
        <v>#N/A</v>
      </c>
      <c r="AB24" s="47" t="str">
        <f t="shared" ref="AB24:AB33" si="27">IF(ISNUMBER(X24),SQRT((X24-Z24)^2+(Y24-AA24)^2),"")</f>
        <v/>
      </c>
      <c r="AC24" s="47" t="str">
        <f ca="1">IF(ISNUMBER(Z24),SQRT(($Z24-OFFSET($Z$20,MATCH(CS_Start,$A$21:$A$46,0),0))^2+($AA24-OFFSET($AA$20,MATCH(CS_Start,$A$21:$A$46,0),0))^2),"")</f>
        <v/>
      </c>
      <c r="AD24" s="47" t="str">
        <f t="shared" ref="AD24:AD33" si="28">IF(ISNUMBER(X24),W24-Min_Z,"")</f>
        <v/>
      </c>
      <c r="AE24" s="47" t="e">
        <f t="shared" ref="AE24:AE41" ca="1" si="29">ROUND(AC24,2)</f>
        <v>#VALUE!</v>
      </c>
      <c r="AF24" s="47" t="e">
        <f t="shared" si="25"/>
        <v>#VALUE!</v>
      </c>
      <c r="AH24" s="44">
        <v>33.619999999999997</v>
      </c>
      <c r="AI24" s="44">
        <f ca="1">OFFSET($AF$22,MATCH(AH24,$AE$23:$AE$54,0),0)</f>
        <v>4.07</v>
      </c>
      <c r="AJ24" s="2" t="str">
        <f t="shared" ca="1" si="26"/>
        <v>33.62,4.07</v>
      </c>
    </row>
    <row r="25" spans="1:36" x14ac:dyDescent="0.25">
      <c r="A25" s="44">
        <v>5</v>
      </c>
      <c r="B25" s="48">
        <v>8.4114699074074064</v>
      </c>
      <c r="C25" s="48">
        <v>4.5313194444444447</v>
      </c>
      <c r="D25" s="44">
        <v>41.145000000000003</v>
      </c>
      <c r="E25" s="44">
        <v>4.9062000000000001</v>
      </c>
      <c r="F25" s="44"/>
      <c r="G25" s="43">
        <f t="shared" si="15"/>
        <v>108.75166666666667</v>
      </c>
      <c r="H25" s="43">
        <f t="shared" si="16"/>
        <v>1.8980746503646999</v>
      </c>
      <c r="I25" s="43">
        <f t="shared" si="3"/>
        <v>201.87527777777774</v>
      </c>
      <c r="J25" s="39">
        <f t="shared" si="17"/>
        <v>3.5233882756003632</v>
      </c>
      <c r="K25" s="39">
        <f t="shared" si="18"/>
        <v>38.96105544370355</v>
      </c>
      <c r="L25" s="15">
        <f t="shared" si="19"/>
        <v>-13.226760136656969</v>
      </c>
      <c r="M25" s="13"/>
      <c r="N25" s="16">
        <f t="shared" si="4"/>
        <v>201.87527777777774</v>
      </c>
      <c r="O25" s="16">
        <f t="shared" ca="1" si="20"/>
        <v>127.95769255957138</v>
      </c>
      <c r="P25" s="16">
        <f t="shared" ca="1" si="21"/>
        <v>329.83297033734914</v>
      </c>
      <c r="Q25" s="16">
        <f t="shared" ca="1" si="22"/>
        <v>5.7566713140195347</v>
      </c>
      <c r="R25" s="16">
        <f t="shared" ca="1" si="5"/>
        <v>-19.578807929724281</v>
      </c>
      <c r="S25" s="16">
        <f t="shared" ca="1" si="6"/>
        <v>33.684330501559742</v>
      </c>
      <c r="T25" s="13">
        <f t="shared" ca="1" si="7"/>
        <v>3888465.3351920703</v>
      </c>
      <c r="U25" s="13">
        <f t="shared" ca="1" si="8"/>
        <v>1538242.0773305015</v>
      </c>
      <c r="V25" s="16">
        <f t="shared" si="9"/>
        <v>3438.4051398633428</v>
      </c>
      <c r="W25" s="16">
        <f t="shared" ca="1" si="10"/>
        <v>3437.6419350524716</v>
      </c>
      <c r="X25" s="47">
        <f t="shared" ca="1" si="11"/>
        <v>3888465.3351920703</v>
      </c>
      <c r="Y25" s="47">
        <f t="shared" ca="1" si="23"/>
        <v>1538242.0773305015</v>
      </c>
      <c r="Z25" s="47">
        <f t="shared" ca="1" si="12"/>
        <v>3888472.5498830006</v>
      </c>
      <c r="AA25" s="47">
        <f t="shared" ca="1" si="13"/>
        <v>1538247.0889057806</v>
      </c>
      <c r="AB25" s="47">
        <f t="shared" ca="1" si="27"/>
        <v>8.7845120522502214</v>
      </c>
      <c r="AC25" s="47">
        <f ca="1">IF(ISNUMBER(Z25),SQRT(($Z25-OFFSET($Z$20,MATCH(CS_Start,$A$21:$A$46,0),0))^2+($AA25-OFFSET($AA$20,MATCH(CS_Start,$A$21:$A$46,0),0))^2),"")</f>
        <v>0</v>
      </c>
      <c r="AD25" s="47">
        <f t="shared" ca="1" si="28"/>
        <v>5.3760813192875503</v>
      </c>
      <c r="AE25" s="47">
        <f t="shared" ca="1" si="29"/>
        <v>0</v>
      </c>
      <c r="AF25" s="47">
        <f t="shared" ca="1" si="25"/>
        <v>5.38</v>
      </c>
      <c r="AH25" s="44">
        <v>65.09</v>
      </c>
      <c r="AI25" s="44">
        <f ca="1">OFFSET($AF$22,MATCH(AH25,$AE$23:$AE$54,0),0)</f>
        <v>4.54</v>
      </c>
      <c r="AJ25" s="2" t="str">
        <f t="shared" ca="1" si="26"/>
        <v>65.09,4.54</v>
      </c>
    </row>
    <row r="26" spans="1:36" x14ac:dyDescent="0.25">
      <c r="A26" s="44">
        <v>6</v>
      </c>
      <c r="B26" s="48">
        <v>8.4519097222222221</v>
      </c>
      <c r="C26" s="48">
        <v>4.2203587962962965</v>
      </c>
      <c r="D26" s="44">
        <v>74.231999999999999</v>
      </c>
      <c r="E26" s="44">
        <v>4.9062000000000001</v>
      </c>
      <c r="F26" s="44"/>
      <c r="G26" s="43">
        <f t="shared" si="15"/>
        <v>101.28861111111112</v>
      </c>
      <c r="H26" s="43">
        <f t="shared" si="16"/>
        <v>1.7678197586610012</v>
      </c>
      <c r="I26" s="43">
        <f t="shared" si="3"/>
        <v>202.84583333333333</v>
      </c>
      <c r="J26" s="39">
        <f t="shared" si="17"/>
        <v>3.5403276656183311</v>
      </c>
      <c r="K26" s="39">
        <f t="shared" si="18"/>
        <v>72.795877151554151</v>
      </c>
      <c r="L26" s="15">
        <f t="shared" si="19"/>
        <v>-14.531004567332463</v>
      </c>
      <c r="M26" s="13"/>
      <c r="N26" s="16">
        <f t="shared" si="4"/>
        <v>202.84583333333333</v>
      </c>
      <c r="O26" s="16">
        <f t="shared" ca="1" si="20"/>
        <v>127.95769255957138</v>
      </c>
      <c r="P26" s="16">
        <f t="shared" ca="1" si="21"/>
        <v>330.8035258929047</v>
      </c>
      <c r="Q26" s="16">
        <f t="shared" ca="1" si="22"/>
        <v>5.7736107040375018</v>
      </c>
      <c r="R26" s="16">
        <f t="shared" ca="1" si="5"/>
        <v>-35.510261278537349</v>
      </c>
      <c r="S26" s="16">
        <f t="shared" ca="1" si="6"/>
        <v>63.547313666229627</v>
      </c>
      <c r="T26" s="13">
        <f t="shared" ca="1" si="7"/>
        <v>3888449.4037387213</v>
      </c>
      <c r="U26" s="13">
        <f t="shared" ca="1" si="8"/>
        <v>1538271.9403136661</v>
      </c>
      <c r="V26" s="16">
        <f t="shared" si="9"/>
        <v>3437.1008954326676</v>
      </c>
      <c r="W26" s="16">
        <f t="shared" ca="1" si="10"/>
        <v>3436.3376906217964</v>
      </c>
      <c r="X26" s="47">
        <f t="shared" ca="1" si="11"/>
        <v>3888449.4037387213</v>
      </c>
      <c r="Y26" s="47">
        <f t="shared" ca="1" si="23"/>
        <v>1538271.9403136661</v>
      </c>
      <c r="Z26" s="47">
        <f t="shared" ca="1" si="12"/>
        <v>3888453.3723205277</v>
      </c>
      <c r="AA26" s="47">
        <f t="shared" ca="1" si="13"/>
        <v>1538274.6970286332</v>
      </c>
      <c r="AB26" s="47">
        <f t="shared" ca="1" si="27"/>
        <v>4.8320926071247907</v>
      </c>
      <c r="AC26" s="47">
        <f ca="1">IF(ISNUMBER(Z26),SQRT(($Z26-OFFSET($Z$20,MATCH(CS_Start,$A$21:$A$46,0),0))^2+($AA26-OFFSET($AA$20,MATCH(CS_Start,$A$21:$A$46,0),0))^2),"")</f>
        <v>33.615284467739215</v>
      </c>
      <c r="AD26" s="47">
        <f t="shared" ca="1" si="28"/>
        <v>4.0718368886123244</v>
      </c>
      <c r="AE26" s="47">
        <f t="shared" ca="1" si="29"/>
        <v>33.619999999999997</v>
      </c>
      <c r="AF26" s="47">
        <f t="shared" ca="1" si="25"/>
        <v>4.07</v>
      </c>
      <c r="AH26" s="44">
        <v>70</v>
      </c>
      <c r="AI26" s="44">
        <f ca="1">OFFSET($AF$22,MATCH(AH26,$AE$23:$AE$54,0),0)</f>
        <v>5.27</v>
      </c>
      <c r="AJ26" s="2" t="str">
        <f t="shared" ca="1" si="26"/>
        <v>70,5.27</v>
      </c>
    </row>
    <row r="27" spans="1:36" x14ac:dyDescent="0.25">
      <c r="A27" s="44">
        <v>7</v>
      </c>
      <c r="B27" s="48">
        <v>8.4638657407407418</v>
      </c>
      <c r="C27" s="48">
        <v>4.0695138888888893</v>
      </c>
      <c r="D27" s="44">
        <v>105.413</v>
      </c>
      <c r="E27" s="44">
        <v>4.9062000000000001</v>
      </c>
      <c r="F27" s="44"/>
      <c r="G27" s="43">
        <f t="shared" si="15"/>
        <v>97.668333333333351</v>
      </c>
      <c r="H27" s="43">
        <f t="shared" si="16"/>
        <v>1.7046339916019955</v>
      </c>
      <c r="I27" s="43">
        <f t="shared" si="3"/>
        <v>203.13277777777779</v>
      </c>
      <c r="J27" s="39">
        <f t="shared" si="17"/>
        <v>3.5453357909441929</v>
      </c>
      <c r="K27" s="39">
        <f t="shared" si="18"/>
        <v>104.47030217287198</v>
      </c>
      <c r="L27" s="15">
        <f t="shared" si="19"/>
        <v>-14.066148474576096</v>
      </c>
      <c r="M27" s="13"/>
      <c r="N27" s="16">
        <f t="shared" si="4"/>
        <v>203.13277777777779</v>
      </c>
      <c r="O27" s="16">
        <f t="shared" ca="1" si="20"/>
        <v>127.95769255957138</v>
      </c>
      <c r="P27" s="16">
        <f t="shared" ca="1" si="21"/>
        <v>331.09047033734919</v>
      </c>
      <c r="Q27" s="16">
        <f t="shared" ca="1" si="22"/>
        <v>5.7786188293633645</v>
      </c>
      <c r="R27" s="16">
        <f t="shared" ca="1" si="5"/>
        <v>-50.503867914432185</v>
      </c>
      <c r="S27" s="16">
        <f t="shared" ca="1" si="6"/>
        <v>91.451644937490144</v>
      </c>
      <c r="T27" s="13">
        <f t="shared" ca="1" si="7"/>
        <v>3888434.4101320854</v>
      </c>
      <c r="U27" s="13">
        <f t="shared" ca="1" si="8"/>
        <v>1538299.8446449374</v>
      </c>
      <c r="V27" s="16">
        <f t="shared" si="9"/>
        <v>3437.5657515254238</v>
      </c>
      <c r="W27" s="16">
        <f t="shared" ca="1" si="10"/>
        <v>3436.8025467145526</v>
      </c>
      <c r="X27" s="47">
        <f t="shared" ca="1" si="11"/>
        <v>3888434.4101320854</v>
      </c>
      <c r="Y27" s="47">
        <f t="shared" ca="1" si="23"/>
        <v>1538299.8446449374</v>
      </c>
      <c r="Z27" s="47">
        <f t="shared" ca="1" si="12"/>
        <v>3888435.4177285708</v>
      </c>
      <c r="AA27" s="47">
        <f t="shared" ca="1" si="13"/>
        <v>1538300.5445565041</v>
      </c>
      <c r="AB27" s="47">
        <f t="shared" ca="1" si="27"/>
        <v>1.2268361253243063</v>
      </c>
      <c r="AC27" s="47">
        <f ca="1">IF(ISNUMBER(Z27),SQRT(($Z27-OFFSET($Z$20,MATCH(CS_Start,$A$21:$A$46,0),0))^2+($AA27-OFFSET($AA$20,MATCH(CS_Start,$A$21:$A$46,0),0))^2),"")</f>
        <v>65.086891820667901</v>
      </c>
      <c r="AD27" s="47">
        <f t="shared" ca="1" si="28"/>
        <v>4.5366929813685601</v>
      </c>
      <c r="AE27" s="47">
        <f t="shared" ca="1" si="29"/>
        <v>65.09</v>
      </c>
      <c r="AF27" s="47">
        <f t="shared" ca="1" si="25"/>
        <v>4.54</v>
      </c>
      <c r="AH27" s="44">
        <v>78.22</v>
      </c>
      <c r="AI27" s="44">
        <f ca="1">OFFSET($AF$22,MATCH(AH27,$AE$23:$AE$54,0),0)</f>
        <v>3.17</v>
      </c>
      <c r="AJ27" s="2" t="str">
        <f t="shared" ca="1" si="26"/>
        <v>78.22,3.17</v>
      </c>
    </row>
    <row r="28" spans="1:36" x14ac:dyDescent="0.25">
      <c r="A28" s="44">
        <v>8</v>
      </c>
      <c r="B28" s="48">
        <v>8.4703125000000004</v>
      </c>
      <c r="C28" s="48">
        <v>4.0393518518518521</v>
      </c>
      <c r="D28" s="44">
        <v>110.248</v>
      </c>
      <c r="E28" s="44">
        <v>4.9062000000000001</v>
      </c>
      <c r="F28" s="44"/>
      <c r="G28" s="43">
        <f t="shared" si="15"/>
        <v>96.944444444444457</v>
      </c>
      <c r="H28" s="43">
        <f t="shared" si="16"/>
        <v>1.6919997470722807</v>
      </c>
      <c r="I28" s="43">
        <f t="shared" si="3"/>
        <v>203.28750000000002</v>
      </c>
      <c r="J28" s="39">
        <f t="shared" si="17"/>
        <v>3.5480362031479729</v>
      </c>
      <c r="K28" s="39">
        <f t="shared" si="18"/>
        <v>109.43920445321628</v>
      </c>
      <c r="L28" s="15">
        <f t="shared" si="19"/>
        <v>-13.329742407380841</v>
      </c>
      <c r="M28" s="13"/>
      <c r="N28" s="16">
        <f t="shared" si="4"/>
        <v>203.28750000000002</v>
      </c>
      <c r="O28" s="16">
        <f t="shared" ca="1" si="20"/>
        <v>127.95769255957138</v>
      </c>
      <c r="P28" s="16">
        <f t="shared" ca="1" si="21"/>
        <v>331.24519255957142</v>
      </c>
      <c r="Q28" s="16">
        <f t="shared" ca="1" si="22"/>
        <v>5.7813192415671448</v>
      </c>
      <c r="R28" s="16">
        <f t="shared" ca="1" si="5"/>
        <v>-52.647078640204761</v>
      </c>
      <c r="S28" s="16">
        <f t="shared" ca="1" si="6"/>
        <v>95.943861617119452</v>
      </c>
      <c r="T28" s="13">
        <f t="shared" ca="1" si="7"/>
        <v>3888432.2669213596</v>
      </c>
      <c r="U28" s="13">
        <f t="shared" ca="1" si="8"/>
        <v>1538304.3368616169</v>
      </c>
      <c r="V28" s="16">
        <f t="shared" si="9"/>
        <v>3438.3021575926191</v>
      </c>
      <c r="W28" s="16">
        <f t="shared" ca="1" si="10"/>
        <v>3437.5389527817479</v>
      </c>
      <c r="X28" s="47">
        <f t="shared" ca="1" si="11"/>
        <v>3888432.2669213596</v>
      </c>
      <c r="Y28" s="47">
        <f t="shared" ca="1" si="23"/>
        <v>1538304.3368616169</v>
      </c>
      <c r="Z28" s="47">
        <f t="shared" ca="1" si="12"/>
        <v>3888432.6153423204</v>
      </c>
      <c r="AA28" s="47">
        <f t="shared" ca="1" si="13"/>
        <v>1538304.5788869346</v>
      </c>
      <c r="AB28" s="47">
        <f t="shared" ca="1" si="27"/>
        <v>0.42423274309731013</v>
      </c>
      <c r="AC28" s="47">
        <f ca="1">IF(ISNUMBER(Z28),SQRT(($Z28-OFFSET($Z$20,MATCH(CS_Start,$A$21:$A$46,0),0))^2+($AA28-OFFSET($AA$20,MATCH(CS_Start,$A$21:$A$46,0),0))^2),"")</f>
        <v>69.999039082111963</v>
      </c>
      <c r="AD28" s="47">
        <f t="shared" ca="1" si="28"/>
        <v>5.2730990485638358</v>
      </c>
      <c r="AE28" s="47">
        <f t="shared" ca="1" si="29"/>
        <v>70</v>
      </c>
      <c r="AF28" s="47">
        <f t="shared" ca="1" si="25"/>
        <v>5.27</v>
      </c>
      <c r="AH28" s="44">
        <v>79.319999999999993</v>
      </c>
      <c r="AI28" s="44">
        <f ca="1">OFFSET($AF$22,MATCH(AH28,$AE$23:$AE$54,0),0)</f>
        <v>1.87</v>
      </c>
      <c r="AJ28" s="2" t="str">
        <f t="shared" ca="1" si="26"/>
        <v>79.32,1.87</v>
      </c>
    </row>
    <row r="29" spans="1:36" x14ac:dyDescent="0.25">
      <c r="A29" s="44"/>
      <c r="B29" s="48">
        <v>8.4636574074074069</v>
      </c>
      <c r="C29" s="48">
        <v>4.0197453703703703</v>
      </c>
      <c r="D29" s="44">
        <v>114.126</v>
      </c>
      <c r="E29" s="44">
        <v>4.9062000000000001</v>
      </c>
      <c r="F29" s="49" t="s">
        <v>91</v>
      </c>
      <c r="G29" s="43">
        <f t="shared" si="15"/>
        <v>96.473888888888894</v>
      </c>
      <c r="H29" s="43">
        <f t="shared" si="16"/>
        <v>1.6837870033142852</v>
      </c>
      <c r="I29" s="43">
        <f t="shared" si="3"/>
        <v>203.12777777777777</v>
      </c>
      <c r="J29" s="39">
        <f t="shared" si="17"/>
        <v>3.5452485244815928</v>
      </c>
      <c r="K29" s="39">
        <f t="shared" si="18"/>
        <v>113.39825753120537</v>
      </c>
      <c r="L29" s="15">
        <f t="shared" si="19"/>
        <v>-12.867752907420302</v>
      </c>
      <c r="M29" s="13"/>
      <c r="N29" s="16">
        <f t="shared" si="4"/>
        <v>203.12777777777777</v>
      </c>
      <c r="O29" s="16">
        <f t="shared" ca="1" si="20"/>
        <v>127.95769255957138</v>
      </c>
      <c r="P29" s="16">
        <f t="shared" ca="1" si="21"/>
        <v>331.08547033734914</v>
      </c>
      <c r="Q29" s="16">
        <f t="shared" ca="1" si="22"/>
        <v>5.7785315629007634</v>
      </c>
      <c r="R29" s="16">
        <f t="shared" ca="1" si="5"/>
        <v>-54.828553878501531</v>
      </c>
      <c r="S29" s="16">
        <f t="shared" ca="1" si="6"/>
        <v>99.262251086230307</v>
      </c>
      <c r="T29" s="13">
        <f t="shared" ca="1" si="7"/>
        <v>3888430.0854461212</v>
      </c>
      <c r="U29" s="13">
        <f t="shared" ca="1" si="8"/>
        <v>1538307.6552510862</v>
      </c>
      <c r="V29" s="16">
        <f t="shared" si="9"/>
        <v>3438.7641470925796</v>
      </c>
      <c r="W29" s="16">
        <f t="shared" ca="1" si="10"/>
        <v>3438.0009422817084</v>
      </c>
      <c r="X29" s="47" t="str">
        <f t="shared" si="11"/>
        <v/>
      </c>
      <c r="Y29" s="47" t="str">
        <f t="shared" si="23"/>
        <v/>
      </c>
      <c r="Z29" s="47" t="e">
        <f t="shared" si="12"/>
        <v>#N/A</v>
      </c>
      <c r="AA29" s="47" t="e">
        <f t="shared" si="13"/>
        <v>#N/A</v>
      </c>
      <c r="AB29" s="47" t="str">
        <f t="shared" si="27"/>
        <v/>
      </c>
      <c r="AC29" s="47" t="str">
        <f ca="1">IF(ISNUMBER(Z29),SQRT(($Z29-OFFSET($Z$20,MATCH(CS_Start,$A$21:$A$46,0),0))^2+($AA29-OFFSET($AA$20,MATCH(CS_Start,$A$21:$A$46,0),0))^2),"")</f>
        <v/>
      </c>
      <c r="AD29" s="47" t="str">
        <f t="shared" si="28"/>
        <v/>
      </c>
      <c r="AE29" s="47" t="e">
        <f t="shared" ca="1" si="29"/>
        <v>#VALUE!</v>
      </c>
      <c r="AF29" s="47" t="e">
        <f t="shared" si="25"/>
        <v>#VALUE!</v>
      </c>
      <c r="AH29" s="44">
        <v>82.78</v>
      </c>
      <c r="AI29" s="44">
        <f ca="1">OFFSET($AF$22,MATCH(AH29,$AE$23:$AE$54,0),0)</f>
        <v>0.75</v>
      </c>
      <c r="AJ29" s="2" t="str">
        <f t="shared" ca="1" si="26"/>
        <v>82.78,0.75</v>
      </c>
    </row>
    <row r="30" spans="1:36" x14ac:dyDescent="0.25">
      <c r="A30" s="44">
        <v>9</v>
      </c>
      <c r="B30" s="48">
        <v>8.4728472222222226</v>
      </c>
      <c r="C30" s="48">
        <v>4.0611458333333337</v>
      </c>
      <c r="D30" s="44">
        <v>118.72499999999999</v>
      </c>
      <c r="E30" s="44">
        <v>4.9062000000000001</v>
      </c>
      <c r="F30" s="49"/>
      <c r="G30" s="43">
        <f t="shared" si="15"/>
        <v>97.467500000000001</v>
      </c>
      <c r="H30" s="43">
        <f t="shared" si="16"/>
        <v>1.7011287886875732</v>
      </c>
      <c r="I30" s="43">
        <f t="shared" si="3"/>
        <v>203.34833333333336</v>
      </c>
      <c r="J30" s="39">
        <f t="shared" si="17"/>
        <v>3.5490979451096032</v>
      </c>
      <c r="K30" s="39">
        <f t="shared" si="18"/>
        <v>117.71806246634362</v>
      </c>
      <c r="L30" s="15">
        <f t="shared" si="19"/>
        <v>-15.42995120439535</v>
      </c>
      <c r="M30" s="13"/>
      <c r="N30" s="16">
        <f t="shared" si="4"/>
        <v>203.34833333333336</v>
      </c>
      <c r="O30" s="16">
        <f t="shared" ca="1" si="20"/>
        <v>127.95769255957138</v>
      </c>
      <c r="P30" s="16">
        <f t="shared" ca="1" si="21"/>
        <v>331.30602589290476</v>
      </c>
      <c r="Q30" s="16">
        <f t="shared" ca="1" si="22"/>
        <v>5.7823809835287747</v>
      </c>
      <c r="R30" s="16">
        <f t="shared" ca="1" si="5"/>
        <v>-56.520119756663334</v>
      </c>
      <c r="S30" s="16">
        <f t="shared" ca="1" si="6"/>
        <v>103.26189177776288</v>
      </c>
      <c r="T30" s="13">
        <f t="shared" ca="1" si="7"/>
        <v>3888428.3938802434</v>
      </c>
      <c r="U30" s="13">
        <f t="shared" ca="1" si="8"/>
        <v>1538311.6548917778</v>
      </c>
      <c r="V30" s="16">
        <f t="shared" si="9"/>
        <v>3436.2019487956045</v>
      </c>
      <c r="W30" s="16">
        <f t="shared" ca="1" si="10"/>
        <v>3435.4387439847333</v>
      </c>
      <c r="X30" s="47">
        <f t="shared" ca="1" si="11"/>
        <v>3888428.3938802434</v>
      </c>
      <c r="Y30" s="47">
        <f t="shared" ca="1" si="23"/>
        <v>1538311.6548917778</v>
      </c>
      <c r="Z30" s="47">
        <f t="shared" ca="1" si="12"/>
        <v>3888427.9259080067</v>
      </c>
      <c r="AA30" s="47">
        <f t="shared" ca="1" si="13"/>
        <v>1538311.3298219834</v>
      </c>
      <c r="AB30" s="47">
        <f t="shared" ca="1" si="27"/>
        <v>0.56979679321668153</v>
      </c>
      <c r="AC30" s="47">
        <f ca="1">IF(ISNUMBER(Z30),SQRT(($Z30-OFFSET($Z$20,MATCH(CS_Start,$A$21:$A$46,0),0))^2+($AA30-OFFSET($AA$20,MATCH(CS_Start,$A$21:$A$46,0),0))^2),"")</f>
        <v>78.218888120591558</v>
      </c>
      <c r="AD30" s="47">
        <f t="shared" ca="1" si="28"/>
        <v>3.1728902515492337</v>
      </c>
      <c r="AE30" s="47">
        <f t="shared" ca="1" si="29"/>
        <v>78.22</v>
      </c>
      <c r="AF30" s="47">
        <f t="shared" ca="1" si="25"/>
        <v>3.17</v>
      </c>
      <c r="AH30" s="44">
        <v>105.91</v>
      </c>
      <c r="AI30" s="44">
        <f ca="1">OFFSET($AF$22,MATCH(AH30,$AE$23:$AE$54,0),0)</f>
        <v>0</v>
      </c>
      <c r="AJ30" s="2" t="str">
        <f t="shared" ca="1" si="26"/>
        <v>105.91,0</v>
      </c>
    </row>
    <row r="31" spans="1:36" x14ac:dyDescent="0.25">
      <c r="A31" s="44">
        <v>10</v>
      </c>
      <c r="B31" s="48">
        <v>8.4673032407407405</v>
      </c>
      <c r="C31" s="48">
        <v>4.0840162037037038</v>
      </c>
      <c r="D31" s="49">
        <v>119.964</v>
      </c>
      <c r="E31" s="44">
        <v>4.9062000000000001</v>
      </c>
      <c r="F31" s="44" t="s">
        <v>83</v>
      </c>
      <c r="G31" s="43">
        <f t="shared" si="15"/>
        <v>98.016388888888883</v>
      </c>
      <c r="H31" s="43">
        <f t="shared" si="16"/>
        <v>1.7107087070262974</v>
      </c>
      <c r="I31" s="43">
        <f t="shared" si="3"/>
        <v>203.21527777777777</v>
      </c>
      <c r="J31" s="39">
        <f t="shared" si="17"/>
        <v>3.5467756875770879</v>
      </c>
      <c r="K31" s="39">
        <f t="shared" si="18"/>
        <v>118.79173808174846</v>
      </c>
      <c r="L31" s="15">
        <f t="shared" si="19"/>
        <v>-16.729741764811266</v>
      </c>
      <c r="M31" s="13"/>
      <c r="N31" s="16">
        <f t="shared" si="4"/>
        <v>203.21527777777777</v>
      </c>
      <c r="O31" s="16">
        <f t="shared" ca="1" si="20"/>
        <v>127.95769255957138</v>
      </c>
      <c r="P31" s="16">
        <f t="shared" ca="1" si="21"/>
        <v>331.17297033734917</v>
      </c>
      <c r="Q31" s="16">
        <f t="shared" ca="1" si="22"/>
        <v>5.780058725996259</v>
      </c>
      <c r="R31" s="16">
        <f t="shared" ca="1" si="5"/>
        <v>-57.277458820248626</v>
      </c>
      <c r="S31" s="16">
        <f t="shared" ca="1" si="6"/>
        <v>104.07098417703875</v>
      </c>
      <c r="T31" s="13">
        <f t="shared" ca="1" si="7"/>
        <v>3888427.6365411798</v>
      </c>
      <c r="U31" s="13">
        <f t="shared" ca="1" si="8"/>
        <v>1538312.463984177</v>
      </c>
      <c r="V31" s="16">
        <f t="shared" si="9"/>
        <v>3434.9021582351884</v>
      </c>
      <c r="W31" s="16">
        <f t="shared" ca="1" si="10"/>
        <v>3434.1389534243172</v>
      </c>
      <c r="X31" s="47">
        <f t="shared" ca="1" si="11"/>
        <v>3888427.6365411798</v>
      </c>
      <c r="Y31" s="47">
        <f t="shared" ca="1" si="23"/>
        <v>1538312.463984177</v>
      </c>
      <c r="Z31" s="47">
        <f t="shared" ca="1" si="12"/>
        <v>3888427.3003146667</v>
      </c>
      <c r="AA31" s="47">
        <f t="shared" ca="1" si="13"/>
        <v>1538312.230429545</v>
      </c>
      <c r="AB31" s="47">
        <f t="shared" ca="1" si="27"/>
        <v>0.40938494627927907</v>
      </c>
      <c r="AC31" s="47">
        <f ca="1">IF(ISNUMBER(Z31),SQRT(($Z31-OFFSET($Z$20,MATCH(CS_Start,$A$21:$A$46,0),0))^2+($AA31-OFFSET($AA$20,MATCH(CS_Start,$A$21:$A$46,0),0))^2),"")</f>
        <v>79.315455951261754</v>
      </c>
      <c r="AD31" s="47">
        <f t="shared" ca="1" si="28"/>
        <v>1.8730996911331204</v>
      </c>
      <c r="AE31" s="47">
        <f t="shared" ca="1" si="29"/>
        <v>79.319999999999993</v>
      </c>
      <c r="AF31" s="47">
        <f t="shared" ca="1" si="25"/>
        <v>1.87</v>
      </c>
      <c r="AH31" s="44">
        <v>126.89</v>
      </c>
      <c r="AI31" s="44">
        <f ca="1">OFFSET($AF$22,MATCH(AH31,$AE$23:$AE$54,0),0)</f>
        <v>0.6</v>
      </c>
      <c r="AJ31" s="2" t="str">
        <f t="shared" ca="1" si="26"/>
        <v>126.89,0.6</v>
      </c>
    </row>
    <row r="32" spans="1:36" x14ac:dyDescent="0.25">
      <c r="A32" s="44">
        <v>11</v>
      </c>
      <c r="B32" s="48">
        <v>8.4701157407407397</v>
      </c>
      <c r="C32" s="48">
        <v>4.0961226851851853</v>
      </c>
      <c r="D32" s="44">
        <v>123.58799999999999</v>
      </c>
      <c r="E32" s="44">
        <v>4.9062000000000001</v>
      </c>
      <c r="F32" s="44"/>
      <c r="G32" s="43">
        <f t="shared" si="15"/>
        <v>98.30694444444444</v>
      </c>
      <c r="H32" s="43">
        <f t="shared" si="16"/>
        <v>1.7157798581307033</v>
      </c>
      <c r="I32" s="43">
        <f t="shared" si="3"/>
        <v>203.28277777777777</v>
      </c>
      <c r="J32" s="39">
        <f t="shared" si="17"/>
        <v>3.5479537848221838</v>
      </c>
      <c r="K32" s="39">
        <f t="shared" si="18"/>
        <v>122.29134996804534</v>
      </c>
      <c r="L32" s="15">
        <f t="shared" si="19"/>
        <v>-17.855516430309621</v>
      </c>
      <c r="M32" s="13"/>
      <c r="N32" s="16">
        <f t="shared" si="4"/>
        <v>203.28277777777777</v>
      </c>
      <c r="O32" s="16">
        <f t="shared" ca="1" si="20"/>
        <v>127.95769255957138</v>
      </c>
      <c r="P32" s="16">
        <f t="shared" ca="1" si="21"/>
        <v>331.24047033734917</v>
      </c>
      <c r="Q32" s="16">
        <f t="shared" ca="1" si="22"/>
        <v>5.7812368232413549</v>
      </c>
      <c r="R32" s="16">
        <f t="shared" ca="1" si="5"/>
        <v>-58.838597666220153</v>
      </c>
      <c r="S32" s="16">
        <f t="shared" ca="1" si="6"/>
        <v>107.20631372115923</v>
      </c>
      <c r="T32" s="13">
        <f t="shared" ca="1" si="7"/>
        <v>3888426.0754023339</v>
      </c>
      <c r="U32" s="13">
        <f t="shared" ca="1" si="8"/>
        <v>1538315.5993137211</v>
      </c>
      <c r="V32" s="16">
        <f t="shared" si="9"/>
        <v>3433.7763835696901</v>
      </c>
      <c r="W32" s="16">
        <f t="shared" ca="1" si="10"/>
        <v>3433.0131787588189</v>
      </c>
      <c r="X32" s="47">
        <f t="shared" ca="1" si="11"/>
        <v>3888426.0754023339</v>
      </c>
      <c r="Y32" s="47">
        <f t="shared" ca="1" si="23"/>
        <v>1538315.5993137211</v>
      </c>
      <c r="Z32" s="47">
        <f t="shared" ca="1" si="12"/>
        <v>3888425.323146922</v>
      </c>
      <c r="AA32" s="47">
        <f t="shared" ca="1" si="13"/>
        <v>1538315.0767709445</v>
      </c>
      <c r="AB32" s="47">
        <f t="shared" ca="1" si="27"/>
        <v>0.9159362193539774</v>
      </c>
      <c r="AC32" s="47">
        <f ca="1">IF(ISNUMBER(Z32),SQRT(($Z32-OFFSET($Z$20,MATCH(CS_Start,$A$21:$A$46,0),0))^2+($AA32-OFFSET($AA$20,MATCH(CS_Start,$A$21:$A$46,0),0))^2),"")</f>
        <v>82.781123513633446</v>
      </c>
      <c r="AD32" s="47">
        <f t="shared" ca="1" si="28"/>
        <v>0.74732502563483649</v>
      </c>
      <c r="AE32" s="47">
        <f t="shared" ca="1" si="29"/>
        <v>82.78</v>
      </c>
      <c r="AF32" s="47">
        <f t="shared" ca="1" si="25"/>
        <v>0.75</v>
      </c>
      <c r="AH32" s="44">
        <v>130.49</v>
      </c>
      <c r="AI32" s="44">
        <f ca="1">OFFSET($AF$22,MATCH(AH32,$AE$23:$AE$54,0),0)</f>
        <v>1.82</v>
      </c>
      <c r="AJ32" s="44" t="str">
        <f t="shared" ref="AJ32:AJ33" ca="1" si="30">CONCATENATE(AH32,",",AI32)</f>
        <v>130.49,1.82</v>
      </c>
    </row>
    <row r="33" spans="1:36" x14ac:dyDescent="0.25">
      <c r="A33" s="44">
        <v>12</v>
      </c>
      <c r="B33" s="48">
        <v>8.4439467592592603</v>
      </c>
      <c r="C33" s="48">
        <v>4.0538194444444446</v>
      </c>
      <c r="D33" s="44">
        <v>146.571</v>
      </c>
      <c r="E33" s="44">
        <v>4.9062000000000001</v>
      </c>
      <c r="F33" s="44"/>
      <c r="G33" s="43">
        <f t="shared" si="15"/>
        <v>97.291666666666671</v>
      </c>
      <c r="H33" s="43">
        <f t="shared" si="16"/>
        <v>1.69805991808615</v>
      </c>
      <c r="I33" s="43">
        <f t="shared" si="3"/>
        <v>202.65472222222223</v>
      </c>
      <c r="J33" s="39">
        <f t="shared" si="17"/>
        <v>3.5369921474922976</v>
      </c>
      <c r="K33" s="39">
        <f t="shared" si="18"/>
        <v>145.38566755621059</v>
      </c>
      <c r="L33" s="15">
        <f t="shared" si="19"/>
        <v>-18.602841455944706</v>
      </c>
      <c r="M33" s="13"/>
      <c r="N33" s="16">
        <f t="shared" si="4"/>
        <v>202.65472222222223</v>
      </c>
      <c r="O33" s="16">
        <f t="shared" ca="1" si="20"/>
        <v>127.95769255957138</v>
      </c>
      <c r="P33" s="16">
        <f t="shared" ca="1" si="21"/>
        <v>330.61241478179363</v>
      </c>
      <c r="Q33" s="16">
        <f t="shared" ca="1" si="22"/>
        <v>5.7702751859114692</v>
      </c>
      <c r="R33" s="16">
        <f t="shared" ca="1" si="5"/>
        <v>-71.342923277191602</v>
      </c>
      <c r="S33" s="16">
        <f t="shared" ca="1" si="6"/>
        <v>126.67746298781698</v>
      </c>
      <c r="T33" s="13">
        <f t="shared" ca="1" si="7"/>
        <v>3888413.5710767228</v>
      </c>
      <c r="U33" s="13">
        <f t="shared" ca="1" si="8"/>
        <v>1538335.0704629878</v>
      </c>
      <c r="V33" s="16">
        <f t="shared" si="9"/>
        <v>3433.0290585440553</v>
      </c>
      <c r="W33" s="16">
        <f t="shared" ca="1" si="10"/>
        <v>3432.265853733184</v>
      </c>
      <c r="X33" s="47">
        <f t="shared" ca="1" si="11"/>
        <v>3888413.5710767228</v>
      </c>
      <c r="Y33" s="47">
        <f t="shared" ca="1" si="23"/>
        <v>1538335.0704629878</v>
      </c>
      <c r="Z33" s="47">
        <f t="shared" ca="1" si="12"/>
        <v>3888412.1301198434</v>
      </c>
      <c r="AA33" s="47">
        <f t="shared" ca="1" si="13"/>
        <v>1538334.0695242146</v>
      </c>
      <c r="AB33" s="47">
        <f t="shared" ca="1" si="27"/>
        <v>1.7544899988077172</v>
      </c>
      <c r="AC33" s="47">
        <f ca="1">IF(ISNUMBER(Z33),SQRT(($Z33-OFFSET($Z$20,MATCH(CS_Start,$A$21:$A$46,0),0))^2+($AA33-OFFSET($AA$20,MATCH(CS_Start,$A$21:$A$46,0),0))^2),"")</f>
        <v>105.90644816596942</v>
      </c>
      <c r="AD33" s="47">
        <f t="shared" ca="1" si="28"/>
        <v>0</v>
      </c>
      <c r="AE33" s="47">
        <f t="shared" ca="1" si="29"/>
        <v>105.91</v>
      </c>
      <c r="AF33" s="47">
        <f t="shared" ca="1" si="25"/>
        <v>0</v>
      </c>
      <c r="AH33" s="44">
        <v>131.94</v>
      </c>
      <c r="AI33" s="44">
        <f ca="1">OFFSET($AF$22,MATCH(AH33,$AE$23:$AE$54,0),0)</f>
        <v>3.56</v>
      </c>
      <c r="AJ33" s="44" t="str">
        <f t="shared" ca="1" si="30"/>
        <v>131.94,3.56</v>
      </c>
    </row>
    <row r="34" spans="1:36" x14ac:dyDescent="0.25">
      <c r="A34" s="44">
        <v>13</v>
      </c>
      <c r="B34" s="48">
        <v>8.4389351851851853</v>
      </c>
      <c r="C34" s="48">
        <v>4.0072453703703701</v>
      </c>
      <c r="D34" s="44">
        <v>167.4</v>
      </c>
      <c r="E34" s="44">
        <v>4.9062000000000001</v>
      </c>
      <c r="F34" s="49"/>
      <c r="G34" s="43">
        <f t="shared" ref="G34:G35" si="31">C34*24</f>
        <v>96.173888888888882</v>
      </c>
      <c r="H34" s="43">
        <f t="shared" ref="H34:H35" si="32">RADIANS(G34)</f>
        <v>1.6785510155583019</v>
      </c>
      <c r="I34" s="43">
        <f t="shared" ref="I34:I35" si="33">B34*24</f>
        <v>202.53444444444443</v>
      </c>
      <c r="J34" s="49">
        <f t="shared" ref="J34:J35" si="34">RADIANS(I34)</f>
        <v>3.534892904253093</v>
      </c>
      <c r="K34" s="49">
        <f t="shared" ref="K34:K35" si="35">D34*SIN(H34)</f>
        <v>166.42909317885025</v>
      </c>
      <c r="L34" s="46">
        <f t="shared" ref="L34:L35" si="36">D34*COS(H34)</f>
        <v>-18.003248142087838</v>
      </c>
      <c r="M34" s="45"/>
      <c r="N34" s="47">
        <f t="shared" ref="N34:N35" si="37">I34+M34</f>
        <v>202.53444444444443</v>
      </c>
      <c r="O34" s="47">
        <f t="shared" ca="1" si="20"/>
        <v>127.95769255957138</v>
      </c>
      <c r="P34" s="47">
        <f t="shared" ref="P34:P35" ca="1" si="38">SUM(N34,O34)</f>
        <v>330.49213700401583</v>
      </c>
      <c r="Q34" s="47">
        <f t="shared" ref="Q34:Q35" ca="1" si="39">RADIANS(P34)</f>
        <v>5.7681759426722641</v>
      </c>
      <c r="R34" s="47">
        <f t="shared" ref="R34:R35" ca="1" si="40">K34*SIN(Q34)</f>
        <v>-81.973484654704365</v>
      </c>
      <c r="S34" s="47">
        <f t="shared" ref="S34:S35" ca="1" si="41">K34*COS(Q34)</f>
        <v>144.84126093727355</v>
      </c>
      <c r="T34" s="45">
        <f t="shared" ref="T34:T35" ca="1" si="42">Old_X0+R34</f>
        <v>3888402.940515345</v>
      </c>
      <c r="U34" s="45">
        <f t="shared" ref="U34:U35" ca="1" si="43">Old_Y0+S34</f>
        <v>1538353.2342609372</v>
      </c>
      <c r="V34" s="47">
        <f t="shared" ref="V34:V35" si="44">Old_Z0+HI+L34-E34</f>
        <v>3433.6286518579122</v>
      </c>
      <c r="W34" s="47">
        <f t="shared" ref="W34:W35" ca="1" si="45">IF(ISNUMBER(T34),V34+dZ,"")</f>
        <v>3432.865447047041</v>
      </c>
      <c r="X34" s="47">
        <f t="shared" ca="1" si="11"/>
        <v>3888402.940515345</v>
      </c>
      <c r="Y34" s="47">
        <f t="shared" ca="1" si="23"/>
        <v>1538353.2342609372</v>
      </c>
      <c r="Z34" s="47">
        <f t="shared" ca="1" si="12"/>
        <v>3888400.1595105259</v>
      </c>
      <c r="AA34" s="47">
        <f t="shared" ca="1" si="13"/>
        <v>1538351.3024782529</v>
      </c>
      <c r="AB34" s="47">
        <f t="shared" ref="AB34:AB35" ca="1" si="46">IF(ISNUMBER(X34),SQRT((X34-Z34)^2+(Y34-AA34)^2),"")</f>
        <v>3.3861146086787173</v>
      </c>
      <c r="AC34" s="47">
        <f ca="1">IF(ISNUMBER(Z34),SQRT(($Z34-OFFSET($Z$20,MATCH(CS_Start,$A$21:$A$46,0),0))^2+($AA34-OFFSET($AA$20,MATCH(CS_Start,$A$21:$A$46,0),0))^2),"")</f>
        <v>126.88906459765944</v>
      </c>
      <c r="AD34" s="47">
        <f t="shared" ref="AD34:AD35" ca="1" si="47">IF(ISNUMBER(X34),W34-Min_Z,"")</f>
        <v>0.59959331385698533</v>
      </c>
      <c r="AE34" s="47">
        <f t="shared" ca="1" si="29"/>
        <v>126.89</v>
      </c>
      <c r="AF34" s="47">
        <f t="shared" ca="1" si="25"/>
        <v>0.6</v>
      </c>
      <c r="AH34" s="44">
        <v>154.19</v>
      </c>
      <c r="AI34" s="44">
        <f ca="1">OFFSET($AF$22,MATCH(AH34,$AE$23:$AE$54,0),0)</f>
        <v>4.8</v>
      </c>
      <c r="AJ34" s="44" t="str">
        <f t="shared" ref="AJ34:AJ35" ca="1" si="48">CONCATENATE(AH34,",",AI34)</f>
        <v>154.19,4.8</v>
      </c>
    </row>
    <row r="35" spans="1:36" x14ac:dyDescent="0.25">
      <c r="A35" s="44">
        <v>14</v>
      </c>
      <c r="B35" s="48">
        <v>8.4408217592592596</v>
      </c>
      <c r="C35" s="48">
        <v>3.9848263888888891</v>
      </c>
      <c r="D35" s="44">
        <v>170.88399999999999</v>
      </c>
      <c r="E35" s="44">
        <v>4.9062000000000001</v>
      </c>
      <c r="F35" s="49" t="s">
        <v>83</v>
      </c>
      <c r="G35" s="43">
        <f t="shared" si="31"/>
        <v>95.635833333333338</v>
      </c>
      <c r="H35" s="43">
        <f t="shared" si="32"/>
        <v>1.6691601745552105</v>
      </c>
      <c r="I35" s="43">
        <f t="shared" si="33"/>
        <v>202.57972222222224</v>
      </c>
      <c r="J35" s="49">
        <f t="shared" si="34"/>
        <v>3.535683150553302</v>
      </c>
      <c r="K35" s="49">
        <f t="shared" si="35"/>
        <v>170.05797683043883</v>
      </c>
      <c r="L35" s="46">
        <f t="shared" si="36"/>
        <v>-16.781715417022422</v>
      </c>
      <c r="M35" s="45"/>
      <c r="N35" s="47">
        <f t="shared" si="37"/>
        <v>202.57972222222224</v>
      </c>
      <c r="O35" s="47">
        <f t="shared" ca="1" si="20"/>
        <v>127.95769255957138</v>
      </c>
      <c r="P35" s="47">
        <f t="shared" ca="1" si="38"/>
        <v>330.53741478179364</v>
      </c>
      <c r="Q35" s="47">
        <f t="shared" ca="1" si="39"/>
        <v>5.768966188972473</v>
      </c>
      <c r="R35" s="47">
        <f t="shared" ca="1" si="40"/>
        <v>-83.643883743204739</v>
      </c>
      <c r="S35" s="47">
        <f t="shared" ca="1" si="41"/>
        <v>148.06558072697152</v>
      </c>
      <c r="T35" s="45">
        <f t="shared" ca="1" si="42"/>
        <v>3888401.2701162565</v>
      </c>
      <c r="U35" s="45">
        <f t="shared" ca="1" si="43"/>
        <v>1538356.458580727</v>
      </c>
      <c r="V35" s="47">
        <f t="shared" si="44"/>
        <v>3434.8501845829774</v>
      </c>
      <c r="W35" s="47">
        <f t="shared" ca="1" si="45"/>
        <v>3434.0869797721061</v>
      </c>
      <c r="X35" s="47">
        <f t="shared" ca="1" si="11"/>
        <v>3888401.2701162565</v>
      </c>
      <c r="Y35" s="47">
        <f t="shared" ca="1" si="23"/>
        <v>1538356.458580727</v>
      </c>
      <c r="Z35" s="47">
        <f t="shared" ca="1" si="12"/>
        <v>3888398.1050852118</v>
      </c>
      <c r="AA35" s="47">
        <f t="shared" ca="1" si="13"/>
        <v>1538354.2600400671</v>
      </c>
      <c r="AB35" s="47">
        <f t="shared" ca="1" si="46"/>
        <v>3.8536998517301662</v>
      </c>
      <c r="AC35" s="47">
        <f ca="1">IF(ISNUMBER(Z35),SQRT(($Z35-OFFSET($Z$20,MATCH(CS_Start,$A$21:$A$46,0),0))^2+($AA35-OFFSET($AA$20,MATCH(CS_Start,$A$21:$A$46,0),0))^2),"")</f>
        <v>130.49015266323846</v>
      </c>
      <c r="AD35" s="47">
        <f t="shared" ca="1" si="47"/>
        <v>1.8211260389221025</v>
      </c>
      <c r="AE35" s="47">
        <f t="shared" ca="1" si="29"/>
        <v>130.49</v>
      </c>
      <c r="AF35" s="47">
        <f t="shared" ca="1" si="25"/>
        <v>1.82</v>
      </c>
      <c r="AH35" s="44">
        <v>196.04</v>
      </c>
      <c r="AI35" s="44">
        <f ca="1">OFFSET($AF$22,MATCH(AH35,$AE$23:$AE$54,0),0)</f>
        <v>5.86</v>
      </c>
      <c r="AJ35" s="44" t="str">
        <f t="shared" ca="1" si="48"/>
        <v>196.04,5.86</v>
      </c>
    </row>
    <row r="36" spans="1:36" x14ac:dyDescent="0.25">
      <c r="A36" s="44">
        <v>15</v>
      </c>
      <c r="B36" s="48">
        <v>8.443194444444444</v>
      </c>
      <c r="C36" s="48">
        <v>3.9588425925925925</v>
      </c>
      <c r="D36" s="44">
        <v>172.18799999999999</v>
      </c>
      <c r="E36" s="44">
        <v>4.9062000000000001</v>
      </c>
      <c r="F36" s="44"/>
      <c r="G36" s="43">
        <f t="shared" ref="G36:G37" si="49">C36*24</f>
        <v>95.012222222222221</v>
      </c>
      <c r="H36" s="43">
        <f t="shared" ref="H36:H37" si="50">RADIANS(G36)</f>
        <v>1.6582761074143013</v>
      </c>
      <c r="I36" s="43">
        <f t="shared" ref="I36:I37" si="51">B36*24</f>
        <v>202.63666666666666</v>
      </c>
      <c r="J36" s="49">
        <f t="shared" ref="J36:J37" si="52">RADIANS(I36)</f>
        <v>3.5366770185995762</v>
      </c>
      <c r="K36" s="49">
        <f t="shared" ref="K36:K37" si="53">D36*SIN(H36)</f>
        <v>171.52956747185024</v>
      </c>
      <c r="L36" s="46">
        <f t="shared" ref="L36:L37" si="54">D36*COS(H36)</f>
        <v>-15.043763721887386</v>
      </c>
      <c r="M36" s="45"/>
      <c r="N36" s="47">
        <f t="shared" ref="N36:N37" si="55">I36+M36</f>
        <v>202.63666666666666</v>
      </c>
      <c r="O36" s="47">
        <f t="shared" ca="1" si="20"/>
        <v>127.95769255957138</v>
      </c>
      <c r="P36" s="47">
        <f t="shared" ref="P36:P37" ca="1" si="56">SUM(N36,O36)</f>
        <v>330.59435922623805</v>
      </c>
      <c r="Q36" s="47">
        <f t="shared" ref="Q36:Q37" ca="1" si="57">RADIANS(P36)</f>
        <v>5.7699600570187473</v>
      </c>
      <c r="R36" s="47">
        <f t="shared" ref="R36:R37" ca="1" si="58">K36*SIN(Q36)</f>
        <v>-84.219220393431598</v>
      </c>
      <c r="S36" s="47">
        <f t="shared" ref="S36:S37" ca="1" si="59">K36*COS(Q36)</f>
        <v>149.43063753261117</v>
      </c>
      <c r="T36" s="45">
        <f t="shared" ref="T36:T37" ca="1" si="60">Old_X0+R36</f>
        <v>3888400.6947796065</v>
      </c>
      <c r="U36" s="45">
        <f t="shared" ref="U36:U37" ca="1" si="61">Old_Y0+S36</f>
        <v>1538357.8236375325</v>
      </c>
      <c r="V36" s="47">
        <f t="shared" ref="V36:V37" si="62">Old_Z0+HI+L36-E36</f>
        <v>3436.5881362781124</v>
      </c>
      <c r="W36" s="47">
        <f t="shared" ref="W36:W37" ca="1" si="63">IF(ISNUMBER(T36),V36+dZ,"")</f>
        <v>3435.8249314672412</v>
      </c>
      <c r="X36" s="47">
        <f t="shared" ca="1" si="11"/>
        <v>3888400.6947796065</v>
      </c>
      <c r="Y36" s="47">
        <f t="shared" ref="Y36:Y37" ca="1" si="64">IF(ISNUMBER(X36),U36,"")</f>
        <v>1538357.8236375325</v>
      </c>
      <c r="Z36" s="47">
        <f t="shared" ca="1" si="12"/>
        <v>3888397.2782309274</v>
      </c>
      <c r="AA36" s="47">
        <f t="shared" ca="1" si="13"/>
        <v>1538355.4503839752</v>
      </c>
      <c r="AB36" s="47">
        <f t="shared" ref="AB36:AB37" ca="1" si="65">IF(ISNUMBER(X36),SQRT((X36-Z36)^2+(Y36-AA36)^2),"")</f>
        <v>4.1599443895711348</v>
      </c>
      <c r="AC36" s="47">
        <f ca="1">IF(ISNUMBER(Z36),SQRT(($Z36-OFFSET($Z$20,MATCH(CS_Start,$A$21:$A$46,0),0))^2+($AA36-OFFSET($AA$20,MATCH(CS_Start,$A$21:$A$46,0),0))^2),"")</f>
        <v>131.93949962894527</v>
      </c>
      <c r="AD36" s="47">
        <f t="shared" ref="AD36:AD37" ca="1" si="66">IF(ISNUMBER(X36),W36-Min_Z,"")</f>
        <v>3.5590777340571549</v>
      </c>
      <c r="AE36" s="47">
        <f t="shared" ca="1" si="29"/>
        <v>131.94</v>
      </c>
      <c r="AF36" s="47">
        <f t="shared" ca="1" si="25"/>
        <v>3.56</v>
      </c>
      <c r="AH36" s="44">
        <v>254.23</v>
      </c>
      <c r="AI36" s="44">
        <f ca="1">OFFSET($AF$22,MATCH(AH36,$AE$23:$AE$54,0),0)</f>
        <v>8.7100000000000009</v>
      </c>
      <c r="AJ36" s="44" t="str">
        <f t="shared" ref="AJ36:AJ37" ca="1" si="67">CONCATENATE(AH36,",",AI36)</f>
        <v>254.23,8.71</v>
      </c>
    </row>
    <row r="37" spans="1:36" x14ac:dyDescent="0.25">
      <c r="A37" s="44">
        <v>16</v>
      </c>
      <c r="B37" s="48">
        <v>8.4221064814814817</v>
      </c>
      <c r="C37" s="48">
        <v>3.9197916666666668</v>
      </c>
      <c r="D37" s="44">
        <v>194.21899999999999</v>
      </c>
      <c r="E37" s="44">
        <v>4.9062000000000001</v>
      </c>
      <c r="F37" s="44"/>
      <c r="G37" s="43">
        <f t="shared" si="49"/>
        <v>94.075000000000003</v>
      </c>
      <c r="H37" s="43">
        <f t="shared" si="50"/>
        <v>1.6419184938136655</v>
      </c>
      <c r="I37" s="43">
        <f t="shared" si="51"/>
        <v>202.13055555555556</v>
      </c>
      <c r="J37" s="49">
        <f t="shared" si="52"/>
        <v>3.5278437133297604</v>
      </c>
      <c r="K37" s="49">
        <f t="shared" si="53"/>
        <v>193.7279919601558</v>
      </c>
      <c r="L37" s="46">
        <f t="shared" si="54"/>
        <v>-13.801633674525702</v>
      </c>
      <c r="M37" s="45"/>
      <c r="N37" s="47">
        <f t="shared" si="55"/>
        <v>202.13055555555556</v>
      </c>
      <c r="O37" s="47">
        <f t="shared" ca="1" si="20"/>
        <v>127.95769255957138</v>
      </c>
      <c r="P37" s="47">
        <f t="shared" ca="1" si="56"/>
        <v>330.08824811512693</v>
      </c>
      <c r="Q37" s="47">
        <f t="shared" ca="1" si="57"/>
        <v>5.7611267517489315</v>
      </c>
      <c r="R37" s="47">
        <f t="shared" ca="1" si="58"/>
        <v>-96.605473271641685</v>
      </c>
      <c r="S37" s="47">
        <f t="shared" ca="1" si="59"/>
        <v>167.92235528027922</v>
      </c>
      <c r="T37" s="45">
        <f t="shared" ca="1" si="60"/>
        <v>3888388.3085267283</v>
      </c>
      <c r="U37" s="45">
        <f t="shared" ca="1" si="61"/>
        <v>1538376.3153552802</v>
      </c>
      <c r="V37" s="47">
        <f t="shared" si="62"/>
        <v>3437.830266325474</v>
      </c>
      <c r="W37" s="47">
        <f t="shared" ca="1" si="63"/>
        <v>3437.0670615146028</v>
      </c>
      <c r="X37" s="47">
        <f t="shared" ca="1" si="11"/>
        <v>3888388.3085267283</v>
      </c>
      <c r="Y37" s="47">
        <f t="shared" ca="1" si="64"/>
        <v>1538376.3153552802</v>
      </c>
      <c r="Z37" s="47">
        <f t="shared" ca="1" si="12"/>
        <v>3888384.5825466244</v>
      </c>
      <c r="AA37" s="47">
        <f t="shared" ca="1" si="13"/>
        <v>1538373.7271598913</v>
      </c>
      <c r="AB37" s="47">
        <f t="shared" ca="1" si="65"/>
        <v>4.5367039914627068</v>
      </c>
      <c r="AC37" s="47">
        <f ca="1">IF(ISNUMBER(Z37),SQRT(($Z37-OFFSET($Z$20,MATCH(CS_Start,$A$21:$A$46,0),0))^2+($AA37-OFFSET($AA$20,MATCH(CS_Start,$A$21:$A$46,0),0))^2),"")</f>
        <v>154.1930597443662</v>
      </c>
      <c r="AD37" s="47">
        <f t="shared" ca="1" si="66"/>
        <v>4.8012077814187251</v>
      </c>
      <c r="AE37" s="47">
        <f t="shared" ca="1" si="29"/>
        <v>154.19</v>
      </c>
      <c r="AF37" s="47">
        <f t="shared" ca="1" si="25"/>
        <v>4.8</v>
      </c>
      <c r="AH37" s="44"/>
      <c r="AI37" s="44">
        <f ca="1">OFFSET($AF$22,MATCH(AH37,$AE$23:$AE$54,0),0)</f>
        <v>5.38</v>
      </c>
      <c r="AJ37" s="44" t="str">
        <f t="shared" ca="1" si="67"/>
        <v>,5.38</v>
      </c>
    </row>
    <row r="38" spans="1:36" x14ac:dyDescent="0.25">
      <c r="A38" s="44">
        <v>17</v>
      </c>
      <c r="B38" s="48">
        <v>8.431805555555556</v>
      </c>
      <c r="C38" s="48">
        <v>3.8788773148148148</v>
      </c>
      <c r="D38" s="44">
        <v>236.15199999999999</v>
      </c>
      <c r="E38" s="44">
        <v>4.9062000000000001</v>
      </c>
      <c r="F38" s="44"/>
      <c r="G38" s="43">
        <f t="shared" ref="G38:G41" si="68">C38*24</f>
        <v>93.093055555555551</v>
      </c>
      <c r="H38" s="43">
        <f t="shared" ref="H38:H41" si="69">RADIANS(G38)</f>
        <v>1.6247803301864434</v>
      </c>
      <c r="I38" s="43">
        <f t="shared" ref="I38:I41" si="70">B38*24</f>
        <v>202.36333333333334</v>
      </c>
      <c r="J38" s="49">
        <f t="shared" ref="J38:J41" si="71">RADIANS(I38)</f>
        <v>3.5319064519774588</v>
      </c>
      <c r="K38" s="49">
        <f t="shared" ref="K38:K41" si="72">D38*SIN(H38)</f>
        <v>235.80797790588664</v>
      </c>
      <c r="L38" s="46">
        <f t="shared" ref="L38:L41" si="73">D38*COS(H38)</f>
        <v>-12.742239204193195</v>
      </c>
      <c r="M38" s="45"/>
      <c r="N38" s="47">
        <f t="shared" ref="N38:N41" si="74">I38+M38</f>
        <v>202.36333333333334</v>
      </c>
      <c r="O38" s="47">
        <f t="shared" ca="1" si="20"/>
        <v>127.95769255957138</v>
      </c>
      <c r="P38" s="47">
        <f t="shared" ref="P38:P41" ca="1" si="75">SUM(N38,O38)</f>
        <v>330.32102589290474</v>
      </c>
      <c r="Q38" s="47">
        <f t="shared" ref="Q38:Q41" ca="1" si="76">RADIANS(P38)</f>
        <v>5.7651894903966303</v>
      </c>
      <c r="R38" s="47">
        <f t="shared" ref="R38:R41" ca="1" si="77">K38*SIN(Q38)</f>
        <v>-116.75793210333423</v>
      </c>
      <c r="S38" s="47">
        <f t="shared" ref="S38:S41" ca="1" si="78">K38*COS(Q38)</f>
        <v>204.87310154096929</v>
      </c>
      <c r="T38" s="45">
        <f t="shared" ref="T38:T41" ca="1" si="79">Old_X0+R38</f>
        <v>3888368.1560678966</v>
      </c>
      <c r="U38" s="45">
        <f t="shared" ref="U38:U41" ca="1" si="80">Old_Y0+S38</f>
        <v>1538413.266101541</v>
      </c>
      <c r="V38" s="47">
        <f t="shared" ref="V38:V41" si="81">Old_Z0+HI+L38-E38</f>
        <v>3438.8896607958068</v>
      </c>
      <c r="W38" s="47">
        <f t="shared" ref="W38:W41" ca="1" si="82">IF(ISNUMBER(T38),V38+dZ,"")</f>
        <v>3438.1264559849355</v>
      </c>
      <c r="X38" s="47">
        <f t="shared" ca="1" si="11"/>
        <v>3888368.1560678966</v>
      </c>
      <c r="Y38" s="47">
        <f t="shared" ref="Y38:Y41" ca="1" si="83">IF(ISNUMBER(X38),U38,"")</f>
        <v>1538413.266101541</v>
      </c>
      <c r="Z38" s="47">
        <f t="shared" ca="1" si="12"/>
        <v>3888360.7101891059</v>
      </c>
      <c r="AA38" s="47">
        <f t="shared" ca="1" si="13"/>
        <v>1538408.0939351311</v>
      </c>
      <c r="AB38" s="47">
        <f t="shared" ref="AB38:AB41" ca="1" si="84">IF(ISNUMBER(X38),SQRT((X38-Z38)^2+(Y38-AA38)^2),"")</f>
        <v>9.0660033276737124</v>
      </c>
      <c r="AC38" s="47">
        <f ca="1">IF(ISNUMBER(Z38),SQRT(($Z38-OFFSET($Z$20,MATCH(CS_Start,$A$21:$A$46,0),0))^2+($AA38-OFFSET($AA$20,MATCH(CS_Start,$A$21:$A$46,0),0))^2),"")</f>
        <v>196.03758977961743</v>
      </c>
      <c r="AD38" s="47">
        <f t="shared" ref="AD38:AD41" ca="1" si="85">IF(ISNUMBER(X38),W38-Min_Z,"")</f>
        <v>5.8606022517515157</v>
      </c>
      <c r="AE38" s="47">
        <f t="shared" ca="1" si="29"/>
        <v>196.04</v>
      </c>
      <c r="AF38" s="47">
        <f t="shared" ca="1" si="25"/>
        <v>5.86</v>
      </c>
      <c r="AH38" s="44"/>
      <c r="AI38" s="44">
        <f ca="1">OFFSET($AF$22,MATCH(AH38,$AE$23:$AE$54,0),0)</f>
        <v>5.38</v>
      </c>
      <c r="AJ38" s="44" t="str">
        <f t="shared" ref="AJ38:AJ41" ca="1" si="86">CONCATENATE(AH38,",",AI38)</f>
        <v>,5.38</v>
      </c>
    </row>
    <row r="39" spans="1:36" x14ac:dyDescent="0.25">
      <c r="A39" s="44">
        <v>18</v>
      </c>
      <c r="B39" s="48">
        <v>8.2071296296296286</v>
      </c>
      <c r="C39" s="48">
        <v>3.8305671296296295</v>
      </c>
      <c r="D39" s="44">
        <v>293.23899999999998</v>
      </c>
      <c r="E39" s="44">
        <v>4.9062000000000001</v>
      </c>
      <c r="F39" s="49"/>
      <c r="G39" s="43">
        <f t="shared" si="68"/>
        <v>91.933611111111105</v>
      </c>
      <c r="H39" s="43">
        <f t="shared" si="69"/>
        <v>1.6045442071369314</v>
      </c>
      <c r="I39" s="43">
        <f t="shared" si="70"/>
        <v>196.9711111111111</v>
      </c>
      <c r="J39" s="49">
        <f t="shared" si="71"/>
        <v>3.4377944202004751</v>
      </c>
      <c r="K39" s="49">
        <f t="shared" si="72"/>
        <v>293.07202805119005</v>
      </c>
      <c r="L39" s="46">
        <f t="shared" si="73"/>
        <v>-9.8943162958570134</v>
      </c>
      <c r="M39" s="45"/>
      <c r="N39" s="47">
        <f t="shared" si="74"/>
        <v>196.9711111111111</v>
      </c>
      <c r="O39" s="47">
        <f t="shared" ca="1" si="20"/>
        <v>127.95769255957138</v>
      </c>
      <c r="P39" s="47">
        <f t="shared" ca="1" si="75"/>
        <v>324.9288036706825</v>
      </c>
      <c r="Q39" s="47">
        <f t="shared" ca="1" si="76"/>
        <v>5.6710774586196466</v>
      </c>
      <c r="R39" s="47">
        <f t="shared" ca="1" si="77"/>
        <v>-168.39739374180908</v>
      </c>
      <c r="S39" s="47">
        <f t="shared" ca="1" si="78"/>
        <v>239.86148379221629</v>
      </c>
      <c r="T39" s="45">
        <f t="shared" ca="1" si="79"/>
        <v>3888316.5166062582</v>
      </c>
      <c r="U39" s="45">
        <f t="shared" ca="1" si="80"/>
        <v>1538448.2544837922</v>
      </c>
      <c r="V39" s="47">
        <f t="shared" si="81"/>
        <v>3441.7375837041427</v>
      </c>
      <c r="W39" s="47">
        <f t="shared" ca="1" si="82"/>
        <v>3440.9743788932715</v>
      </c>
      <c r="X39" s="47">
        <f t="shared" ca="1" si="11"/>
        <v>3888316.5166062582</v>
      </c>
      <c r="Y39" s="47">
        <f t="shared" ca="1" si="83"/>
        <v>1538448.2544837922</v>
      </c>
      <c r="Z39" s="47">
        <f t="shared" ca="1" si="12"/>
        <v>3888327.5091705625</v>
      </c>
      <c r="AA39" s="47">
        <f t="shared" ca="1" si="13"/>
        <v>1538455.89030133</v>
      </c>
      <c r="AB39" s="47">
        <f t="shared" ca="1" si="84"/>
        <v>13.384400601212437</v>
      </c>
      <c r="AC39" s="47">
        <f ca="1">IF(ISNUMBER(Z39),SQRT(($Z39-OFFSET($Z$20,MATCH(CS_Start,$A$21:$A$46,0),0))^2+($AA39-OFFSET($AA$20,MATCH(CS_Start,$A$21:$A$46,0),0))^2),"")</f>
        <v>254.23381177163023</v>
      </c>
      <c r="AD39" s="47">
        <f t="shared" ca="1" si="85"/>
        <v>8.7085251600874471</v>
      </c>
      <c r="AE39" s="47">
        <f t="shared" ca="1" si="29"/>
        <v>254.23</v>
      </c>
      <c r="AF39" s="47">
        <f t="shared" ca="1" si="25"/>
        <v>8.7100000000000009</v>
      </c>
      <c r="AH39" s="44"/>
      <c r="AI39" s="44">
        <f ca="1">OFFSET($AF$22,MATCH(AH39,$AE$23:$AE$54,0),0)</f>
        <v>5.38</v>
      </c>
      <c r="AJ39" s="44" t="str">
        <f t="shared" ca="1" si="86"/>
        <v>,5.38</v>
      </c>
    </row>
    <row r="40" spans="1:36" x14ac:dyDescent="0.25">
      <c r="A40" s="44">
        <v>19</v>
      </c>
      <c r="B40" s="48">
        <v>14.99925925925926</v>
      </c>
      <c r="C40" s="48">
        <v>3.7524074074074072</v>
      </c>
      <c r="D40" s="44">
        <v>98.375</v>
      </c>
      <c r="E40" s="44">
        <v>4.9062000000000001</v>
      </c>
      <c r="F40" s="49" t="s">
        <v>69</v>
      </c>
      <c r="G40" s="43">
        <f t="shared" si="68"/>
        <v>90.057777777777773</v>
      </c>
      <c r="H40" s="43">
        <f t="shared" si="69"/>
        <v>1.5718047392516044</v>
      </c>
      <c r="I40" s="43">
        <f t="shared" si="70"/>
        <v>359.98222222222222</v>
      </c>
      <c r="J40" s="49">
        <f t="shared" si="71"/>
        <v>6.2828750264236763</v>
      </c>
      <c r="K40" s="49">
        <f t="shared" si="72"/>
        <v>98.374949981447841</v>
      </c>
      <c r="L40" s="46">
        <f t="shared" si="73"/>
        <v>-9.9202558615512554E-2</v>
      </c>
      <c r="M40" s="45"/>
      <c r="N40" s="47">
        <f t="shared" si="74"/>
        <v>359.98222222222222</v>
      </c>
      <c r="O40" s="47">
        <f t="shared" ca="1" si="20"/>
        <v>127.95769255957138</v>
      </c>
      <c r="P40" s="47">
        <f t="shared" ca="1" si="75"/>
        <v>487.93991478179362</v>
      </c>
      <c r="Q40" s="47">
        <f t="shared" ca="1" si="76"/>
        <v>8.5161580648428483</v>
      </c>
      <c r="R40" s="47">
        <f t="shared" ca="1" si="77"/>
        <v>77.583990132696357</v>
      </c>
      <c r="S40" s="47">
        <f t="shared" ca="1" si="78"/>
        <v>-60.484338955981308</v>
      </c>
      <c r="T40" s="45">
        <f t="shared" ca="1" si="79"/>
        <v>3888562.4979901328</v>
      </c>
      <c r="U40" s="45">
        <f t="shared" ca="1" si="80"/>
        <v>1538147.908661044</v>
      </c>
      <c r="V40" s="47">
        <f t="shared" si="81"/>
        <v>3451.5326974413842</v>
      </c>
      <c r="W40" s="47">
        <f t="shared" ca="1" si="82"/>
        <v>3450.769492630513</v>
      </c>
      <c r="X40" s="47" t="str">
        <f t="shared" si="11"/>
        <v/>
      </c>
      <c r="Y40" s="47" t="str">
        <f t="shared" si="83"/>
        <v/>
      </c>
      <c r="Z40" s="47" t="e">
        <f t="shared" si="12"/>
        <v>#N/A</v>
      </c>
      <c r="AA40" s="47" t="e">
        <f t="shared" si="13"/>
        <v>#N/A</v>
      </c>
      <c r="AB40" s="47" t="str">
        <f t="shared" si="84"/>
        <v/>
      </c>
      <c r="AC40" s="47" t="str">
        <f ca="1">IF(ISNUMBER(Z40),SQRT(($Z40-OFFSET($Z$20,MATCH(CS_Start,$A$21:$A$46,0),0))^2+($AA40-OFFSET($AA$20,MATCH(CS_Start,$A$21:$A$46,0),0))^2),"")</f>
        <v/>
      </c>
      <c r="AD40" s="47" t="str">
        <f t="shared" si="85"/>
        <v/>
      </c>
      <c r="AE40" s="47" t="e">
        <f t="shared" ca="1" si="29"/>
        <v>#VALUE!</v>
      </c>
      <c r="AF40" s="47" t="e">
        <f t="shared" si="25"/>
        <v>#VALUE!</v>
      </c>
      <c r="AH40" s="44"/>
      <c r="AI40" s="44">
        <f ca="1">OFFSET($AF$22,MATCH(AH40,$AE$23:$AE$54,0),0)</f>
        <v>5.38</v>
      </c>
      <c r="AJ40" s="44" t="str">
        <f t="shared" ca="1" si="86"/>
        <v>,5.38</v>
      </c>
    </row>
    <row r="41" spans="1:36" x14ac:dyDescent="0.25">
      <c r="A41" s="44">
        <v>20</v>
      </c>
      <c r="B41" s="48">
        <v>2.1852777777777779</v>
      </c>
      <c r="C41" s="48">
        <v>3.8898842592592593</v>
      </c>
      <c r="D41" s="44">
        <v>67.686999999999998</v>
      </c>
      <c r="E41" s="44">
        <v>4.9062000000000001</v>
      </c>
      <c r="F41" s="49" t="s">
        <v>70</v>
      </c>
      <c r="G41" s="43">
        <f t="shared" si="68"/>
        <v>93.357222222222219</v>
      </c>
      <c r="H41" s="43">
        <f t="shared" si="69"/>
        <v>1.629390908293795</v>
      </c>
      <c r="I41" s="43">
        <f t="shared" si="70"/>
        <v>52.446666666666673</v>
      </c>
      <c r="J41" s="49">
        <f t="shared" si="71"/>
        <v>0.91536701502929285</v>
      </c>
      <c r="K41" s="49">
        <f t="shared" si="72"/>
        <v>67.570837507009713</v>
      </c>
      <c r="L41" s="46">
        <f t="shared" si="73"/>
        <v>-3.9638223473420862</v>
      </c>
      <c r="M41" s="45"/>
      <c r="N41" s="47">
        <f t="shared" si="74"/>
        <v>52.446666666666673</v>
      </c>
      <c r="O41" s="47">
        <f t="shared" ca="1" si="20"/>
        <v>127.95769255957138</v>
      </c>
      <c r="P41" s="47">
        <f t="shared" ca="1" si="75"/>
        <v>180.40435922623806</v>
      </c>
      <c r="Q41" s="47">
        <f t="shared" ca="1" si="76"/>
        <v>3.1486500534484638</v>
      </c>
      <c r="R41" s="47">
        <f t="shared" ca="1" si="77"/>
        <v>-0.476870460476573</v>
      </c>
      <c r="S41" s="47">
        <f t="shared" ca="1" si="78"/>
        <v>-67.569154767265189</v>
      </c>
      <c r="T41" s="45">
        <f t="shared" ca="1" si="79"/>
        <v>3888484.4371295394</v>
      </c>
      <c r="U41" s="45">
        <f t="shared" ca="1" si="80"/>
        <v>1538140.8238452326</v>
      </c>
      <c r="V41" s="47">
        <f t="shared" si="81"/>
        <v>3447.6680776526578</v>
      </c>
      <c r="W41" s="47">
        <f t="shared" ca="1" si="82"/>
        <v>3446.9048728417865</v>
      </c>
      <c r="X41" s="47" t="str">
        <f t="shared" si="11"/>
        <v/>
      </c>
      <c r="Y41" s="47" t="str">
        <f t="shared" si="83"/>
        <v/>
      </c>
      <c r="Z41" s="47" t="e">
        <f t="shared" si="12"/>
        <v>#N/A</v>
      </c>
      <c r="AA41" s="47" t="e">
        <f t="shared" si="13"/>
        <v>#N/A</v>
      </c>
      <c r="AB41" s="47" t="str">
        <f t="shared" si="84"/>
        <v/>
      </c>
      <c r="AC41" s="47" t="str">
        <f ca="1">IF(ISNUMBER(Z41),SQRT(($Z41-OFFSET($Z$20,MATCH(CS_Start,$A$21:$A$46,0),0))^2+($AA41-OFFSET($AA$20,MATCH(CS_Start,$A$21:$A$46,0),0))^2),"")</f>
        <v/>
      </c>
      <c r="AD41" s="47" t="str">
        <f t="shared" si="85"/>
        <v/>
      </c>
      <c r="AE41" s="47" t="e">
        <f t="shared" ca="1" si="29"/>
        <v>#VALUE!</v>
      </c>
      <c r="AF41" s="47" t="e">
        <f t="shared" si="25"/>
        <v>#VALUE!</v>
      </c>
      <c r="AI41" s="44">
        <f ca="1">OFFSET($AF$22,MATCH(AH41,$AE$23:$AE$54,0),0)</f>
        <v>5.38</v>
      </c>
      <c r="AJ41" s="44" t="str">
        <f t="shared" ca="1" si="86"/>
        <v>,5.38</v>
      </c>
    </row>
    <row r="42" spans="1:36" x14ac:dyDescent="0.25">
      <c r="A42" s="44"/>
      <c r="B42" s="48"/>
      <c r="C42" s="48"/>
      <c r="D42" s="44"/>
      <c r="E42" s="44"/>
      <c r="F42" s="44"/>
      <c r="G42" s="43"/>
      <c r="H42" s="43"/>
      <c r="I42" s="43"/>
      <c r="J42" s="49"/>
      <c r="K42" s="49"/>
      <c r="L42" s="46"/>
      <c r="M42" s="45"/>
      <c r="N42" s="47"/>
      <c r="O42" s="47"/>
      <c r="P42" s="47"/>
      <c r="Q42" s="47"/>
      <c r="R42" s="47"/>
      <c r="S42" s="47"/>
      <c r="T42" s="45"/>
      <c r="U42" s="45"/>
      <c r="V42" s="47"/>
      <c r="W42" s="47"/>
      <c r="X42" s="47"/>
      <c r="Y42" s="47"/>
      <c r="Z42" s="47"/>
      <c r="AA42" s="47"/>
      <c r="AB42" s="47"/>
      <c r="AC42" s="47"/>
      <c r="AD42" s="47"/>
      <c r="AE42" s="44"/>
      <c r="AF42" s="44"/>
    </row>
    <row r="43" spans="1:36" x14ac:dyDescent="0.25">
      <c r="A43" s="44"/>
      <c r="B43" s="48"/>
      <c r="C43" s="48"/>
      <c r="D43" s="44"/>
      <c r="E43" s="44"/>
      <c r="F43" s="44"/>
      <c r="G43" s="43"/>
      <c r="H43" s="43"/>
      <c r="I43" s="43"/>
      <c r="J43" s="49"/>
      <c r="K43" s="49"/>
      <c r="L43" s="46"/>
      <c r="M43" s="45"/>
      <c r="N43" s="47"/>
      <c r="O43" s="47"/>
      <c r="P43" s="47"/>
      <c r="Q43" s="47"/>
      <c r="R43" s="47"/>
      <c r="S43" s="47"/>
      <c r="T43" s="45"/>
      <c r="U43" s="45"/>
      <c r="V43" s="47"/>
      <c r="W43" s="47"/>
      <c r="X43" s="47"/>
      <c r="Y43" s="47"/>
      <c r="Z43" s="47"/>
      <c r="AA43" s="47"/>
      <c r="AB43" s="47"/>
      <c r="AC43" s="47"/>
      <c r="AD43" s="47"/>
      <c r="AE43" s="44"/>
      <c r="AF43" s="44"/>
    </row>
    <row r="44" spans="1:36" x14ac:dyDescent="0.25">
      <c r="A44" s="44"/>
      <c r="B44" s="48"/>
      <c r="C44" s="48"/>
      <c r="D44" s="44"/>
      <c r="E44" s="44"/>
      <c r="F44" s="44"/>
      <c r="G44" s="43"/>
      <c r="H44" s="43"/>
      <c r="I44" s="43"/>
      <c r="J44" s="49"/>
      <c r="K44" s="49"/>
      <c r="L44" s="46"/>
      <c r="M44" s="45"/>
      <c r="N44" s="47"/>
      <c r="O44" s="47"/>
      <c r="P44" s="47"/>
      <c r="Q44" s="47"/>
      <c r="R44" s="47"/>
      <c r="S44" s="47"/>
      <c r="T44" s="45"/>
      <c r="U44" s="45"/>
      <c r="V44" s="47"/>
      <c r="W44" s="47"/>
      <c r="X44" s="47"/>
      <c r="Y44" s="47"/>
      <c r="Z44" s="47"/>
      <c r="AA44" s="47"/>
      <c r="AB44" s="47"/>
      <c r="AC44" s="47"/>
      <c r="AD44" s="47"/>
      <c r="AE44" s="44"/>
      <c r="AF44" s="44"/>
    </row>
    <row r="45" spans="1:36" x14ac:dyDescent="0.25">
      <c r="A45" s="44"/>
      <c r="B45" s="48"/>
      <c r="C45" s="48"/>
      <c r="D45" s="44"/>
      <c r="E45" s="44"/>
      <c r="F45" s="44"/>
      <c r="G45" s="43"/>
      <c r="H45" s="43"/>
      <c r="I45" s="43"/>
      <c r="J45" s="49"/>
      <c r="K45" s="49"/>
      <c r="L45" s="46"/>
      <c r="M45" s="45"/>
      <c r="N45" s="47"/>
      <c r="O45" s="47"/>
      <c r="P45" s="47"/>
      <c r="Q45" s="47"/>
      <c r="R45" s="47"/>
      <c r="S45" s="47"/>
      <c r="T45" s="45"/>
      <c r="U45" s="45"/>
      <c r="V45" s="47"/>
      <c r="W45" s="47"/>
      <c r="X45" s="47"/>
      <c r="Y45" s="47"/>
      <c r="Z45" s="47"/>
      <c r="AA45" s="47"/>
      <c r="AB45" s="47"/>
      <c r="AC45" s="47"/>
      <c r="AD45" s="47"/>
      <c r="AE45" s="44"/>
      <c r="AF45" s="44"/>
    </row>
    <row r="46" spans="1:36" x14ac:dyDescent="0.25">
      <c r="A46" s="44"/>
      <c r="B46" s="48"/>
      <c r="C46" s="48"/>
      <c r="D46" s="44"/>
      <c r="E46" s="44"/>
      <c r="F46" s="49"/>
      <c r="G46" s="43"/>
      <c r="H46" s="43"/>
      <c r="I46" s="43"/>
      <c r="J46" s="49"/>
      <c r="K46" s="49"/>
      <c r="L46" s="46"/>
      <c r="M46" s="45"/>
      <c r="N46" s="47"/>
      <c r="O46" s="47"/>
      <c r="P46" s="47"/>
      <c r="Q46" s="47"/>
      <c r="R46" s="47"/>
      <c r="S46" s="47"/>
      <c r="T46" s="45"/>
      <c r="U46" s="45"/>
      <c r="V46" s="47"/>
      <c r="W46" s="47"/>
      <c r="X46" s="47"/>
      <c r="Y46" s="47"/>
      <c r="Z46" s="47"/>
      <c r="AA46" s="47"/>
      <c r="AB46" s="47"/>
      <c r="AC46" s="47"/>
      <c r="AD46" s="47"/>
      <c r="AE46" s="44"/>
      <c r="AF46" s="44"/>
    </row>
    <row r="47" spans="1:36" x14ac:dyDescent="0.25">
      <c r="A47" s="44"/>
      <c r="B47" s="48"/>
      <c r="C47" s="48"/>
      <c r="D47" s="44"/>
      <c r="E47" s="44"/>
      <c r="F47" s="44"/>
      <c r="G47" s="43"/>
      <c r="H47" s="43"/>
      <c r="I47" s="43"/>
      <c r="J47" s="49"/>
      <c r="K47" s="49"/>
      <c r="L47" s="46"/>
      <c r="M47" s="45"/>
      <c r="N47" s="47"/>
      <c r="O47" s="47"/>
      <c r="P47" s="47"/>
      <c r="Q47" s="47"/>
      <c r="R47" s="47"/>
      <c r="S47" s="47"/>
      <c r="T47" s="45"/>
      <c r="U47" s="45"/>
      <c r="V47" s="47"/>
      <c r="W47" s="47"/>
      <c r="X47" s="47"/>
      <c r="Y47" s="47"/>
      <c r="Z47" s="47"/>
      <c r="AA47" s="47"/>
      <c r="AB47" s="47"/>
      <c r="AC47" s="47"/>
      <c r="AD47" s="47"/>
      <c r="AE47" s="44"/>
      <c r="AF47" s="44"/>
    </row>
    <row r="48" spans="1:36" x14ac:dyDescent="0.25">
      <c r="A48" s="44"/>
      <c r="B48" s="48"/>
      <c r="C48" s="48"/>
      <c r="D48" s="44"/>
      <c r="E48" s="44"/>
      <c r="F48" s="49"/>
      <c r="G48" s="43"/>
      <c r="H48" s="43"/>
      <c r="I48" s="43"/>
      <c r="J48" s="49"/>
      <c r="K48" s="49"/>
      <c r="L48" s="46"/>
      <c r="M48" s="45"/>
      <c r="N48" s="47"/>
      <c r="O48" s="47"/>
      <c r="P48" s="47"/>
      <c r="Q48" s="47"/>
      <c r="R48" s="47"/>
      <c r="S48" s="47"/>
      <c r="T48" s="45"/>
      <c r="U48" s="45"/>
      <c r="V48" s="47"/>
      <c r="W48" s="47"/>
      <c r="X48" s="47"/>
      <c r="Y48" s="47"/>
      <c r="Z48" s="47"/>
      <c r="AA48" s="47"/>
      <c r="AB48" s="47"/>
      <c r="AC48" s="47"/>
      <c r="AD48" s="47"/>
      <c r="AE48" s="44"/>
      <c r="AF48" s="44"/>
    </row>
    <row r="49" spans="1:36" x14ac:dyDescent="0.25">
      <c r="A49" s="44"/>
      <c r="B49" s="48"/>
      <c r="C49" s="48"/>
      <c r="D49" s="44"/>
      <c r="E49" s="44"/>
      <c r="F49" s="44"/>
      <c r="G49" s="43"/>
      <c r="H49" s="43"/>
      <c r="I49" s="43"/>
      <c r="J49" s="49"/>
      <c r="K49" s="49"/>
      <c r="L49" s="46"/>
      <c r="M49" s="45"/>
      <c r="N49" s="47"/>
      <c r="O49" s="47"/>
      <c r="P49" s="47"/>
      <c r="Q49" s="47"/>
      <c r="R49" s="47"/>
      <c r="S49" s="47"/>
      <c r="T49" s="45"/>
      <c r="U49" s="45"/>
      <c r="V49" s="47"/>
      <c r="W49" s="47"/>
      <c r="X49" s="47"/>
      <c r="Y49" s="47"/>
      <c r="Z49" s="47"/>
      <c r="AA49" s="47"/>
      <c r="AB49" s="47"/>
      <c r="AC49" s="47"/>
      <c r="AD49" s="47"/>
      <c r="AE49" s="44"/>
      <c r="AF49" s="44"/>
    </row>
    <row r="50" spans="1:36" x14ac:dyDescent="0.25">
      <c r="A50" s="44"/>
      <c r="B50" s="48"/>
      <c r="C50" s="48"/>
      <c r="D50" s="44"/>
      <c r="E50" s="44"/>
      <c r="F50" s="44"/>
      <c r="G50" s="43"/>
      <c r="H50" s="43"/>
      <c r="I50" s="43"/>
      <c r="J50" s="49"/>
      <c r="K50" s="49"/>
      <c r="L50" s="46"/>
      <c r="M50" s="45"/>
      <c r="N50" s="47"/>
      <c r="O50" s="47"/>
      <c r="P50" s="47"/>
      <c r="Q50" s="47"/>
      <c r="R50" s="47"/>
      <c r="S50" s="47"/>
      <c r="T50" s="45"/>
      <c r="U50" s="45"/>
      <c r="V50" s="47"/>
      <c r="W50" s="47"/>
      <c r="X50" s="47"/>
      <c r="Y50" s="47"/>
      <c r="Z50" s="47"/>
      <c r="AA50" s="47"/>
      <c r="AB50" s="47"/>
      <c r="AC50" s="47"/>
      <c r="AD50" s="47"/>
      <c r="AE50" s="44"/>
      <c r="AF50" s="44"/>
    </row>
    <row r="51" spans="1:36" x14ac:dyDescent="0.25">
      <c r="A51" s="44"/>
      <c r="B51" s="48"/>
      <c r="C51" s="50"/>
      <c r="D51" s="44"/>
      <c r="E51" s="44"/>
      <c r="F51" s="50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</row>
    <row r="52" spans="1:36" x14ac:dyDescent="0.25">
      <c r="A52" s="44"/>
      <c r="B52" s="48"/>
      <c r="C52" s="48"/>
      <c r="D52" s="44"/>
      <c r="E52" s="44"/>
      <c r="F52" s="44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</row>
    <row r="53" spans="1:36" x14ac:dyDescent="0.25">
      <c r="A53" s="44"/>
      <c r="B53" s="48"/>
      <c r="C53" s="48"/>
      <c r="D53" s="44"/>
      <c r="E53" s="44"/>
      <c r="F53" s="44"/>
      <c r="G53" s="43"/>
      <c r="H53" s="43"/>
      <c r="I53" s="43"/>
      <c r="J53" s="49"/>
      <c r="K53" s="49"/>
      <c r="L53" s="46"/>
      <c r="M53" s="45"/>
      <c r="N53" s="47"/>
      <c r="O53" s="47"/>
      <c r="P53" s="47"/>
      <c r="Q53" s="47"/>
      <c r="R53" s="47"/>
      <c r="S53" s="47"/>
      <c r="T53" s="45"/>
      <c r="U53" s="45"/>
      <c r="V53" s="47"/>
      <c r="W53" s="47"/>
      <c r="X53" s="47"/>
      <c r="Y53" s="47"/>
      <c r="Z53" s="47"/>
      <c r="AA53" s="47"/>
      <c r="AB53" s="47"/>
      <c r="AC53" s="47"/>
      <c r="AD53" s="47"/>
      <c r="AE53" s="44"/>
      <c r="AF53" s="44"/>
    </row>
    <row r="54" spans="1:36" x14ac:dyDescent="0.25">
      <c r="A54" s="44"/>
      <c r="B54" s="48"/>
      <c r="C54" s="48"/>
      <c r="D54" s="44"/>
      <c r="E54" s="44"/>
      <c r="F54" s="44"/>
      <c r="G54" s="43"/>
      <c r="H54" s="43"/>
      <c r="I54" s="43"/>
      <c r="J54" s="49"/>
      <c r="K54" s="49"/>
      <c r="L54" s="46"/>
      <c r="M54" s="45"/>
      <c r="N54" s="47"/>
      <c r="O54" s="47"/>
      <c r="P54" s="47"/>
      <c r="Q54" s="47"/>
      <c r="R54" s="47"/>
      <c r="S54" s="47"/>
      <c r="T54" s="45"/>
      <c r="U54" s="45"/>
      <c r="V54" s="47"/>
      <c r="W54" s="47"/>
      <c r="X54" s="47"/>
      <c r="Y54" s="47"/>
      <c r="Z54" s="47"/>
      <c r="AA54" s="47"/>
      <c r="AB54" s="47"/>
      <c r="AC54" s="47"/>
      <c r="AD54" s="47"/>
      <c r="AE54" s="44"/>
      <c r="AF54" s="44"/>
    </row>
    <row r="55" spans="1:36" x14ac:dyDescent="0.25">
      <c r="A55" s="44"/>
      <c r="B55" s="48"/>
      <c r="C55" s="48"/>
      <c r="D55" s="44"/>
      <c r="E55" s="44"/>
      <c r="F55" s="49"/>
      <c r="G55" s="43"/>
      <c r="H55" s="43"/>
      <c r="I55" s="43"/>
      <c r="J55" s="49"/>
      <c r="K55" s="49"/>
      <c r="L55" s="46"/>
      <c r="M55" s="45"/>
      <c r="N55" s="47"/>
      <c r="O55" s="47"/>
      <c r="P55" s="47"/>
      <c r="Q55" s="47"/>
      <c r="R55" s="47"/>
      <c r="S55" s="47"/>
      <c r="T55" s="45"/>
      <c r="U55" s="45"/>
      <c r="V55" s="47"/>
      <c r="W55" s="47"/>
      <c r="X55" s="47"/>
      <c r="Y55" s="47"/>
      <c r="Z55" s="47"/>
      <c r="AA55" s="47"/>
      <c r="AB55" s="47"/>
      <c r="AC55" s="47"/>
      <c r="AD55" s="47"/>
      <c r="AE55" s="44"/>
      <c r="AF55" s="44"/>
      <c r="AH55" s="44"/>
      <c r="AI55" s="44"/>
      <c r="AJ55" s="44"/>
    </row>
    <row r="56" spans="1:36" x14ac:dyDescent="0.25">
      <c r="A56" s="44"/>
      <c r="B56" s="48"/>
      <c r="C56" s="48"/>
      <c r="D56" s="44"/>
      <c r="E56" s="44"/>
      <c r="F56" s="49"/>
      <c r="G56" s="43"/>
      <c r="H56" s="43"/>
      <c r="I56" s="43"/>
      <c r="J56" s="49"/>
      <c r="K56" s="49"/>
      <c r="L56" s="46"/>
      <c r="M56" s="45"/>
      <c r="N56" s="47"/>
      <c r="O56" s="47"/>
      <c r="P56" s="47"/>
      <c r="Q56" s="47"/>
      <c r="R56" s="47"/>
      <c r="S56" s="47"/>
      <c r="T56" s="45"/>
      <c r="U56" s="45"/>
      <c r="V56" s="47"/>
      <c r="W56" s="47"/>
      <c r="X56" s="47"/>
      <c r="Y56" s="47"/>
      <c r="Z56" s="47"/>
      <c r="AA56" s="47"/>
      <c r="AB56" s="47"/>
      <c r="AC56" s="47"/>
      <c r="AD56" s="47"/>
      <c r="AE56" s="44"/>
      <c r="AF56" s="44"/>
      <c r="AH56" s="44"/>
      <c r="AI56" s="44"/>
      <c r="AJ56" s="44"/>
    </row>
    <row r="57" spans="1:36" x14ac:dyDescent="0.25">
      <c r="A57" s="40"/>
      <c r="C57" s="2"/>
      <c r="D57" s="42"/>
      <c r="E57" s="42"/>
      <c r="F57" s="42"/>
      <c r="G57" s="42"/>
      <c r="H57" s="42"/>
      <c r="I57" s="10"/>
      <c r="J57" s="10"/>
      <c r="K57" s="10"/>
      <c r="L57" s="10"/>
      <c r="M57" s="10"/>
      <c r="V57" s="2"/>
      <c r="W57" s="13"/>
      <c r="X57" s="2"/>
      <c r="Y57" s="2"/>
      <c r="Z57" s="2"/>
      <c r="AH57" s="44"/>
      <c r="AI57" s="44"/>
      <c r="AJ57" s="44"/>
    </row>
    <row r="58" spans="1:36" x14ac:dyDescent="0.25">
      <c r="A58" s="40"/>
      <c r="C58" s="2"/>
      <c r="D58" s="42"/>
      <c r="E58" s="42"/>
      <c r="F58" s="42"/>
      <c r="G58" s="42"/>
      <c r="H58" s="42"/>
      <c r="I58" s="10"/>
      <c r="J58" s="10"/>
      <c r="K58" s="10"/>
      <c r="L58" s="10"/>
      <c r="M58" s="10"/>
      <c r="V58" s="2"/>
      <c r="W58" s="13"/>
      <c r="X58" s="2"/>
      <c r="Y58" s="2"/>
      <c r="Z58" s="2"/>
      <c r="AH58" s="44"/>
      <c r="AI58" s="44"/>
      <c r="AJ58" s="44"/>
    </row>
    <row r="59" spans="1:36" x14ac:dyDescent="0.25">
      <c r="A59" s="40"/>
      <c r="C59" s="2"/>
      <c r="D59" s="42"/>
      <c r="E59" s="42"/>
      <c r="F59" s="42"/>
      <c r="G59" s="42"/>
      <c r="H59" s="42"/>
      <c r="I59" s="10"/>
      <c r="J59" s="10"/>
      <c r="K59" s="10"/>
      <c r="L59" s="10"/>
      <c r="M59" s="10"/>
      <c r="V59" s="2"/>
      <c r="W59" s="13"/>
      <c r="X59" s="2"/>
      <c r="Y59" s="2"/>
      <c r="Z59" s="2"/>
      <c r="AH59" s="44"/>
      <c r="AI59" s="44"/>
      <c r="AJ59" s="44"/>
    </row>
    <row r="60" spans="1:36" x14ac:dyDescent="0.25">
      <c r="A60" s="40"/>
      <c r="C60" s="2"/>
      <c r="D60" s="42"/>
      <c r="E60" s="42"/>
      <c r="F60" s="42"/>
      <c r="G60" s="42"/>
      <c r="H60" s="42"/>
      <c r="I60" s="10"/>
      <c r="J60" s="10"/>
      <c r="K60" s="10"/>
      <c r="L60" s="10"/>
      <c r="M60" s="10"/>
      <c r="V60" s="2"/>
      <c r="W60" s="13"/>
      <c r="X60" s="2"/>
      <c r="Y60" s="2"/>
      <c r="Z60" s="2"/>
      <c r="AH60" s="44"/>
      <c r="AI60" s="44"/>
      <c r="AJ60" s="44"/>
    </row>
    <row r="61" spans="1:36" x14ac:dyDescent="0.25">
      <c r="A61" s="40"/>
      <c r="C61" s="2"/>
      <c r="D61" s="42"/>
      <c r="E61" s="42"/>
      <c r="F61" s="42"/>
      <c r="G61" s="42"/>
      <c r="H61" s="42"/>
      <c r="I61" s="10"/>
      <c r="J61" s="10"/>
      <c r="K61" s="10"/>
      <c r="L61" s="10"/>
      <c r="M61" s="10"/>
      <c r="V61" s="2"/>
      <c r="W61" s="13"/>
      <c r="X61" s="2"/>
      <c r="Y61" s="2"/>
      <c r="Z61" s="2"/>
      <c r="AH61" s="44"/>
      <c r="AI61" s="44"/>
      <c r="AJ61" s="44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V62" s="2"/>
      <c r="W62" s="13"/>
      <c r="X62" s="2"/>
      <c r="Y62" s="2"/>
      <c r="Z62" s="2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V63" s="2"/>
      <c r="W63" s="13"/>
      <c r="X63" s="2"/>
      <c r="Y63" s="2"/>
      <c r="Z63" s="2"/>
      <c r="AA63" s="2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V64" s="2"/>
      <c r="W64" s="13"/>
      <c r="X64" s="2"/>
      <c r="Y64" s="2"/>
      <c r="Z64" s="2"/>
      <c r="AA64" s="2"/>
    </row>
    <row r="65" spans="1:27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V65" s="2"/>
      <c r="W65" s="13"/>
      <c r="X65" s="2"/>
      <c r="Y65" s="2"/>
      <c r="Z65" s="2"/>
      <c r="AA65" s="2"/>
    </row>
    <row r="66" spans="1:27" x14ac:dyDescent="0.25">
      <c r="A66" s="40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W66" s="2"/>
      <c r="X66" s="13"/>
      <c r="Y66" s="2"/>
      <c r="Z66" s="2"/>
      <c r="AA66" s="2"/>
    </row>
    <row r="67" spans="1:27" x14ac:dyDescent="0.25">
      <c r="A67" s="40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W67" s="2"/>
      <c r="X67" s="13"/>
      <c r="Y67" s="2"/>
      <c r="Z67" s="2"/>
      <c r="AA67" s="2"/>
    </row>
    <row r="68" spans="1:27" x14ac:dyDescent="0.25">
      <c r="A68" s="40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W68" s="2"/>
      <c r="X68" s="13"/>
      <c r="Y68" s="2"/>
      <c r="Z68" s="2"/>
      <c r="AA68" s="2"/>
    </row>
    <row r="69" spans="1:27" x14ac:dyDescent="0.25">
      <c r="A69" s="40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X69" s="13"/>
      <c r="Y69" s="2"/>
      <c r="Z69" s="2"/>
      <c r="AA69" s="2"/>
    </row>
    <row r="70" spans="1:27" x14ac:dyDescent="0.25">
      <c r="A70" s="17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X70" s="13"/>
      <c r="Y70" s="2"/>
      <c r="Z70" s="2"/>
      <c r="AA70" s="2"/>
    </row>
    <row r="71" spans="1:27" x14ac:dyDescent="0.25">
      <c r="A71" s="17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X71" s="13"/>
      <c r="Y71" s="2"/>
      <c r="Z71" s="2"/>
      <c r="AA71" s="2"/>
    </row>
    <row r="72" spans="1:27" x14ac:dyDescent="0.25">
      <c r="A72" s="17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X72" s="13"/>
      <c r="Y72" s="2"/>
      <c r="Z72" s="2"/>
      <c r="AA72" s="2"/>
    </row>
    <row r="73" spans="1:27" x14ac:dyDescent="0.25">
      <c r="A73" s="17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X73" s="13"/>
      <c r="Y73" s="2"/>
      <c r="Z73" s="2"/>
      <c r="AA73" s="2"/>
    </row>
    <row r="74" spans="1:27" x14ac:dyDescent="0.25">
      <c r="A74" s="17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27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27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  <row r="77" spans="1:27" x14ac:dyDescent="0.25">
      <c r="A77" s="17"/>
      <c r="C77" s="2"/>
      <c r="D77" s="42"/>
      <c r="E77" s="42"/>
      <c r="F77" s="42"/>
      <c r="G77" s="42"/>
      <c r="H77" s="42"/>
      <c r="I77" s="10"/>
      <c r="J77" s="10"/>
      <c r="K77" s="10"/>
      <c r="L77" s="10"/>
      <c r="M77" s="10"/>
      <c r="X77" s="13"/>
      <c r="Y77" s="2"/>
      <c r="Z77" s="2"/>
      <c r="AA77" s="2"/>
    </row>
    <row r="78" spans="1:27" x14ac:dyDescent="0.25">
      <c r="A78" s="17"/>
      <c r="C78" s="2"/>
      <c r="D78" s="42"/>
      <c r="E78" s="42"/>
      <c r="F78" s="42"/>
      <c r="G78" s="42"/>
      <c r="H78" s="42"/>
      <c r="I78" s="10"/>
      <c r="J78" s="10"/>
      <c r="K78" s="10"/>
      <c r="L78" s="10"/>
      <c r="M78" s="10"/>
      <c r="X78" s="13"/>
      <c r="Y78" s="2"/>
      <c r="Z78" s="2"/>
      <c r="AA78" s="2"/>
    </row>
    <row r="79" spans="1:27" x14ac:dyDescent="0.25">
      <c r="A79" s="17"/>
      <c r="C79" s="2"/>
      <c r="D79" s="42"/>
      <c r="E79" s="42"/>
      <c r="F79" s="42"/>
      <c r="G79" s="42"/>
      <c r="H79" s="42"/>
      <c r="I79" s="10"/>
      <c r="J79" s="10"/>
      <c r="K79" s="10"/>
      <c r="L79" s="10"/>
      <c r="M79" s="10"/>
      <c r="X79" s="13"/>
      <c r="Y79" s="2"/>
      <c r="Z79" s="2"/>
      <c r="AA79" s="2"/>
    </row>
    <row r="80" spans="1:27" x14ac:dyDescent="0.25">
      <c r="A80" s="17"/>
      <c r="C80" s="2"/>
      <c r="D80" s="42"/>
      <c r="E80" s="42"/>
      <c r="F80" s="42"/>
      <c r="G80" s="42"/>
      <c r="H80" s="42"/>
      <c r="I80" s="10"/>
      <c r="J80" s="10"/>
      <c r="K80" s="10"/>
      <c r="L80" s="10"/>
      <c r="M80" s="10"/>
      <c r="X80" s="13"/>
      <c r="Y80" s="2"/>
      <c r="Z80" s="2"/>
      <c r="AA80" s="2"/>
    </row>
  </sheetData>
  <sortState ref="AH23:AH39">
    <sortCondition ref="AH23"/>
  </sortState>
  <mergeCells count="20"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  <mergeCell ref="A1:B1"/>
    <mergeCell ref="A6:B6"/>
    <mergeCell ref="A7:B7"/>
    <mergeCell ref="A4:B4"/>
    <mergeCell ref="A3:B3"/>
    <mergeCell ref="A2:B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>
        <f>IF(ISNUMBER(Calculations!N4),CONVERT(Calculations!N4,Units_In,Units_Out),"")</f>
        <v>3888484.9139999999</v>
      </c>
      <c r="C2" s="33">
        <f>IF(ISNUMBER(Calculations!O4),CONVERT(Calculations!O4,Units_In,Units_Out),"")</f>
        <v>1538208.3929999999</v>
      </c>
      <c r="D2" s="33" t="s">
        <v>60</v>
      </c>
      <c r="E2" s="10" t="str">
        <f>CONCATENATE("0503 ",B2,"EUSft ",C2,"NUSft")</f>
        <v>0503 3888484.914EUSft 1538208.393NUSft</v>
      </c>
      <c r="F2" s="34">
        <v>98</v>
      </c>
      <c r="G2" s="10" t="str">
        <f>IF(F2=98,"Lime",IF(F2=94,"Yellow",""))</f>
        <v>Lime</v>
      </c>
      <c r="H2" s="10" t="str">
        <f>Calculations!$A$1</f>
        <v>DSS7</v>
      </c>
    </row>
    <row r="3" spans="1:8" s="10" customFormat="1" x14ac:dyDescent="0.25">
      <c r="A3" s="10" t="str">
        <f>IF(ISNUMBER(Calculations!M5),CONCATENATE("GPS",Calculations!M5),"")</f>
        <v>GPS1</v>
      </c>
      <c r="B3" s="33">
        <f>IF(ISNUMBER(Calculations!N5),CONVERT(Calculations!N5,Units_In,Units_Out),"")</f>
        <v>3888527.9449999998</v>
      </c>
      <c r="C3" s="33">
        <f>IF(ISNUMBER(Calculations!O5),CONVERT(Calculations!O5,Units_In,Units_Out),"")</f>
        <v>1538119.4650000001</v>
      </c>
      <c r="D3" s="33" t="s">
        <v>60</v>
      </c>
      <c r="E3" s="10" t="str">
        <f t="shared" ref="E3:E4" si="0">CONCATENATE("0503 ",B3,"EUSft ",C3,"NUSft")</f>
        <v>0503 3888527.945EUSft 1538119.465NUSft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DSS7</v>
      </c>
    </row>
    <row r="4" spans="1:8" s="10" customFormat="1" x14ac:dyDescent="0.25">
      <c r="A4" s="10" t="str">
        <f>IF(ISNUMBER(Calculations!M6),CONCATENATE("GPS",Calculations!M6),"")</f>
        <v>GPS2</v>
      </c>
      <c r="B4" s="33">
        <f>IF(ISNUMBER(Calculations!N6),CONVERT(Calculations!N6,Units_In,Units_Out),"")</f>
        <v>3888457.5690000001</v>
      </c>
      <c r="C4" s="33">
        <f>IF(ISNUMBER(Calculations!O6),CONVERT(Calculations!O6,Units_In,Units_Out),"")</f>
        <v>1538147.7150000001</v>
      </c>
      <c r="D4" s="33" t="s">
        <v>60</v>
      </c>
      <c r="E4" s="10" t="str">
        <f t="shared" si="0"/>
        <v>0503 3888457.569EUSft 1538147.715NUSft</v>
      </c>
      <c r="F4" s="34">
        <v>98</v>
      </c>
      <c r="G4" s="10" t="str">
        <f t="shared" si="1"/>
        <v>Lime</v>
      </c>
      <c r="H4" s="10" t="str">
        <f>Calculations!$A$1</f>
        <v>DSS7</v>
      </c>
    </row>
    <row r="5" spans="1:8" x14ac:dyDescent="0.25">
      <c r="A5">
        <f>IF(ISNUMBER(Calculations!A21),Calculations!A21,"")</f>
        <v>1</v>
      </c>
      <c r="B5" s="33">
        <f ca="1">IF(ISNUMBER(A5),CONVERT(Calculations!T21,Units_In,Units_Out),"")</f>
        <v>3888562.4863173272</v>
      </c>
      <c r="C5" s="33">
        <f ca="1">IF(ISNUMBER(A5),CONVERT(Calculations!U21,Units_In,Units_Out),"")</f>
        <v>1538147.8790539633</v>
      </c>
      <c r="D5" s="33" t="str">
        <f>IF(ISTEXT(Calculations!F21),Calculations!F21,"")</f>
        <v>BS/ZERO</v>
      </c>
      <c r="E5" t="str">
        <f ca="1">IF(ISNUMBER(A5),CONCATENATE("0503 ",B5,"EUSft ",C5,"NUSft"),"")</f>
        <v>0503 3888562.48631733EUSft 1538147.87905396NUSft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DSS7</v>
      </c>
    </row>
    <row r="6" spans="1:8" x14ac:dyDescent="0.25">
      <c r="A6" s="10">
        <f>IF(ISNUMBER(Calculations!A22),Calculations!A22,"")</f>
        <v>2</v>
      </c>
      <c r="B6" s="33">
        <f ca="1">IF(ISNUMBER(A6),CONVERT(Calculations!T22,Units_In,Units_Out),"")</f>
        <v>3888484.4291714565</v>
      </c>
      <c r="C6" s="33">
        <f ca="1">IF(ISNUMBER(A6),CONVERT(Calculations!U22,Units_In,Units_Out),"")</f>
        <v>1538140.856155311</v>
      </c>
      <c r="D6" s="33" t="str">
        <f>IF(ISTEXT(Calculations!F22),Calculations!F22,"")</f>
        <v xml:space="preserve">BS </v>
      </c>
      <c r="E6" s="10" t="str">
        <f t="shared" ref="E6:E65" ca="1" si="2">IF(ISNUMBER(A6),CONCATENATE("0503 ",B6,"EUSft ",C6,"NUSft"),"")</f>
        <v>0503 3888484.42917146EUSft 1538140.85615531NUSft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DSS7</v>
      </c>
    </row>
    <row r="7" spans="1:8" x14ac:dyDescent="0.25">
      <c r="A7" s="10">
        <f>IF(ISNUMBER(Calculations!A23),Calculations!A23,"")</f>
        <v>3</v>
      </c>
      <c r="B7" s="33">
        <f ca="1">IF(ISNUMBER(A7),CONVERT(Calculations!T23,Units_In,Units_Out),"")</f>
        <v>3888434.678246384</v>
      </c>
      <c r="C7" s="33">
        <f ca="1">IF(ISNUMBER(A7),CONVERT(Calculations!U23,Units_In,Units_Out),"")</f>
        <v>1538161.5367883311</v>
      </c>
      <c r="D7" s="33" t="str">
        <f>IF(ISTEXT(Calculations!F23),Calculations!F23,"")</f>
        <v>Damaged</v>
      </c>
      <c r="E7" s="10" t="str">
        <f t="shared" ca="1" si="2"/>
        <v>0503 3888434.67824638EUSft 1538161.53678833NUSft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DSS7</v>
      </c>
    </row>
    <row r="8" spans="1:8" x14ac:dyDescent="0.25">
      <c r="A8" s="10">
        <f>IF(ISNUMBER(Calculations!A24),Calculations!A24,"")</f>
        <v>4</v>
      </c>
      <c r="B8" s="33">
        <f ca="1">IF(ISNUMBER(A8),CONVERT(Calculations!T24,Units_In,Units_Out),"")</f>
        <v>3888443.4934164868</v>
      </c>
      <c r="C8" s="33">
        <f ca="1">IF(ISNUMBER(A8),CONVERT(Calculations!U24,Units_In,Units_Out),"")</f>
        <v>1538202.4393077861</v>
      </c>
      <c r="D8" s="33" t="str">
        <f>IF(ISTEXT(Calculations!F24),Calculations!F24,"")</f>
        <v>Damaged</v>
      </c>
      <c r="E8" s="10" t="str">
        <f t="shared" ca="1" si="2"/>
        <v>0503 3888443.49341649EUSft 1538202.43930779NUSft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DSS7</v>
      </c>
    </row>
    <row r="9" spans="1:8" x14ac:dyDescent="0.25">
      <c r="A9" s="10">
        <f>IF(ISNUMBER(Calculations!A25),Calculations!A25,"")</f>
        <v>5</v>
      </c>
      <c r="B9" s="33">
        <f ca="1">IF(ISNUMBER(A9),CONVERT(Calculations!T25,Units_In,Units_Out),"")</f>
        <v>3888465.3351920703</v>
      </c>
      <c r="C9" s="33">
        <f ca="1">IF(ISNUMBER(A9),CONVERT(Calculations!U25,Units_In,Units_Out),"")</f>
        <v>1538242.0773305018</v>
      </c>
      <c r="D9" s="33" t="str">
        <f>IF(ISTEXT(Calculations!F25),Calculations!F25,"")</f>
        <v/>
      </c>
      <c r="E9" s="10" t="str">
        <f t="shared" ca="1" si="2"/>
        <v>0503 3888465.33519207EUSft 1538242.0773305NUSft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DSS7</v>
      </c>
    </row>
    <row r="10" spans="1:8" x14ac:dyDescent="0.25">
      <c r="A10" s="10">
        <f>IF(ISNUMBER(Calculations!A26),Calculations!A26,"")</f>
        <v>6</v>
      </c>
      <c r="B10" s="33">
        <f ca="1">IF(ISNUMBER(A10),CONVERT(Calculations!T26,Units_In,Units_Out),"")</f>
        <v>3888449.4037387213</v>
      </c>
      <c r="C10" s="33">
        <f ca="1">IF(ISNUMBER(A10),CONVERT(Calculations!U26,Units_In,Units_Out),"")</f>
        <v>1538271.9403136659</v>
      </c>
      <c r="D10" s="33" t="str">
        <f>IF(ISTEXT(Calculations!F26),Calculations!F26,"")</f>
        <v/>
      </c>
      <c r="E10" s="10" t="str">
        <f t="shared" ca="1" si="2"/>
        <v>0503 3888449.40373872EUSft 1538271.94031367NUSft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DSS7</v>
      </c>
    </row>
    <row r="11" spans="1:8" x14ac:dyDescent="0.25">
      <c r="A11" s="10">
        <f>IF(ISNUMBER(Calculations!A27),Calculations!A27,"")</f>
        <v>7</v>
      </c>
      <c r="B11" s="33">
        <f ca="1">IF(ISNUMBER(A11),CONVERT(Calculations!T27,Units_In,Units_Out),"")</f>
        <v>3888434.4101320854</v>
      </c>
      <c r="C11" s="33">
        <f ca="1">IF(ISNUMBER(A11),CONVERT(Calculations!U27,Units_In,Units_Out),"")</f>
        <v>1538299.8446449374</v>
      </c>
      <c r="D11" s="33" t="str">
        <f>IF(ISTEXT(Calculations!F27),Calculations!F27,"")</f>
        <v/>
      </c>
      <c r="E11" s="10" t="str">
        <f t="shared" ca="1" si="2"/>
        <v>0503 3888434.41013209EUSft 1538299.84464494NUSft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DSS7</v>
      </c>
    </row>
    <row r="12" spans="1:8" x14ac:dyDescent="0.25">
      <c r="A12" s="10">
        <f>IF(ISNUMBER(Calculations!A28),Calculations!A28,"")</f>
        <v>8</v>
      </c>
      <c r="B12" s="33">
        <f ca="1">IF(ISNUMBER(A12),CONVERT(Calculations!T28,Units_In,Units_Out),"")</f>
        <v>3888432.2669213596</v>
      </c>
      <c r="C12" s="33">
        <f ca="1">IF(ISNUMBER(A12),CONVERT(Calculations!U28,Units_In,Units_Out),"")</f>
        <v>1538304.3368616167</v>
      </c>
      <c r="D12" s="33" t="str">
        <f>IF(ISTEXT(Calculations!F28),Calculations!F28,"")</f>
        <v/>
      </c>
      <c r="E12" s="10" t="str">
        <f t="shared" ca="1" si="2"/>
        <v>0503 3888432.26692136EUSft 1538304.33686162NUSft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DSS7</v>
      </c>
    </row>
    <row r="13" spans="1:8" x14ac:dyDescent="0.25">
      <c r="A13" s="10" t="str">
        <f>IF(ISNUMBER(Calculations!A29),Calculations!A29,"")</f>
        <v/>
      </c>
      <c r="B13" s="33" t="str">
        <f>IF(ISNUMBER(A13),CONVERT(Calculations!T29,Units_In,Units_Out),"")</f>
        <v/>
      </c>
      <c r="C13" s="33" t="str">
        <f>IF(ISNUMBER(A13),CONVERT(Calculations!U29,Units_In,Units_Out),"")</f>
        <v/>
      </c>
      <c r="D13" s="33" t="str">
        <f>IF(ISTEXT(Calculations!F29),Calculations!F29,"")</f>
        <v>DBL PT#</v>
      </c>
      <c r="E13" s="10" t="str">
        <f t="shared" si="2"/>
        <v/>
      </c>
      <c r="F13" s="34" t="str">
        <f t="shared" si="3"/>
        <v/>
      </c>
      <c r="G13" s="10" t="str">
        <f t="shared" si="1"/>
        <v/>
      </c>
      <c r="H13" s="10" t="str">
        <f>IF(ISNUMBER(A13),Calculations!$A$1,"")</f>
        <v/>
      </c>
    </row>
    <row r="14" spans="1:8" x14ac:dyDescent="0.25">
      <c r="A14" s="10">
        <f>IF(ISNUMBER(Calculations!A30),Calculations!A30,"")</f>
        <v>9</v>
      </c>
      <c r="B14" s="33">
        <f ca="1">IF(ISNUMBER(A14),CONVERT(Calculations!T30,Units_In,Units_Out),"")</f>
        <v>3888428.3938802434</v>
      </c>
      <c r="C14" s="33">
        <f ca="1">IF(ISNUMBER(A14),CONVERT(Calculations!U30,Units_In,Units_Out),"")</f>
        <v>1538311.6548917778</v>
      </c>
      <c r="D14" s="33" t="str">
        <f>IF(ISTEXT(Calculations!F30),Calculations!F30,"")</f>
        <v/>
      </c>
      <c r="E14" s="10" t="str">
        <f t="shared" ca="1" si="2"/>
        <v>0503 3888428.39388024EUSft 1538311.65489178NUSft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DSS7</v>
      </c>
    </row>
    <row r="15" spans="1:8" x14ac:dyDescent="0.25">
      <c r="A15" s="10">
        <f>IF(ISNUMBER(Calculations!A31),Calculations!A31,"")</f>
        <v>10</v>
      </c>
      <c r="B15" s="33">
        <f ca="1">IF(ISNUMBER(A15),CONVERT(Calculations!T31,Units_In,Units_Out),"")</f>
        <v>3888427.6365411798</v>
      </c>
      <c r="C15" s="33">
        <f ca="1">IF(ISNUMBER(A15),CONVERT(Calculations!U31,Units_In,Units_Out),"")</f>
        <v>1538312.4639841767</v>
      </c>
      <c r="D15" s="33" t="str">
        <f>IF(ISTEXT(Calculations!F31),Calculations!F31,"")</f>
        <v>WS</v>
      </c>
      <c r="E15" s="10" t="str">
        <f t="shared" ca="1" si="2"/>
        <v>0503 3888427.63654118EUSft 1538312.46398418NUSft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DSS7</v>
      </c>
    </row>
    <row r="16" spans="1:8" x14ac:dyDescent="0.25">
      <c r="A16" s="10">
        <f>IF(ISNUMBER(Calculations!A32),Calculations!A32,"")</f>
        <v>11</v>
      </c>
      <c r="B16" s="33">
        <f ca="1">IF(ISNUMBER(A16),CONVERT(Calculations!T32,Units_In,Units_Out),"")</f>
        <v>3888426.0754023339</v>
      </c>
      <c r="C16" s="33">
        <f ca="1">IF(ISNUMBER(A16),CONVERT(Calculations!U32,Units_In,Units_Out),"")</f>
        <v>1538315.5993137211</v>
      </c>
      <c r="D16" s="33" t="str">
        <f>IF(ISTEXT(Calculations!F32),Calculations!F32,"")</f>
        <v/>
      </c>
      <c r="E16" s="10" t="str">
        <f t="shared" ca="1" si="2"/>
        <v>0503 3888426.07540233EUSft 1538315.59931372NUSft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DSS7</v>
      </c>
    </row>
    <row r="17" spans="1:8" x14ac:dyDescent="0.25">
      <c r="A17" s="10">
        <f>IF(ISNUMBER(Calculations!A33),Calculations!A33,"")</f>
        <v>12</v>
      </c>
      <c r="B17" s="33">
        <f ca="1">IF(ISNUMBER(A17),CONVERT(Calculations!T33,Units_In,Units_Out),"")</f>
        <v>3888413.5710767233</v>
      </c>
      <c r="C17" s="33">
        <f ca="1">IF(ISNUMBER(A17),CONVERT(Calculations!U33,Units_In,Units_Out),"")</f>
        <v>1538335.0704629878</v>
      </c>
      <c r="D17" s="33" t="str">
        <f>IF(ISTEXT(Calculations!F33),Calculations!F33,"")</f>
        <v/>
      </c>
      <c r="E17" s="10" t="str">
        <f t="shared" ca="1" si="2"/>
        <v>0503 3888413.57107672EUSft 1538335.07046299NUSft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DSS7</v>
      </c>
    </row>
    <row r="18" spans="1:8" x14ac:dyDescent="0.25">
      <c r="A18" s="10">
        <f>IF(ISNUMBER(Calculations!A34),Calculations!A34,"")</f>
        <v>13</v>
      </c>
      <c r="B18" s="33">
        <f ca="1">IF(ISNUMBER(A18),CONVERT(Calculations!T34,Units_In,Units_Out),"")</f>
        <v>3888402.940515345</v>
      </c>
      <c r="C18" s="33">
        <f ca="1">IF(ISNUMBER(A18),CONVERT(Calculations!U34,Units_In,Units_Out),"")</f>
        <v>1538353.2342609374</v>
      </c>
      <c r="D18" s="33" t="str">
        <f>IF(ISTEXT(Calculations!F34),Calculations!F34,"")</f>
        <v/>
      </c>
      <c r="E18" s="10" t="str">
        <f t="shared" ca="1" si="2"/>
        <v>0503 3888402.94051534EUSft 1538353.23426094NUSft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DSS7</v>
      </c>
    </row>
    <row r="19" spans="1:8" x14ac:dyDescent="0.25">
      <c r="A19" s="10">
        <f>IF(ISNUMBER(Calculations!A35),Calculations!A35,"")</f>
        <v>14</v>
      </c>
      <c r="B19" s="33">
        <f ca="1">IF(ISNUMBER(A19),CONVERT(Calculations!T35,Units_In,Units_Out),"")</f>
        <v>3888401.2701162565</v>
      </c>
      <c r="C19" s="33">
        <f ca="1">IF(ISNUMBER(A19),CONVERT(Calculations!U35,Units_In,Units_Out),"")</f>
        <v>1538356.458580727</v>
      </c>
      <c r="D19" s="33" t="str">
        <f>IF(ISTEXT(Calculations!F35),Calculations!F35,"")</f>
        <v>WS</v>
      </c>
      <c r="E19" s="10" t="str">
        <f t="shared" ca="1" si="2"/>
        <v>0503 3888401.27011626EUSft 1538356.45858073NUSft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DSS7</v>
      </c>
    </row>
    <row r="20" spans="1:8" x14ac:dyDescent="0.25">
      <c r="A20" s="10">
        <f>IF(ISNUMBER(Calculations!A36),Calculations!A36,"")</f>
        <v>15</v>
      </c>
      <c r="B20" s="33">
        <f ca="1">IF(ISNUMBER(A20),CONVERT(Calculations!T36,Units_In,Units_Out),"")</f>
        <v>3888400.6947796061</v>
      </c>
      <c r="C20" s="33">
        <f ca="1">IF(ISNUMBER(A20),CONVERT(Calculations!U36,Units_In,Units_Out),"")</f>
        <v>1538357.8236375325</v>
      </c>
      <c r="D20" s="33" t="str">
        <f>IF(ISTEXT(Calculations!F36),Calculations!F36,"")</f>
        <v/>
      </c>
      <c r="E20" s="10" t="str">
        <f t="shared" ca="1" si="2"/>
        <v>0503 3888400.69477961EUSft 1538357.82363753NUSft</v>
      </c>
      <c r="F20" s="34">
        <f t="shared" si="3"/>
        <v>94</v>
      </c>
      <c r="G20" s="10" t="str">
        <f t="shared" si="1"/>
        <v>Yellow</v>
      </c>
      <c r="H20" s="10" t="str">
        <f>IF(ISNUMBER(A20),Calculations!$A$1,"")</f>
        <v>DSS7</v>
      </c>
    </row>
    <row r="21" spans="1:8" x14ac:dyDescent="0.25">
      <c r="A21" s="10">
        <f>IF(ISNUMBER(Calculations!A37),Calculations!A37,"")</f>
        <v>16</v>
      </c>
      <c r="B21" s="33">
        <f ca="1">IF(ISNUMBER(A21),CONVERT(Calculations!T37,Units_In,Units_Out),"")</f>
        <v>3888388.3085267283</v>
      </c>
      <c r="C21" s="33">
        <f ca="1">IF(ISNUMBER(A21),CONVERT(Calculations!U37,Units_In,Units_Out),"")</f>
        <v>1538376.3153552802</v>
      </c>
      <c r="D21" s="33" t="str">
        <f>IF(ISTEXT(Calculations!F37),Calculations!F37,"")</f>
        <v/>
      </c>
      <c r="E21" s="10" t="str">
        <f t="shared" ca="1" si="2"/>
        <v>0503 3888388.30852673EUSft 1538376.31535528NUSft</v>
      </c>
      <c r="F21" s="34">
        <f t="shared" si="3"/>
        <v>94</v>
      </c>
      <c r="G21" s="10" t="str">
        <f t="shared" si="1"/>
        <v>Yellow</v>
      </c>
      <c r="H21" s="10" t="str">
        <f>IF(ISNUMBER(A21),Calculations!$A$1,"")</f>
        <v>DSS7</v>
      </c>
    </row>
    <row r="22" spans="1:8" x14ac:dyDescent="0.25">
      <c r="A22" s="10">
        <f>IF(ISNUMBER(Calculations!A38),Calculations!A38,"")</f>
        <v>17</v>
      </c>
      <c r="B22" s="33">
        <f ca="1">IF(ISNUMBER(A22),CONVERT(Calculations!T38,Units_In,Units_Out),"")</f>
        <v>3888368.1560678962</v>
      </c>
      <c r="C22" s="33">
        <f ca="1">IF(ISNUMBER(A22),CONVERT(Calculations!U38,Units_In,Units_Out),"")</f>
        <v>1538413.266101541</v>
      </c>
      <c r="D22" s="33" t="str">
        <f>IF(ISTEXT(Calculations!F38),Calculations!F38,"")</f>
        <v/>
      </c>
      <c r="E22" s="10" t="str">
        <f t="shared" ca="1" si="2"/>
        <v>0503 3888368.1560679EUSft 1538413.26610154NUSft</v>
      </c>
      <c r="F22" s="34">
        <f t="shared" si="3"/>
        <v>94</v>
      </c>
      <c r="G22" s="10" t="str">
        <f t="shared" si="1"/>
        <v>Yellow</v>
      </c>
      <c r="H22" s="10" t="str">
        <f>IF(ISNUMBER(A22),Calculations!$A$1,"")</f>
        <v>DSS7</v>
      </c>
    </row>
    <row r="23" spans="1:8" x14ac:dyDescent="0.25">
      <c r="A23" s="10">
        <f>IF(ISNUMBER(Calculations!A39),Calculations!A39,"")</f>
        <v>18</v>
      </c>
      <c r="B23" s="33">
        <f ca="1">IF(ISNUMBER(A23),CONVERT(Calculations!T39,Units_In,Units_Out),"")</f>
        <v>3888316.5166062587</v>
      </c>
      <c r="C23" s="33">
        <f ca="1">IF(ISNUMBER(A23),CONVERT(Calculations!U39,Units_In,Units_Out),"")</f>
        <v>1538448.2544837922</v>
      </c>
      <c r="D23" s="33" t="str">
        <f>IF(ISTEXT(Calculations!F39),Calculations!F39,"")</f>
        <v/>
      </c>
      <c r="E23" s="10" t="str">
        <f t="shared" ca="1" si="2"/>
        <v>0503 3888316.51660626EUSft 1538448.25448379NUSft</v>
      </c>
      <c r="F23" s="34">
        <f t="shared" si="3"/>
        <v>94</v>
      </c>
      <c r="G23" s="10" t="str">
        <f t="shared" si="1"/>
        <v>Yellow</v>
      </c>
      <c r="H23" s="10" t="str">
        <f>IF(ISNUMBER(A23),Calculations!$A$1,"")</f>
        <v>DSS7</v>
      </c>
    </row>
    <row r="24" spans="1:8" x14ac:dyDescent="0.25">
      <c r="A24" s="10">
        <f>IF(ISNUMBER(Calculations!A40),Calculations!A40,"")</f>
        <v>19</v>
      </c>
      <c r="B24" s="33">
        <f ca="1">IF(ISNUMBER(A24),CONVERT(Calculations!T40,Units_In,Units_Out),"")</f>
        <v>3888562.4979901328</v>
      </c>
      <c r="C24" s="33">
        <f ca="1">IF(ISNUMBER(A24),CONVERT(Calculations!U40,Units_In,Units_Out),"")</f>
        <v>1538147.908661044</v>
      </c>
      <c r="D24" s="33" t="str">
        <f>IF(ISTEXT(Calculations!F40),Calculations!F40,"")</f>
        <v>PT1</v>
      </c>
      <c r="E24" s="10" t="str">
        <f t="shared" ca="1" si="2"/>
        <v>0503 3888562.49799013EUSft 1538147.90866104NUSft</v>
      </c>
      <c r="F24" s="34">
        <f t="shared" si="3"/>
        <v>94</v>
      </c>
      <c r="G24" s="10" t="str">
        <f t="shared" si="1"/>
        <v>Yellow</v>
      </c>
      <c r="H24" s="10" t="str">
        <f>IF(ISNUMBER(A24),Calculations!$A$1,"")</f>
        <v>DSS7</v>
      </c>
    </row>
    <row r="25" spans="1:8" x14ac:dyDescent="0.25">
      <c r="A25" s="10">
        <f>IF(ISNUMBER(Calculations!A41),Calculations!A41,"")</f>
        <v>20</v>
      </c>
      <c r="B25" s="33">
        <f ca="1">IF(ISNUMBER(A25),CONVERT(Calculations!T41,Units_In,Units_Out),"")</f>
        <v>3888484.4371295394</v>
      </c>
      <c r="C25" s="33">
        <f ca="1">IF(ISNUMBER(A25),CONVERT(Calculations!U41,Units_In,Units_Out),"")</f>
        <v>1538140.8238452326</v>
      </c>
      <c r="D25" s="33" t="str">
        <f>IF(ISTEXT(Calculations!F41),Calculations!F41,"")</f>
        <v>PT2</v>
      </c>
      <c r="E25" s="10" t="str">
        <f t="shared" ca="1" si="2"/>
        <v>0503 3888484.43712954EUSft 1538140.82384523NUSft</v>
      </c>
      <c r="F25" s="34">
        <f t="shared" si="3"/>
        <v>94</v>
      </c>
      <c r="G25" s="10" t="str">
        <f t="shared" si="1"/>
        <v>Yellow</v>
      </c>
      <c r="H25" s="10" t="str">
        <f>IF(ISNUMBER(A25),Calculations!$A$1,"")</f>
        <v>DSS7</v>
      </c>
    </row>
    <row r="26" spans="1:8" x14ac:dyDescent="0.25">
      <c r="A26" s="10" t="str">
        <f>IF(ISNUMBER(Calculations!#REF!),Calculations!#REF!,"")</f>
        <v/>
      </c>
      <c r="B26" s="33" t="str">
        <f>IF(ISNUMBER(A26),CONVERT(Calculations!#REF!,Units_In,Units_Out),"")</f>
        <v/>
      </c>
      <c r="C26" s="33" t="str">
        <f>IF(ISNUMBER(A26),CONVERT(Calculations!#REF!,Units_In,Units_Out),"")</f>
        <v/>
      </c>
      <c r="D26" s="33" t="str">
        <f>IF(ISTEXT(Calculations!#REF!),Calculations!#REF!,"")</f>
        <v/>
      </c>
      <c r="E26" s="10" t="str">
        <f t="shared" si="2"/>
        <v/>
      </c>
      <c r="F26" s="34" t="str">
        <f t="shared" si="3"/>
        <v/>
      </c>
      <c r="G26" s="10" t="str">
        <f t="shared" si="1"/>
        <v/>
      </c>
      <c r="H26" s="10" t="str">
        <f>IF(ISNUMBER(A26),Calculations!$A$1,"")</f>
        <v/>
      </c>
    </row>
    <row r="27" spans="1:8" x14ac:dyDescent="0.25">
      <c r="A27" s="10" t="str">
        <f>IF(ISNUMBER(Calculations!#REF!),Calculations!#REF!,"")</f>
        <v/>
      </c>
      <c r="B27" s="33" t="str">
        <f>IF(ISNUMBER(A27),CONVERT(Calculations!#REF!,Units_In,Units_Out),"")</f>
        <v/>
      </c>
      <c r="C27" s="33" t="str">
        <f>IF(ISNUMBER(A27),CONVERT(Calculations!#REF!,Units_In,Units_Out),"")</f>
        <v/>
      </c>
      <c r="D27" s="33" t="str">
        <f>IF(ISTEXT(Calculations!#REF!),Calculations!#REF!,"")</f>
        <v/>
      </c>
      <c r="E27" s="10" t="str">
        <f t="shared" si="2"/>
        <v/>
      </c>
      <c r="F27" s="34" t="str">
        <f t="shared" si="3"/>
        <v/>
      </c>
      <c r="G27" s="10" t="str">
        <f t="shared" si="1"/>
        <v/>
      </c>
      <c r="H27" s="10" t="str">
        <f>IF(ISNUMBER(A27),Calculations!$A$1,"")</f>
        <v/>
      </c>
    </row>
    <row r="28" spans="1:8" x14ac:dyDescent="0.25">
      <c r="A28" s="10" t="str">
        <f>IF(ISNUMBER(Calculations!#REF!),Calculations!#REF!,"")</f>
        <v/>
      </c>
      <c r="B28" s="33" t="str">
        <f>IF(ISNUMBER(A28),CONVERT(Calculations!#REF!,Units_In,Units_Out),"")</f>
        <v/>
      </c>
      <c r="C28" s="33" t="str">
        <f>IF(ISNUMBER(A28),CONVERT(Calculations!#REF!,Units_In,Units_Out),"")</f>
        <v/>
      </c>
      <c r="D28" s="33" t="str">
        <f>IF(ISTEXT(Calculations!#REF!),Calculations!#REF!,"")</f>
        <v/>
      </c>
      <c r="E28" s="10" t="str">
        <f t="shared" si="2"/>
        <v/>
      </c>
      <c r="F28" s="34" t="str">
        <f t="shared" si="3"/>
        <v/>
      </c>
      <c r="G28" s="10" t="str">
        <f t="shared" si="1"/>
        <v/>
      </c>
      <c r="H28" s="10" t="str">
        <f>IF(ISNUMBER(A28),Calculations!$A$1,"")</f>
        <v/>
      </c>
    </row>
    <row r="29" spans="1:8" x14ac:dyDescent="0.25">
      <c r="A29" s="10" t="str">
        <f>IF(ISNUMBER(Calculations!#REF!),Calculations!#REF!,"")</f>
        <v/>
      </c>
      <c r="B29" s="33" t="str">
        <f>IF(ISNUMBER(A29),CONVERT(Calculations!#REF!,Units_In,Units_Out),"")</f>
        <v/>
      </c>
      <c r="C29" s="33" t="str">
        <f>IF(ISNUMBER(A29),CONVERT(Calculations!#REF!,Units_In,Units_Out),"")</f>
        <v/>
      </c>
      <c r="D29" s="33" t="str">
        <f>IF(ISTEXT(Calculations!#REF!),Calculations!#REF!,"")</f>
        <v/>
      </c>
      <c r="E29" s="10" t="str">
        <f t="shared" si="2"/>
        <v/>
      </c>
      <c r="F29" s="34" t="str">
        <f t="shared" si="3"/>
        <v/>
      </c>
      <c r="G29" s="10" t="str">
        <f t="shared" si="1"/>
        <v/>
      </c>
      <c r="H29" s="10" t="str">
        <f>IF(ISNUMBER(A29),Calculations!$A$1,"")</f>
        <v/>
      </c>
    </row>
    <row r="30" spans="1:8" x14ac:dyDescent="0.25">
      <c r="A30" s="10" t="str">
        <f>IF(ISNUMBER(Calculations!#REF!),Calculations!#REF!,"")</f>
        <v/>
      </c>
      <c r="B30" s="33" t="str">
        <f>IF(ISNUMBER(A30),CONVERT(Calculations!#REF!,Units_In,Units_Out),"")</f>
        <v/>
      </c>
      <c r="C30" s="33" t="str">
        <f>IF(ISNUMBER(A30),CONVERT(Calculations!#REF!,Units_In,Units_Out),"")</f>
        <v/>
      </c>
      <c r="D30" s="33" t="str">
        <f>IF(ISTEXT(Calculations!#REF!),Calculations!#REF!,"")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IF(ISNUMBER(Calculations!A42),Calculations!A42,"")</f>
        <v/>
      </c>
      <c r="B31" s="33" t="str">
        <f>IF(ISNUMBER(A31),CONVERT(Calculations!T42,Units_In,Units_Out),"")</f>
        <v/>
      </c>
      <c r="C31" s="33" t="str">
        <f>IF(ISNUMBER(A31),CONVERT(Calculations!U42,Units_In,Units_Out),"")</f>
        <v/>
      </c>
      <c r="D31" s="33" t="str">
        <f>IF(ISTEXT(Calculations!F42),Calculations!F42,"")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IF(ISNUMBER(Calculations!A43),Calculations!A43,"")</f>
        <v/>
      </c>
      <c r="B32" s="33" t="str">
        <f>IF(ISNUMBER(A32),CONVERT(Calculations!T43,Units_In,Units_Out),"")</f>
        <v/>
      </c>
      <c r="C32" s="33" t="str">
        <f>IF(ISNUMBER(A32),CONVERT(Calculations!U43,Units_In,Units_Out),"")</f>
        <v/>
      </c>
      <c r="D32" s="33" t="str">
        <f>IF(ISTEXT(Calculations!F43),Calculations!F43,"")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IF(ISNUMBER(Calculations!A44),Calculations!A44,"")</f>
        <v/>
      </c>
      <c r="B33" s="33" t="str">
        <f>IF(ISNUMBER(A33),CONVERT(Calculations!T44,Units_In,Units_Out),"")</f>
        <v/>
      </c>
      <c r="C33" s="33" t="str">
        <f>IF(ISNUMBER(A33),CONVERT(Calculations!U44,Units_In,Units_Out),"")</f>
        <v/>
      </c>
      <c r="D33" s="33" t="str">
        <f>IF(ISTEXT(Calculations!F44),Calculations!F44,"")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IF(ISNUMBER(Calculations!A45),Calculations!A45,"")</f>
        <v/>
      </c>
      <c r="B34" s="33" t="str">
        <f>IF(ISNUMBER(A34),CONVERT(Calculations!T45,Units_In,Units_Out),"")</f>
        <v/>
      </c>
      <c r="C34" s="33" t="str">
        <f>IF(ISNUMBER(A34),CONVERT(Calculations!U45,Units_In,Units_Out),"")</f>
        <v/>
      </c>
      <c r="D34" s="33" t="str">
        <f>IF(ISTEXT(Calculations!F45),Calculations!F45,"")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IF(ISNUMBER(Calculations!A46),Calculations!A46,"")</f>
        <v/>
      </c>
      <c r="B35" s="33" t="str">
        <f>IF(ISNUMBER(A35),CONVERT(Calculations!T46,Units_In,Units_Out),"")</f>
        <v/>
      </c>
      <c r="C35" s="33" t="str">
        <f>IF(ISNUMBER(A35),CONVERT(Calculations!U46,Units_In,Units_Out),"")</f>
        <v/>
      </c>
      <c r="D35" s="33" t="str">
        <f>IF(ISTEXT(Calculations!F46),Calculations!F46,"")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IF(ISNUMBER(Calculations!A47),Calculations!A47,"")</f>
        <v/>
      </c>
      <c r="B36" s="33" t="str">
        <f>IF(ISNUMBER(A36),CONVERT(Calculations!U47,Units_In,Units_Out),"")</f>
        <v/>
      </c>
      <c r="C36" s="33" t="str">
        <f>IF(ISNUMBER(A36),CONVERT(Calculations!V47,Units_In,Units_Out),"")</f>
        <v/>
      </c>
      <c r="D36" s="33" t="str">
        <f>IF(ISTEXT(Calculations!F47),Calculations!F47,"")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IF(ISNUMBER(Calculations!A48),Calculations!A48,"")</f>
        <v/>
      </c>
      <c r="B37" s="33" t="str">
        <f>IF(ISNUMBER(A37),CONVERT(Calculations!U48,Units_In,Units_Out),"")</f>
        <v/>
      </c>
      <c r="C37" s="33" t="str">
        <f>IF(ISNUMBER(A37),CONVERT(Calculations!V48,Units_In,Units_Out),"")</f>
        <v/>
      </c>
      <c r="D37" s="33" t="str">
        <f>IF(ISTEXT(Calculations!F48),Calculations!F48,"")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kmorse</cp:lastModifiedBy>
  <dcterms:created xsi:type="dcterms:W3CDTF">2011-11-09T05:33:48Z</dcterms:created>
  <dcterms:modified xsi:type="dcterms:W3CDTF">2013-09-16T18:36:53Z</dcterms:modified>
</cp:coreProperties>
</file>