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Calculations!$AB$21:$AB$40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Calculations!$X$21:$X$56</definedName>
    <definedName name="yB">Calculations!$Y$21:$Y$56</definedName>
    <definedName name="Zs">Calculations!$W$21:$W$39</definedName>
  </definedNames>
  <calcPr calcId="145621"/>
</workbook>
</file>

<file path=xl/calcChain.xml><?xml version="1.0" encoding="utf-8"?>
<calcChain xmlns="http://schemas.openxmlformats.org/spreadsheetml/2006/main">
  <c r="X22" i="1" l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 l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4" i="1" l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5" i="1" l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4" i="1" l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Y35" i="1" l="1"/>
  <c r="Y34" i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5" i="1" l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4" i="1" l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28" i="1" l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l="1"/>
  <c r="AI34" i="1"/>
  <c r="AJ34" i="1" s="1"/>
  <c r="AI35" i="1"/>
  <c r="AJ35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<sst xmlns="http://schemas.openxmlformats.org/spreadsheetml/2006/main" count="104" uniqueCount="91">
  <si>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</si>
  <si>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</si>
  <si>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</si>
  <si>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</si>
  <si>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</si>
  <si>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</si>
  <si>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</si>
  <si>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</si>
  <si>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</si>
  <si>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</si>
  <si>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</si>
  <si>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</si>
  <si>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</si>
  <si>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</si>
  <si>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</si>
  <si>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</si>
  <si>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</si>
  <si>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</si>
  <si>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</si>
  <si>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</si>
  <si>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</si>
  <si>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</si>
  <si>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</si>
  <si>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</si>
  <si>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</si>
  <si>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</si>
  <si>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</si>
  <si>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</si>
  <si>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</si>
  <si>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</si>
  <si>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</si>
  <si>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</si>
  <si>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</si>
  <si>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</si>
  <si>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</si>
  <si>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</si>
  <si>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</si>
  <si>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</si>
  <si>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</si>
  <si>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</si>
  <si>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</si>
  <si>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</si>
  <si>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</si>
  <si>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</si>
  <si>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</si>
  <si>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</si>
  <si>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</si>
  <si>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</si>
  <si>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</si>
  <si>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</si>
  <si>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</si>
  <si>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</si>
  <si>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</si>
  <si>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</si>
  <si>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</si>
  <si>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</si>
  <si>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</si>
  <si>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</si>
  <si>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</si>
  <si>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</si>
  <si>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</si>
  <si>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</si>
  <si>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</si>
  <si>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</si>
  <si>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</si>
  <si>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</si>
  <si>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</si>
  <si>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</si>
  <si>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</si>
  <si>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</si>
  <si>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</si>
  <si>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</si>
  <si>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</si>
  <si>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</si>
  <si>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</si>
  <si>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</si>
  <si>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</si>
  <si>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</si>
  <si>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</si>
  <si>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</si>
  <si>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</si>
  <si>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</si>
  <si>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</si>
  <si>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</si>
  <si>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</si>
  <si>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</si>
  <si>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MID CHAN</t>
  </si>
  <si>
    <t>DSS8</t>
  </si>
  <si>
    <t>1,1538322.777,3900545.163,3420.491,3420.491,</t>
  </si>
  <si>
    <t>2,1538263.375,3900597.988,3420.671,3420.671,</t>
  </si>
  <si>
    <t>3,1538372.213,3900485.030,3412.509,3412.509,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</si>
</sst>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Calculations!$AH$23:$AH$55</c:f>
              <c:numCache>
                <c:formatCode>General</c:formatCode>
                <c:ptCount val="33"/>
                <c:pt idx="0">
                  <c:v>0</c:v>
                </c:pt>
                <c:pt idx="1">
                  <c:v>11.25</c:v>
                </c:pt>
                <c:pt idx="2">
                  <c:v>15.08</c:v>
                </c:pt>
                <c:pt idx="3">
                  <c:v>16.21</c:v>
                </c:pt>
                <c:pt idx="4">
                  <c:v>18.34</c:v>
                </c:pt>
                <c:pt idx="5">
                  <c:v>43.56</c:v>
                </c:pt>
                <c:pt idx="6">
                  <c:v>75.599999999999994</c:v>
                </c:pt>
                <c:pt idx="7">
                  <c:v>83.73</c:v>
                </c:pt>
                <c:pt idx="8">
                  <c:v>89.25</c:v>
                </c:pt>
                <c:pt idx="9">
                  <c:v>106.92</c:v>
                </c:pt>
                <c:pt idx="10">
                  <c:v>123.31</c:v>
                </c:pt>
              </c:numCache>
            </c:numRef>
          </c:xVal>
          <c:yVal>
            <c:numRef>
              <c:f>Calculations!$AI$23:$AI$55</c:f>
              <c:numCache>
                <c:formatCode>General</c:formatCode>
                <c:ptCount val="33"/>
                <c:pt idx="0">
                  <c:v>8.5</c:v>
                </c:pt>
                <c:pt idx="1">
                  <c:v>2.96</c:v>
                </c:pt>
                <c:pt idx="2">
                  <c:v>1.46</c:v>
                </c:pt>
                <c:pt idx="3">
                  <c:v>0.97</c:v>
                </c:pt>
                <c:pt idx="4">
                  <c:v>0.63</c:v>
                </c:pt>
                <c:pt idx="5">
                  <c:v>0</c:v>
                </c:pt>
                <c:pt idx="6">
                  <c:v>1.07</c:v>
                </c:pt>
                <c:pt idx="7">
                  <c:v>1.68</c:v>
                </c:pt>
                <c:pt idx="8">
                  <c:v>3.65</c:v>
                </c:pt>
                <c:pt idx="9">
                  <c:v>4.1100000000000003</c:v>
                </c:pt>
                <c:pt idx="10">
                  <c:v>5.35</c:v>
                </c:pt>
                <c:pt idx="11">
                  <c:v>8.5</c:v>
                </c:pt>
                <c:pt idx="12">
                  <c:v>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9376"/>
        <c:axId val="106235392"/>
      </c:scatterChart>
      <c:valAx>
        <c:axId val="1060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35392"/>
        <c:crosses val="autoZero"/>
        <c:crossBetween val="midCat"/>
      </c:valAx>
      <c:valAx>
        <c:axId val="10623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6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Calculations!$R$23:$R$33</c:f>
              <c:numCache>
                <c:formatCode>0.00</c:formatCode>
                <c:ptCount val="11"/>
                <c:pt idx="0">
                  <c:v>0.13485296787106393</c:v>
                </c:pt>
                <c:pt idx="1">
                  <c:v>3.4566113839953987</c:v>
                </c:pt>
                <c:pt idx="2">
                  <c:v>3.44440259173932</c:v>
                </c:pt>
                <c:pt idx="3">
                  <c:v>3.6451754838046724</c:v>
                </c:pt>
                <c:pt idx="4">
                  <c:v>4.060867171241477</c:v>
                </c:pt>
                <c:pt idx="5">
                  <c:v>9.1884824606318993</c:v>
                </c:pt>
                <c:pt idx="6">
                  <c:v>18.370970189454169</c:v>
                </c:pt>
                <c:pt idx="7">
                  <c:v>20.494648489518038</c:v>
                </c:pt>
                <c:pt idx="8">
                  <c:v>20.541313220079694</c:v>
                </c:pt>
                <c:pt idx="9">
                  <c:v>26.056945660703978</c:v>
                </c:pt>
                <c:pt idx="10">
                  <c:v>33.869193350703021</c:v>
                </c:pt>
              </c:numCache>
            </c:numRef>
          </c:xVal>
          <c:yVal>
            <c:numRef>
              <c:f>Calculations!$S$23:$S$33</c:f>
              <c:numCache>
                <c:formatCode>0.00</c:formatCode>
                <c:ptCount val="11"/>
                <c:pt idx="0">
                  <c:v>-14.267349562982234</c:v>
                </c:pt>
                <c:pt idx="1">
                  <c:v>-25.026727231115892</c:v>
                </c:pt>
                <c:pt idx="2">
                  <c:v>-28.990189964456466</c:v>
                </c:pt>
                <c:pt idx="3">
                  <c:v>-30.104329009686811</c:v>
                </c:pt>
                <c:pt idx="4">
                  <c:v>-32.205938052607891</c:v>
                </c:pt>
                <c:pt idx="5">
                  <c:v>-56.942111630429856</c:v>
                </c:pt>
                <c:pt idx="6">
                  <c:v>-87.644900860232624</c:v>
                </c:pt>
                <c:pt idx="7">
                  <c:v>-95.498405359848945</c:v>
                </c:pt>
                <c:pt idx="8">
                  <c:v>-101.20353036100548</c:v>
                </c:pt>
                <c:pt idx="9">
                  <c:v>-118.01573215700579</c:v>
                </c:pt>
                <c:pt idx="10">
                  <c:v>-132.8834853051271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9408"/>
        <c:axId val="106370944"/>
      </c:scatterChart>
      <c:valAx>
        <c:axId val="1063694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370944"/>
        <c:crosses val="autoZero"/>
        <c:crossBetween val="midCat"/>
      </c:valAx>
      <c:valAx>
        <c:axId val="106370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36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Calculations!$Z$21:$Z$35</c:f>
              <c:numCache>
                <c:formatCode>0.00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3900544.441881394</c:v>
                </c:pt>
                <c:pt idx="3">
                  <c:v>3900547.3588967025</c:v>
                </c:pt>
                <c:pt idx="4">
                  <c:v>3900548.3503971929</c:v>
                </c:pt>
                <c:pt idx="5">
                  <c:v>3900548.642832859</c:v>
                </c:pt>
                <c:pt idx="6">
                  <c:v>3900549.1969410176</c:v>
                </c:pt>
                <c:pt idx="7">
                  <c:v>3900555.7346397019</c:v>
                </c:pt>
                <c:pt idx="8">
                  <c:v>3900564.0386683582</c:v>
                </c:pt>
                <c:pt idx="9">
                  <c:v>3900566.1476380806</c:v>
                </c:pt>
                <c:pt idx="10">
                  <c:v>3900567.5791498804</c:v>
                </c:pt>
                <c:pt idx="11">
                  <c:v>3900572.1590207941</c:v>
                </c:pt>
                <c:pt idx="12">
                  <c:v>3900576.4063969841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Calculations!$AA$21:$AA$35</c:f>
              <c:numCache>
                <c:formatCode>0.00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1538308.2799044512</c:v>
                </c:pt>
                <c:pt idx="3">
                  <c:v>1538297.4118922129</c:v>
                </c:pt>
                <c:pt idx="4">
                  <c:v>1538293.7178288214</c:v>
                </c:pt>
                <c:pt idx="5">
                  <c:v>1538292.6282924078</c:v>
                </c:pt>
                <c:pt idx="6">
                  <c:v>1538290.5638348665</c:v>
                </c:pt>
                <c:pt idx="7">
                  <c:v>1538266.2061329689</c:v>
                </c:pt>
                <c:pt idx="8">
                  <c:v>1538235.2675620243</c:v>
                </c:pt>
                <c:pt idx="9">
                  <c:v>1538227.4101096876</c:v>
                </c:pt>
                <c:pt idx="10">
                  <c:v>1538222.0766828395</c:v>
                </c:pt>
                <c:pt idx="11">
                  <c:v>1538205.0133191347</c:v>
                </c:pt>
                <c:pt idx="12">
                  <c:v>1538189.1887410879</c:v>
                </c:pt>
                <c:pt idx="13">
                  <c:v>#N/A</c:v>
                </c:pt>
                <c:pt idx="1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480"/>
        <c:axId val="107495424"/>
      </c:scatterChart>
      <c:valAx>
        <c:axId val="106420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7495424"/>
        <c:crosses val="autoZero"/>
        <c:crossBetween val="midCat"/>
      </c:valAx>
      <c:valAx>
        <c:axId val="107495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42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Calculations!$L$46:$L$72</c:f>
              <c:numCache>
                <c:formatCode>General</c:formatCode>
                <c:ptCount val="27"/>
              </c:numCache>
            </c:numRef>
          </c:xVal>
          <c:yVal>
            <c:numRef>
              <c:f>Calculations!$M$46:$M$72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(Calculations!$L$44:$L$45,Calculations!$L$73:$L$74)</c:f>
              <c:numCache>
                <c:formatCode>General</c:formatCode>
                <c:ptCount val="4"/>
              </c:numCache>
            </c:numRef>
          </c:xVal>
          <c:yVal>
            <c:numRef>
              <c:f>(Calculations!$M$44:$M$45,Calculations!$M$73:$M$74)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63648"/>
        <c:axId val="121965184"/>
      </c:scatterChart>
      <c:valAx>
        <c:axId val="12196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65184"/>
        <c:crosses val="autoZero"/>
        <c:crossBetween val="midCat"/>
      </c:valAx>
      <c:valAx>
        <c:axId val="121965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96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36</xdr:row>
      <xdr:rowOff>123749</xdr:rowOff>
    </xdr:from>
    <xdr:to>
      <xdr:col>34</xdr:col>
      <xdr:colOff>167833</xdr:colOff>
      <xdr:row>51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37</xdr:row>
      <xdr:rowOff>8988</xdr:rowOff>
    </xdr:from>
    <xdr:to>
      <xdr:col>20</xdr:col>
      <xdr:colOff>654100</xdr:colOff>
      <xdr:row>51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36</xdr:row>
      <xdr:rowOff>129988</xdr:rowOff>
    </xdr:from>
    <xdr:to>
      <xdr:col>27</xdr:col>
      <xdr:colOff>392206</xdr:colOff>
      <xdr:row>51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4"/>
  <sheetViews>
    <sheetView tabSelected="1" topLeftCell="Q12" zoomScale="85" zoomScaleNormal="85" workbookViewId="0">
      <selection activeCell="AJ23" sqref="AJ23:AJ33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2" t="s">
        <v>87</v>
      </c>
      <c r="B1" s="53"/>
      <c r="C1" s="51">
        <v>40839</v>
      </c>
      <c r="D1" s="44"/>
      <c r="E1" s="44"/>
      <c r="F1" s="44"/>
      <c r="M1" s="60" t="s">
        <v>21</v>
      </c>
      <c r="N1" s="60"/>
      <c r="O1" s="60"/>
      <c r="P1" s="60"/>
      <c r="Q1" s="60"/>
      <c r="R1" s="22"/>
      <c r="W1" s="57" t="s">
        <v>34</v>
      </c>
      <c r="X1" s="57"/>
      <c r="Y1" s="57"/>
      <c r="Z1" s="2"/>
      <c r="AA1" s="57" t="s">
        <v>56</v>
      </c>
      <c r="AB1" s="57"/>
      <c r="AC1" s="57"/>
    </row>
    <row r="2" spans="1:29" x14ac:dyDescent="0.25">
      <c r="A2" s="52" t="s">
        <v>16</v>
      </c>
      <c r="B2" s="53"/>
      <c r="C2" s="38">
        <v>4.9635999999999996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52" t="s">
        <v>66</v>
      </c>
      <c r="B3" s="53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-3.7257302720279686</v>
      </c>
    </row>
    <row r="4" spans="1:29" ht="18" x14ac:dyDescent="0.35">
      <c r="A4" s="52" t="s">
        <v>67</v>
      </c>
      <c r="B4" s="53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3900545.1630000002</v>
      </c>
      <c r="O4" s="20">
        <f>VALUE(MID(C10,FIND(",",C10,1)+1,FIND(",",C10,5)-FIND(",",C10,1)-1))</f>
        <v>1538322.777</v>
      </c>
      <c r="P4" s="20">
        <f>VALUE(MID(C10,FIND(",",C10,17)+1,FIND(",",C10,27)-FIND(",",C10,17)-1))</f>
        <v>3420.491</v>
      </c>
      <c r="Q4" s="23"/>
      <c r="R4" s="22"/>
      <c r="W4" s="27"/>
      <c r="X4" s="20">
        <f ca="1">VALUE(OFFSET($P$3,MATCH($O$10,$M$4:$M$6,0),0))</f>
        <v>3420.6709999999998</v>
      </c>
      <c r="Y4" s="20">
        <f ca="1">OFFSET($P$3,MATCH($Q$10,$M$4:$M$6,0),0)</f>
        <v>3412.509</v>
      </c>
      <c r="Z4" s="2"/>
      <c r="AA4" s="26" t="s">
        <v>41</v>
      </c>
      <c r="AB4" s="26" t="s">
        <v>54</v>
      </c>
      <c r="AC4" s="28">
        <f ca="1">INTERCEPT(yB,xB)</f>
        <v>16070684.784412399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3900597.9879999999</v>
      </c>
      <c r="O5" s="20">
        <f t="shared" ref="O5:O6" si="1">VALUE(MID(C11,FIND(",",C11,1)+1,FIND(",",C11,5)-FIND(",",C11,1)-1))</f>
        <v>1538263.375</v>
      </c>
      <c r="P5" s="20">
        <f t="shared" ref="P5:P6" si="2">VALUE(MID(C11,FIND(",",C11,17)+1,FIND(",",C11,27)-FIND(",",C11,17)-1))</f>
        <v>3420.6709999999998</v>
      </c>
      <c r="Q5" s="24">
        <f>DEGREES(ATAN2(Old_Y1-Old_Y0,Old_X1-Old_X0))+IF(Old_X1-Old_X0&lt;0,360)</f>
        <v>138.35395064211485</v>
      </c>
      <c r="R5" s="22"/>
      <c r="W5" s="21"/>
      <c r="X5" s="20">
        <f ca="1">VALUE(OFFSET($V$20,MATCH($O11,$A$21:$A$40,0),0))</f>
        <v>3420.0280472680233</v>
      </c>
      <c r="Y5" s="20">
        <f ca="1">OFFSET($V$20,MATCH($Q11,$A$21:$A$40,0),0)</f>
        <v>3420.093459714958</v>
      </c>
      <c r="Z5" s="2"/>
      <c r="AA5" s="26"/>
      <c r="AB5" s="26"/>
      <c r="AC5" s="20"/>
    </row>
    <row r="6" spans="1:29" ht="18" x14ac:dyDescent="0.35">
      <c r="A6" s="54" t="s">
        <v>17</v>
      </c>
      <c r="B6" s="54"/>
      <c r="C6" s="38">
        <v>3</v>
      </c>
      <c r="D6" s="4"/>
      <c r="E6" s="44"/>
      <c r="F6" s="44"/>
      <c r="M6" s="22">
        <v>2</v>
      </c>
      <c r="N6" s="20">
        <f t="shared" si="0"/>
        <v>3900485.03</v>
      </c>
      <c r="O6" s="20">
        <f t="shared" si="1"/>
        <v>1538372.213</v>
      </c>
      <c r="P6" s="20">
        <f t="shared" si="2"/>
        <v>3412.509</v>
      </c>
      <c r="Q6" s="24">
        <f>DEGREES(ATAN2(Old_Y2-Old_Y0,Old_X2-Old_X0))+IF(Old_X2-Old_X0&lt;0,360)</f>
        <v>309.4239994208383</v>
      </c>
      <c r="R6" s="22"/>
      <c r="W6" s="21"/>
      <c r="X6" s="20">
        <f ca="1">VALUE(OFFSET($V$20,MATCH($O12,$A$21:$A$50,0),0))</f>
        <v>3420.0251112929036</v>
      </c>
      <c r="Y6" s="20">
        <f ca="1">VALUE(OFFSET($V$20,MATCH($O12,$A$21:$A$50,0),0))</f>
        <v>3420.0251112929036</v>
      </c>
      <c r="Z6" s="5"/>
      <c r="AA6" s="26" t="s">
        <v>42</v>
      </c>
      <c r="AB6" s="21" t="s">
        <v>55</v>
      </c>
      <c r="AC6" s="20">
        <f ca="1">-1/mA</f>
        <v>0.26840375630726632</v>
      </c>
    </row>
    <row r="7" spans="1:29" x14ac:dyDescent="0.25">
      <c r="A7" s="54" t="s">
        <v>18</v>
      </c>
      <c r="B7" s="54"/>
      <c r="C7" s="38">
        <v>13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6"/>
      <c r="B8" s="48"/>
      <c r="C8" s="48"/>
      <c r="D8" s="4"/>
      <c r="E8" s="44"/>
      <c r="F8" s="44"/>
      <c r="M8" s="22"/>
      <c r="N8" s="20"/>
      <c r="O8" s="57" t="s">
        <v>24</v>
      </c>
      <c r="P8" s="57"/>
      <c r="Q8" s="57" t="s">
        <v>25</v>
      </c>
      <c r="R8" s="57"/>
      <c r="W8" s="21" t="s">
        <v>35</v>
      </c>
      <c r="X8" s="20">
        <f ca="1">X5-X4</f>
        <v>-0.64295273197649294</v>
      </c>
      <c r="Y8" s="20">
        <f ca="1">Y5-Y4</f>
        <v>7.5844597149580295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-0.64588870709621915</v>
      </c>
      <c r="Y9" s="20">
        <f ca="1">Y6-Y4</f>
        <v>7.516111292903588</v>
      </c>
      <c r="AA9" s="31" t="s">
        <v>49</v>
      </c>
      <c r="AB9" s="31"/>
      <c r="AC9" s="20">
        <f ca="1">AVERAGE(DfromL)</f>
        <v>0.97736607977292567</v>
      </c>
    </row>
    <row r="10" spans="1:29" s="16" customFormat="1" x14ac:dyDescent="0.25">
      <c r="A10" s="55"/>
      <c r="B10" s="48"/>
      <c r="C10" s="35" t="s">
        <v>88</v>
      </c>
      <c r="D10" s="36"/>
      <c r="E10" s="37"/>
      <c r="F10" s="47"/>
      <c r="M10" s="61" t="s">
        <v>22</v>
      </c>
      <c r="N10" s="61"/>
      <c r="O10" s="32">
        <v>1</v>
      </c>
      <c r="P10" s="20">
        <f ca="1">OFFSET($Q$3,MATCH($O$10,$M$4:$M$6,0),0)</f>
        <v>138.35395064211485</v>
      </c>
      <c r="Q10" s="32">
        <v>2</v>
      </c>
      <c r="R10" s="20">
        <f ca="1">OFFSET($Q$3,MATCH($O$10,$M$4:$M$6,0),0)</f>
        <v>138.35395064211485</v>
      </c>
      <c r="W10" s="22"/>
      <c r="X10" s="22"/>
      <c r="Y10" s="22"/>
      <c r="AA10" s="31" t="s">
        <v>50</v>
      </c>
      <c r="AB10" s="31"/>
      <c r="AC10" s="20">
        <f ca="1">_xlfn.STDEV.P(DfromL)</f>
        <v>0.78445828879607582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7" t="s">
        <v>31</v>
      </c>
      <c r="N11" s="57"/>
      <c r="O11" s="32">
        <v>1</v>
      </c>
      <c r="P11" s="20">
        <f ca="1">OFFSET($N$20,MATCH($O11,$A$21:$A$40,0),0)</f>
        <v>0</v>
      </c>
      <c r="Q11" s="32">
        <v>2</v>
      </c>
      <c r="R11" s="20">
        <f ca="1">OFFSET($N$20,MATCH($Q11,$A$21:$A$40,0),0)</f>
        <v>170.32611111111112</v>
      </c>
      <c r="W11" s="21" t="s">
        <v>37</v>
      </c>
      <c r="X11" s="20">
        <f ca="1">AVERAGE(X8:Y9)</f>
        <v>3.4529323921972264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7" t="s">
        <v>30</v>
      </c>
      <c r="N12" s="57"/>
      <c r="O12" s="32">
        <v>14</v>
      </c>
      <c r="P12" s="20">
        <f ca="1">OFFSET($N$20,MATCH($O12,$A$21:$A$50,0),0)</f>
        <v>359.98555555555555</v>
      </c>
      <c r="Q12" s="32">
        <v>15</v>
      </c>
      <c r="R12" s="20">
        <f ca="1">OFFSET($N$20,MATCH($Q12,$A$21:$A$40,0),0)</f>
        <v>170.34027777777777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3415.3291560714388</v>
      </c>
      <c r="Y13" s="20"/>
      <c r="AA13" s="20"/>
      <c r="AB13" s="20"/>
      <c r="AC13" s="20"/>
    </row>
    <row r="14" spans="1:29" s="16" customFormat="1" x14ac:dyDescent="0.25">
      <c r="A14" s="55"/>
      <c r="B14" s="48"/>
      <c r="C14" s="48"/>
      <c r="D14" s="18"/>
      <c r="E14" s="47"/>
      <c r="F14" s="47"/>
      <c r="M14" s="57" t="s">
        <v>32</v>
      </c>
      <c r="N14" s="57"/>
      <c r="O14" s="22"/>
      <c r="P14" s="20">
        <f ca="1">P10-P11+IF(P11&gt;P10,360)</f>
        <v>138.35395064211485</v>
      </c>
      <c r="Q14" s="20"/>
      <c r="R14" s="20">
        <f ca="1">R10-R11+IF(R11&gt;R10,360)</f>
        <v>328.02783953100374</v>
      </c>
      <c r="W14" s="20"/>
      <c r="X14" s="20"/>
      <c r="Y14" s="20"/>
      <c r="AA14" s="20"/>
      <c r="AB14" s="20"/>
      <c r="AC14" s="20"/>
    </row>
    <row r="15" spans="1:29" x14ac:dyDescent="0.25">
      <c r="A15" s="56"/>
      <c r="B15" s="48"/>
      <c r="C15" s="48"/>
      <c r="D15" s="4"/>
      <c r="E15" s="44"/>
      <c r="F15" s="44"/>
      <c r="M15" s="57" t="s">
        <v>33</v>
      </c>
      <c r="N15" s="57"/>
      <c r="O15" s="22"/>
      <c r="P15" s="20">
        <f ca="1">P10-P12+IF(P12&gt;P10,360)</f>
        <v>138.3683950865593</v>
      </c>
      <c r="Q15" s="20"/>
      <c r="R15" s="20">
        <f ca="1">R10-R12+IF(R12&gt;R10,360)</f>
        <v>328.01367286433708</v>
      </c>
      <c r="W15" s="20"/>
      <c r="X15" s="20"/>
      <c r="Y15" s="20"/>
      <c r="AA15" s="22"/>
      <c r="AB15" s="22"/>
      <c r="AC15" s="22"/>
    </row>
    <row r="16" spans="1:29" x14ac:dyDescent="0.25">
      <c r="A16" s="56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6"/>
      <c r="B17" s="48"/>
      <c r="C17" s="48"/>
      <c r="D17" s="4"/>
      <c r="E17" s="44"/>
      <c r="F17" s="44"/>
      <c r="M17" s="57" t="s">
        <v>39</v>
      </c>
      <c r="N17" s="57"/>
      <c r="O17" s="20">
        <f ca="1">AVERAGE(P14:P15,R14:R15)</f>
        <v>233.19096453100374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6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6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8" t="s">
        <v>20</v>
      </c>
      <c r="U19" s="58"/>
      <c r="X19" s="59" t="s">
        <v>45</v>
      </c>
      <c r="Y19" s="59"/>
      <c r="Z19" s="59" t="s">
        <v>46</v>
      </c>
      <c r="AA19" s="59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3.7656481481481481</v>
      </c>
      <c r="D21" s="44">
        <v>79.387</v>
      </c>
      <c r="E21" s="44">
        <v>4.9062000000000001</v>
      </c>
      <c r="F21" s="49" t="s">
        <v>84</v>
      </c>
      <c r="G21" s="43">
        <f>C21*24</f>
        <v>90.37555555555555</v>
      </c>
      <c r="H21" s="43">
        <f>RADIANS(G21)</f>
        <v>1.5773510077634973</v>
      </c>
      <c r="I21" s="43">
        <f t="shared" ref="I21:I33" si="3">B21*24</f>
        <v>0</v>
      </c>
      <c r="J21" s="39">
        <f>RADIANS(I21)</f>
        <v>0</v>
      </c>
      <c r="K21" s="39">
        <f>D21*SIN(H21)</f>
        <v>79.385294620819565</v>
      </c>
      <c r="L21" s="15">
        <f>D21*COS(H21)</f>
        <v>-0.52035273197681708</v>
      </c>
      <c r="M21" s="13"/>
      <c r="N21" s="16">
        <f t="shared" ref="N21:N33" si="4">I21+M21</f>
        <v>0</v>
      </c>
      <c r="O21" s="16">
        <f ca="1">$O$17</f>
        <v>233.19096453100374</v>
      </c>
      <c r="P21" s="16">
        <f ca="1">SUM(N21,O21)</f>
        <v>233.19096453100374</v>
      </c>
      <c r="Q21" s="16">
        <f ca="1">RADIANS(P21)</f>
        <v>4.0699501169673296</v>
      </c>
      <c r="R21" s="16">
        <f t="shared" ref="R21:R33" ca="1" si="5">K21*SIN(Q21)</f>
        <v>-63.558795854177532</v>
      </c>
      <c r="S21" s="16">
        <f t="shared" ref="S21:S33" ca="1" si="6">K21*COS(Q21)</f>
        <v>-47.563688582797162</v>
      </c>
      <c r="T21" s="13">
        <f t="shared" ref="T21:T33" ca="1" si="7">Old_X0+R21</f>
        <v>3900481.6042041462</v>
      </c>
      <c r="U21" s="13">
        <f t="shared" ref="U21:U33" ca="1" si="8">Old_Y0+S21</f>
        <v>1538275.2133114173</v>
      </c>
      <c r="V21" s="16">
        <f t="shared" ref="V21:V33" si="9">Old_Z0+HI+L21-E21</f>
        <v>3420.0280472680233</v>
      </c>
      <c r="W21" s="16">
        <f t="shared" ref="W21:W33" ca="1" si="10">IF(ISNUMBER(T21),V21+dZ,"")</f>
        <v>3423.4809796602203</v>
      </c>
      <c r="X21" s="16" t="str">
        <f t="shared" ref="X21:X35" si="11">IF(AND(A21&gt;=CS_Start,A21&lt;=CS_End),IF(OR(LEFT(UPPER(F21))="D"),"",T21),"")</f>
        <v/>
      </c>
      <c r="Y21" s="16" t="str">
        <f>IF(ISNUMBER(X21),U21,"")</f>
        <v/>
      </c>
      <c r="Z21" s="16" t="e">
        <f t="shared" ref="Z21:Z35" si="12">IF(X21="",NA(),VALUE((-mB*X21+Y21-bA)/(mA-mB)))</f>
        <v>#N/A</v>
      </c>
      <c r="AA21" s="16" t="e">
        <f t="shared" ref="AA21:AA35" si="13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IF(ISNUMBER(Z21),SQRT(($Z21-OFFSET($Z$20,MATCH(CS_Start,$A$21:$A$40,0),0))^2+($AA21-OFFSET($AA$20,MATCH(CS_Start,$A$21:$A$40,0),0))^2),"")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7.0969212962962969</v>
      </c>
      <c r="C22" s="48">
        <v>3.7636226851851853</v>
      </c>
      <c r="D22" s="44">
        <v>79.727000000000004</v>
      </c>
      <c r="E22" s="44">
        <v>4.9062000000000001</v>
      </c>
      <c r="F22" s="49" t="s">
        <v>85</v>
      </c>
      <c r="G22" s="43">
        <f t="shared" ref="G22:G33" si="15">C22*24</f>
        <v>90.32694444444445</v>
      </c>
      <c r="H22" s="43">
        <f t="shared" ref="H22:H33" si="16">RADIANS(G22)</f>
        <v>1.5765025838215558</v>
      </c>
      <c r="I22" s="43">
        <f t="shared" si="3"/>
        <v>170.32611111111112</v>
      </c>
      <c r="J22" s="39">
        <f t="shared" ref="J22:J33" si="17">RADIANS(I22)</f>
        <v>2.9727514410065865</v>
      </c>
      <c r="K22" s="39">
        <f t="shared" ref="K22:K33" si="18">D22*SIN(H22)</f>
        <v>79.725701993378806</v>
      </c>
      <c r="L22" s="15">
        <f t="shared" ref="L22:L33" si="19">D22*COS(H22)</f>
        <v>-0.45494028504197875</v>
      </c>
      <c r="M22" s="13"/>
      <c r="N22" s="16">
        <f t="shared" si="4"/>
        <v>170.32611111111112</v>
      </c>
      <c r="O22" s="16">
        <f t="shared" ref="O22:O35" ca="1" si="20">$O$17</f>
        <v>233.19096453100374</v>
      </c>
      <c r="P22" s="16">
        <f t="shared" ref="P22:P33" ca="1" si="21">SUM(N22,O22)</f>
        <v>403.51707564211483</v>
      </c>
      <c r="Q22" s="16">
        <f t="shared" ref="Q22:Q33" ca="1" si="22">RADIANS(P22)</f>
        <v>7.0427015579739161</v>
      </c>
      <c r="R22" s="16">
        <f t="shared" ca="1" si="5"/>
        <v>54.896784476242871</v>
      </c>
      <c r="S22" s="16">
        <f t="shared" ca="1" si="6"/>
        <v>57.814622825942443</v>
      </c>
      <c r="T22" s="13">
        <f t="shared" ca="1" si="7"/>
        <v>3900600.0597844766</v>
      </c>
      <c r="U22" s="13">
        <f t="shared" ca="1" si="8"/>
        <v>1538380.5916228259</v>
      </c>
      <c r="V22" s="16">
        <f t="shared" si="9"/>
        <v>3420.093459714958</v>
      </c>
      <c r="W22" s="16">
        <f t="shared" ca="1" si="10"/>
        <v>3423.546392107155</v>
      </c>
      <c r="X22" s="47" t="str">
        <f t="shared" si="11"/>
        <v/>
      </c>
      <c r="Y22" s="47" t="str">
        <f t="shared" ref="Y22:Y35" si="23">IF(ISNUMBER(X22),U22,"")</f>
        <v/>
      </c>
      <c r="Z22" s="47" t="e">
        <f t="shared" si="12"/>
        <v>#N/A</v>
      </c>
      <c r="AA22" s="47" t="e">
        <f t="shared" si="13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IF(ISNUMBER(Z22),SQRT(($Z22-OFFSET($Z$20,MATCH(CS_Start,$A$21:$A$40,0),0))^2+($AA22-OFFSET($AA$20,MATCH(CS_Start,$A$21:$A$40,0),0))^2),"")</f>
        <v/>
      </c>
      <c r="AD22" s="16" t="str">
        <f t="shared" si="14"/>
        <v/>
      </c>
    </row>
    <row r="23" spans="1:36" x14ac:dyDescent="0.25">
      <c r="A23" s="44">
        <v>3</v>
      </c>
      <c r="B23" s="48">
        <v>12.761145833333332</v>
      </c>
      <c r="C23" s="48">
        <v>3.7784490740740737</v>
      </c>
      <c r="D23" s="44">
        <v>14.269</v>
      </c>
      <c r="E23" s="44">
        <v>4.9062000000000001</v>
      </c>
      <c r="F23" s="44"/>
      <c r="G23" s="43">
        <f t="shared" si="15"/>
        <v>90.682777777777773</v>
      </c>
      <c r="H23" s="43">
        <f t="shared" si="16"/>
        <v>1.5827130470765689</v>
      </c>
      <c r="I23" s="43">
        <f t="shared" si="3"/>
        <v>306.26749999999998</v>
      </c>
      <c r="J23" s="39">
        <f t="shared" si="17"/>
        <v>5.3453762668517326</v>
      </c>
      <c r="K23" s="39">
        <f t="shared" si="18"/>
        <v>14.267986854327873</v>
      </c>
      <c r="L23" s="15">
        <f t="shared" si="19"/>
        <v>-0.17003565722227174</v>
      </c>
      <c r="M23" s="13"/>
      <c r="N23" s="16">
        <f t="shared" si="4"/>
        <v>306.26749999999998</v>
      </c>
      <c r="O23" s="16">
        <f t="shared" ca="1" si="20"/>
        <v>233.19096453100374</v>
      </c>
      <c r="P23" s="16">
        <f t="shared" ca="1" si="21"/>
        <v>539.45846453100376</v>
      </c>
      <c r="Q23" s="16">
        <f t="shared" ca="1" si="22"/>
        <v>9.4153263838190639</v>
      </c>
      <c r="R23" s="16">
        <f t="shared" ca="1" si="5"/>
        <v>0.13485296787106393</v>
      </c>
      <c r="S23" s="16">
        <f t="shared" ca="1" si="6"/>
        <v>-14.267349562982234</v>
      </c>
      <c r="T23" s="13">
        <f t="shared" ca="1" si="7"/>
        <v>3900545.2978529679</v>
      </c>
      <c r="U23" s="13">
        <f t="shared" ca="1" si="8"/>
        <v>1538308.5096504369</v>
      </c>
      <c r="V23" s="16">
        <f t="shared" si="9"/>
        <v>3420.3783643427778</v>
      </c>
      <c r="W23" s="16">
        <f t="shared" ca="1" si="10"/>
        <v>3423.8312967349748</v>
      </c>
      <c r="X23" s="47">
        <f t="shared" ca="1" si="11"/>
        <v>3900545.2978529679</v>
      </c>
      <c r="Y23" s="47">
        <f t="shared" ca="1" si="23"/>
        <v>1538308.5096504369</v>
      </c>
      <c r="Z23" s="47">
        <f t="shared" ca="1" si="12"/>
        <v>3900544.441881394</v>
      </c>
      <c r="AA23" s="47">
        <f t="shared" ca="1" si="13"/>
        <v>1538308.2799044512</v>
      </c>
      <c r="AB23" s="16">
        <f t="shared" ca="1" si="24"/>
        <v>0.88626776607934843</v>
      </c>
      <c r="AC23" s="16">
        <f ca="1">IF(ISNUMBER(Z23),SQRT(($Z23-OFFSET($Z$20,MATCH(CS_Start,$A$21:$A$40,0),0))^2+($AA23-OFFSET($AA$20,MATCH(CS_Start,$A$21:$A$40,0),0))^2),"")</f>
        <v>0</v>
      </c>
      <c r="AD23" s="16">
        <f t="shared" ca="1" si="14"/>
        <v>8.5021406635360108</v>
      </c>
      <c r="AE23" s="47">
        <f ca="1">ROUND(AC23,2)</f>
        <v>0</v>
      </c>
      <c r="AF23" s="47">
        <f t="shared" ref="AF23:AF35" ca="1" si="25">ROUND(AD23,2)</f>
        <v>8.5</v>
      </c>
      <c r="AH23" s="44">
        <v>0</v>
      </c>
      <c r="AI23" s="2">
        <f ca="1">OFFSET($AF$22,MATCH(AH23,$AE$23:$AE$48,0),0)</f>
        <v>8.5</v>
      </c>
      <c r="AJ23" s="2" t="str">
        <f t="shared" ref="AJ23:AJ35" ca="1" si="26">CONCATENATE(AH23,",",AI23)</f>
        <v>0,8.5</v>
      </c>
    </row>
    <row r="24" spans="1:36" x14ac:dyDescent="0.25">
      <c r="A24" s="44">
        <v>4</v>
      </c>
      <c r="B24" s="48">
        <v>12.456053240740742</v>
      </c>
      <c r="C24" s="48">
        <v>4.2804282407407408</v>
      </c>
      <c r="D24" s="44">
        <v>25.901</v>
      </c>
      <c r="E24" s="44">
        <v>4.9062000000000001</v>
      </c>
      <c r="F24" s="44"/>
      <c r="G24" s="43">
        <f t="shared" si="15"/>
        <v>102.73027777777779</v>
      </c>
      <c r="H24" s="43">
        <f t="shared" si="16"/>
        <v>1.792981588710586</v>
      </c>
      <c r="I24" s="43">
        <f t="shared" si="3"/>
        <v>298.94527777777779</v>
      </c>
      <c r="J24" s="39">
        <f t="shared" si="17"/>
        <v>5.2175793805112596</v>
      </c>
      <c r="K24" s="39">
        <f t="shared" si="18"/>
        <v>25.264307593137087</v>
      </c>
      <c r="L24" s="15">
        <f t="shared" si="19"/>
        <v>-5.7075881806027198</v>
      </c>
      <c r="M24" s="13"/>
      <c r="N24" s="16">
        <f t="shared" si="4"/>
        <v>298.94527777777779</v>
      </c>
      <c r="O24" s="16">
        <f t="shared" ca="1" si="20"/>
        <v>233.19096453100374</v>
      </c>
      <c r="P24" s="16">
        <f t="shared" ca="1" si="21"/>
        <v>532.13624230878156</v>
      </c>
      <c r="Q24" s="16">
        <f t="shared" ca="1" si="22"/>
        <v>9.2875294974785909</v>
      </c>
      <c r="R24" s="16">
        <f t="shared" ca="1" si="5"/>
        <v>3.4566113839953987</v>
      </c>
      <c r="S24" s="16">
        <f t="shared" ca="1" si="6"/>
        <v>-25.026727231115892</v>
      </c>
      <c r="T24" s="13">
        <f t="shared" ca="1" si="7"/>
        <v>3900548.6196113843</v>
      </c>
      <c r="U24" s="13">
        <f t="shared" ca="1" si="8"/>
        <v>1538297.7502727688</v>
      </c>
      <c r="V24" s="16">
        <f t="shared" si="9"/>
        <v>3414.8408118193975</v>
      </c>
      <c r="W24" s="16">
        <f t="shared" ca="1" si="10"/>
        <v>3418.2937442115945</v>
      </c>
      <c r="X24" s="47">
        <f t="shared" ca="1" si="11"/>
        <v>3900548.6196113843</v>
      </c>
      <c r="Y24" s="47">
        <f t="shared" ca="1" si="23"/>
        <v>1538297.7502727688</v>
      </c>
      <c r="Z24" s="47">
        <f t="shared" ca="1" si="12"/>
        <v>3900547.3588967025</v>
      </c>
      <c r="AA24" s="47">
        <f t="shared" ca="1" si="13"/>
        <v>1538297.4118922129</v>
      </c>
      <c r="AB24" s="47">
        <f t="shared" ref="AB24:AB33" ca="1" si="27">IF(ISNUMBER(X24),SQRT((X24-Z24)^2+(Y24-AA24)^2),"")</f>
        <v>1.3053363204687904</v>
      </c>
      <c r="AC24" s="47">
        <f ca="1">IF(ISNUMBER(Z24),SQRT(($Z24-OFFSET($Z$20,MATCH(CS_Start,$A$21:$A$40,0),0))^2+($AA24-OFFSET($AA$20,MATCH(CS_Start,$A$21:$A$40,0),0))^2),"")</f>
        <v>11.252673829886481</v>
      </c>
      <c r="AD24" s="47">
        <f t="shared" ref="AD24:AD33" ca="1" si="28">IF(ISNUMBER(X24),W24-Min_Z,"")</f>
        <v>2.9645881401556835</v>
      </c>
      <c r="AE24" s="47">
        <f t="shared" ref="AE24:AE35" ca="1" si="29">ROUND(AC24,2)</f>
        <v>11.25</v>
      </c>
      <c r="AF24" s="47">
        <f t="shared" ca="1" si="25"/>
        <v>2.96</v>
      </c>
      <c r="AH24" s="44">
        <v>11.25</v>
      </c>
      <c r="AI24" s="44">
        <f ca="1">OFFSET($AF$22,MATCH(AH24,$AE$23:$AE$48,0),0)</f>
        <v>2.96</v>
      </c>
      <c r="AJ24" s="2" t="str">
        <f t="shared" ca="1" si="26"/>
        <v>11.25,2.96</v>
      </c>
    </row>
    <row r="25" spans="1:36" x14ac:dyDescent="0.25">
      <c r="A25" s="44">
        <v>5</v>
      </c>
      <c r="B25" s="48">
        <v>12.50138888888889</v>
      </c>
      <c r="C25" s="48">
        <v>4.328368055555555</v>
      </c>
      <c r="D25" s="44">
        <v>30.072299999999998</v>
      </c>
      <c r="E25" s="44">
        <v>4.9062000000000001</v>
      </c>
      <c r="F25" s="44"/>
      <c r="G25" s="43">
        <f t="shared" si="15"/>
        <v>103.88083333333333</v>
      </c>
      <c r="H25" s="43">
        <f t="shared" si="16"/>
        <v>1.8130625713821427</v>
      </c>
      <c r="I25" s="43">
        <f t="shared" si="3"/>
        <v>300.03333333333336</v>
      </c>
      <c r="J25" s="39">
        <f t="shared" si="17"/>
        <v>5.2365695324003205</v>
      </c>
      <c r="K25" s="39">
        <f t="shared" si="18"/>
        <v>29.194092268629504</v>
      </c>
      <c r="L25" s="15">
        <f t="shared" si="19"/>
        <v>-7.2144441158516814</v>
      </c>
      <c r="M25" s="13"/>
      <c r="N25" s="16">
        <f t="shared" si="4"/>
        <v>300.03333333333336</v>
      </c>
      <c r="O25" s="16">
        <f t="shared" ca="1" si="20"/>
        <v>233.19096453100374</v>
      </c>
      <c r="P25" s="16">
        <f t="shared" ca="1" si="21"/>
        <v>533.22429786433713</v>
      </c>
      <c r="Q25" s="16">
        <f t="shared" ca="1" si="22"/>
        <v>9.306519649367651</v>
      </c>
      <c r="R25" s="16">
        <f t="shared" ca="1" si="5"/>
        <v>3.44440259173932</v>
      </c>
      <c r="S25" s="16">
        <f t="shared" ca="1" si="6"/>
        <v>-28.990189964456466</v>
      </c>
      <c r="T25" s="13">
        <f t="shared" ca="1" si="7"/>
        <v>3900548.607402592</v>
      </c>
      <c r="U25" s="13">
        <f t="shared" ca="1" si="8"/>
        <v>1538293.7868100356</v>
      </c>
      <c r="V25" s="16">
        <f t="shared" si="9"/>
        <v>3413.3339558841485</v>
      </c>
      <c r="W25" s="16">
        <f t="shared" ca="1" si="10"/>
        <v>3416.786888276346</v>
      </c>
      <c r="X25" s="47">
        <f t="shared" ca="1" si="11"/>
        <v>3900548.607402592</v>
      </c>
      <c r="Y25" s="47">
        <f t="shared" ca="1" si="23"/>
        <v>1538293.7868100356</v>
      </c>
      <c r="Z25" s="47">
        <f t="shared" ca="1" si="12"/>
        <v>3900548.3503971929</v>
      </c>
      <c r="AA25" s="47">
        <f t="shared" ca="1" si="13"/>
        <v>1538293.7178288214</v>
      </c>
      <c r="AB25" s="47">
        <f t="shared" ca="1" si="27"/>
        <v>0.26610182839393581</v>
      </c>
      <c r="AC25" s="47">
        <f ca="1">IF(ISNUMBER(Z25),SQRT(($Z25-OFFSET($Z$20,MATCH(CS_Start,$A$21:$A$40,0),0))^2+($AA25-OFFSET($AA$20,MATCH(CS_Start,$A$21:$A$40,0),0))^2),"")</f>
        <v>15.077484617761414</v>
      </c>
      <c r="AD25" s="47">
        <f t="shared" ca="1" si="28"/>
        <v>1.4577322049071881</v>
      </c>
      <c r="AE25" s="47">
        <f t="shared" ca="1" si="29"/>
        <v>15.08</v>
      </c>
      <c r="AF25" s="47">
        <f t="shared" ca="1" si="25"/>
        <v>1.46</v>
      </c>
      <c r="AH25" s="44">
        <v>15.08</v>
      </c>
      <c r="AI25" s="44">
        <f ca="1">OFFSET($AF$22,MATCH(AH25,$AE$23:$AE$48,0),0)</f>
        <v>1.46</v>
      </c>
      <c r="AJ25" s="2" t="str">
        <f t="shared" ca="1" si="26"/>
        <v>15.08,1.46</v>
      </c>
    </row>
    <row r="26" spans="1:36" x14ac:dyDescent="0.25">
      <c r="A26" s="44">
        <v>6</v>
      </c>
      <c r="B26" s="48">
        <v>12.496041666666665</v>
      </c>
      <c r="C26" s="48">
        <v>4.3440856481481482</v>
      </c>
      <c r="D26" s="44">
        <v>31.288</v>
      </c>
      <c r="E26" s="44">
        <v>4.9062000000000001</v>
      </c>
      <c r="F26" s="49" t="s">
        <v>83</v>
      </c>
      <c r="G26" s="43">
        <f t="shared" si="15"/>
        <v>104.25805555555556</v>
      </c>
      <c r="H26" s="43">
        <f t="shared" si="16"/>
        <v>1.8196463411716104</v>
      </c>
      <c r="I26" s="43">
        <f t="shared" si="3"/>
        <v>299.90499999999997</v>
      </c>
      <c r="J26" s="39">
        <f t="shared" si="17"/>
        <v>5.2343296931935939</v>
      </c>
      <c r="K26" s="39">
        <f t="shared" si="18"/>
        <v>30.324213583062654</v>
      </c>
      <c r="L26" s="15">
        <f t="shared" si="19"/>
        <v>-7.7059077705873467</v>
      </c>
      <c r="M26" s="13"/>
      <c r="N26" s="16">
        <f t="shared" si="4"/>
        <v>299.90499999999997</v>
      </c>
      <c r="O26" s="16">
        <f t="shared" ca="1" si="20"/>
        <v>233.19096453100374</v>
      </c>
      <c r="P26" s="16">
        <f t="shared" ca="1" si="21"/>
        <v>533.09596453100369</v>
      </c>
      <c r="Q26" s="16">
        <f t="shared" ca="1" si="22"/>
        <v>9.3042798101609225</v>
      </c>
      <c r="R26" s="16">
        <f t="shared" ca="1" si="5"/>
        <v>3.6451754838046724</v>
      </c>
      <c r="S26" s="16">
        <f t="shared" ca="1" si="6"/>
        <v>-30.104329009686811</v>
      </c>
      <c r="T26" s="13">
        <f t="shared" ca="1" si="7"/>
        <v>3900548.8081754842</v>
      </c>
      <c r="U26" s="13">
        <f t="shared" ca="1" si="8"/>
        <v>1538292.6726709902</v>
      </c>
      <c r="V26" s="16">
        <f t="shared" si="9"/>
        <v>3412.842492229413</v>
      </c>
      <c r="W26" s="16">
        <f t="shared" ca="1" si="10"/>
        <v>3416.2954246216104</v>
      </c>
      <c r="X26" s="47">
        <f t="shared" ca="1" si="11"/>
        <v>3900548.8081754842</v>
      </c>
      <c r="Y26" s="47">
        <f t="shared" ca="1" si="23"/>
        <v>1538292.6726709902</v>
      </c>
      <c r="Z26" s="47">
        <f t="shared" ca="1" si="12"/>
        <v>3900548.642832859</v>
      </c>
      <c r="AA26" s="47">
        <f t="shared" ca="1" si="13"/>
        <v>1538292.6282924078</v>
      </c>
      <c r="AB26" s="47">
        <f t="shared" ca="1" si="27"/>
        <v>0.17119474960673678</v>
      </c>
      <c r="AC26" s="47">
        <f ca="1">IF(ISNUMBER(Z26),SQRT(($Z26-OFFSET($Z$20,MATCH(CS_Start,$A$21:$A$40,0),0))^2+($AA26-OFFSET($AA$20,MATCH(CS_Start,$A$21:$A$40,0),0))^2),"")</f>
        <v>16.205583999575001</v>
      </c>
      <c r="AD26" s="47">
        <f t="shared" ca="1" si="28"/>
        <v>0.96626855017166235</v>
      </c>
      <c r="AE26" s="47">
        <f t="shared" ca="1" si="29"/>
        <v>16.21</v>
      </c>
      <c r="AF26" s="47">
        <f t="shared" ca="1" si="25"/>
        <v>0.97</v>
      </c>
      <c r="AH26" s="44">
        <v>16.21</v>
      </c>
      <c r="AI26" s="44">
        <f ca="1">OFFSET($AF$22,MATCH(AH26,$AE$23:$AE$48,0),0)</f>
        <v>0.97</v>
      </c>
      <c r="AJ26" s="2" t="str">
        <f t="shared" ca="1" si="26"/>
        <v>16.21,0.97</v>
      </c>
    </row>
    <row r="27" spans="1:36" x14ac:dyDescent="0.25">
      <c r="A27" s="44">
        <v>7</v>
      </c>
      <c r="B27" s="48">
        <v>12.484270833333333</v>
      </c>
      <c r="C27" s="48">
        <v>4.3296874999999995</v>
      </c>
      <c r="D27" s="44">
        <v>33.442</v>
      </c>
      <c r="E27" s="44">
        <v>4.9062000000000001</v>
      </c>
      <c r="F27" s="44"/>
      <c r="G27" s="43">
        <f t="shared" si="15"/>
        <v>103.91249999999999</v>
      </c>
      <c r="H27" s="43">
        <f t="shared" si="16"/>
        <v>1.8136152589786076</v>
      </c>
      <c r="I27" s="43">
        <f t="shared" si="3"/>
        <v>299.6225</v>
      </c>
      <c r="J27" s="39">
        <f t="shared" si="17"/>
        <v>5.22939913805671</v>
      </c>
      <c r="K27" s="39">
        <f t="shared" si="18"/>
        <v>32.460947121593414</v>
      </c>
      <c r="L27" s="15">
        <f t="shared" si="19"/>
        <v>-8.040788267894893</v>
      </c>
      <c r="M27" s="13"/>
      <c r="N27" s="16">
        <f t="shared" si="4"/>
        <v>299.6225</v>
      </c>
      <c r="O27" s="16">
        <f t="shared" ca="1" si="20"/>
        <v>233.19096453100374</v>
      </c>
      <c r="P27" s="16">
        <f t="shared" ca="1" si="21"/>
        <v>532.81346453100377</v>
      </c>
      <c r="Q27" s="16">
        <f t="shared" ca="1" si="22"/>
        <v>9.2993492550240404</v>
      </c>
      <c r="R27" s="16">
        <f t="shared" ca="1" si="5"/>
        <v>4.060867171241477</v>
      </c>
      <c r="S27" s="16">
        <f t="shared" ca="1" si="6"/>
        <v>-32.205938052607891</v>
      </c>
      <c r="T27" s="13">
        <f t="shared" ca="1" si="7"/>
        <v>3900549.2238671714</v>
      </c>
      <c r="U27" s="13">
        <f t="shared" ca="1" si="8"/>
        <v>1538290.5710619474</v>
      </c>
      <c r="V27" s="16">
        <f t="shared" si="9"/>
        <v>3412.507611732105</v>
      </c>
      <c r="W27" s="16">
        <f t="shared" ca="1" si="10"/>
        <v>3415.960544124302</v>
      </c>
      <c r="X27" s="47">
        <f t="shared" ca="1" si="11"/>
        <v>3900549.2238671714</v>
      </c>
      <c r="Y27" s="47">
        <f t="shared" ca="1" si="23"/>
        <v>1538290.5710619474</v>
      </c>
      <c r="Z27" s="47">
        <f t="shared" ca="1" si="12"/>
        <v>3900549.1969410176</v>
      </c>
      <c r="AA27" s="47">
        <f t="shared" ca="1" si="13"/>
        <v>1538290.5638348665</v>
      </c>
      <c r="AB27" s="47">
        <f t="shared" ca="1" si="27"/>
        <v>2.787917604050924E-2</v>
      </c>
      <c r="AC27" s="47">
        <f ca="1">IF(ISNUMBER(Z27),SQRT(($Z27-OFFSET($Z$20,MATCH(CS_Start,$A$21:$A$40,0),0))^2+($AA27-OFFSET($AA$20,MATCH(CS_Start,$A$21:$A$40,0),0))^2),"")</f>
        <v>18.343110792736361</v>
      </c>
      <c r="AD27" s="47">
        <f t="shared" ca="1" si="28"/>
        <v>0.63138805286325805</v>
      </c>
      <c r="AE27" s="47">
        <f t="shared" ca="1" si="29"/>
        <v>18.34</v>
      </c>
      <c r="AF27" s="47">
        <f t="shared" ca="1" si="25"/>
        <v>0.63</v>
      </c>
      <c r="AH27" s="44">
        <v>18.34</v>
      </c>
      <c r="AI27" s="44">
        <f ca="1">OFFSET($AF$22,MATCH(AH27,$AE$23:$AE$48,0),0)</f>
        <v>0.63</v>
      </c>
      <c r="AJ27" s="2" t="str">
        <f t="shared" ca="1" si="26"/>
        <v>18.34,0.63</v>
      </c>
    </row>
    <row r="28" spans="1:36" x14ac:dyDescent="0.25">
      <c r="A28" s="44">
        <v>8</v>
      </c>
      <c r="B28" s="48">
        <v>12.401770833333332</v>
      </c>
      <c r="C28" s="48">
        <v>4.1062731481481487</v>
      </c>
      <c r="D28" s="44">
        <v>58.326999999999998</v>
      </c>
      <c r="E28" s="44">
        <v>4.9062000000000001</v>
      </c>
      <c r="F28" s="49" t="s">
        <v>86</v>
      </c>
      <c r="G28" s="43">
        <f t="shared" si="15"/>
        <v>98.550555555555576</v>
      </c>
      <c r="H28" s="43">
        <f t="shared" si="16"/>
        <v>1.7200316741140342</v>
      </c>
      <c r="I28" s="43">
        <f t="shared" si="3"/>
        <v>297.64249999999998</v>
      </c>
      <c r="J28" s="39">
        <f t="shared" si="17"/>
        <v>5.1948416188672217</v>
      </c>
      <c r="K28" s="39">
        <f t="shared" si="18"/>
        <v>57.678698727187623</v>
      </c>
      <c r="L28" s="15">
        <f t="shared" si="19"/>
        <v>-8.6721763207585312</v>
      </c>
      <c r="M28" s="13"/>
      <c r="N28" s="16">
        <f t="shared" si="4"/>
        <v>297.64249999999998</v>
      </c>
      <c r="O28" s="16">
        <f t="shared" ca="1" si="20"/>
        <v>233.19096453100374</v>
      </c>
      <c r="P28" s="16">
        <f t="shared" ca="1" si="21"/>
        <v>530.83346453100376</v>
      </c>
      <c r="Q28" s="16">
        <f t="shared" ca="1" si="22"/>
        <v>9.2647917358345531</v>
      </c>
      <c r="R28" s="16">
        <f t="shared" ca="1" si="5"/>
        <v>9.1884824606318993</v>
      </c>
      <c r="S28" s="16">
        <f t="shared" ca="1" si="6"/>
        <v>-56.942111630429856</v>
      </c>
      <c r="T28" s="13">
        <f t="shared" ca="1" si="7"/>
        <v>3900554.3514824607</v>
      </c>
      <c r="U28" s="13">
        <f t="shared" ca="1" si="8"/>
        <v>1538265.8348883695</v>
      </c>
      <c r="V28" s="16">
        <f t="shared" si="9"/>
        <v>3411.8762236792418</v>
      </c>
      <c r="W28" s="16">
        <f t="shared" ca="1" si="10"/>
        <v>3415.3291560714388</v>
      </c>
      <c r="X28" s="47">
        <f t="shared" ca="1" si="11"/>
        <v>3900554.3514824607</v>
      </c>
      <c r="Y28" s="47">
        <f t="shared" ca="1" si="23"/>
        <v>1538265.8348883695</v>
      </c>
      <c r="Z28" s="47">
        <f t="shared" ca="1" si="12"/>
        <v>3900555.7346397019</v>
      </c>
      <c r="AA28" s="47">
        <f t="shared" ca="1" si="13"/>
        <v>1538266.2061329689</v>
      </c>
      <c r="AB28" s="47">
        <f t="shared" ca="1" si="27"/>
        <v>1.4321126025248749</v>
      </c>
      <c r="AC28" s="47">
        <f ca="1">IF(ISNUMBER(Z28),SQRT(($Z28-OFFSET($Z$20,MATCH(CS_Start,$A$21:$A$40,0),0))^2+($AA28-OFFSET($AA$20,MATCH(CS_Start,$A$21:$A$40,0),0))^2),"")</f>
        <v>43.562927322988031</v>
      </c>
      <c r="AD28" s="47">
        <f t="shared" ca="1" si="28"/>
        <v>0</v>
      </c>
      <c r="AE28" s="47">
        <f t="shared" ca="1" si="29"/>
        <v>43.56</v>
      </c>
      <c r="AF28" s="47">
        <f t="shared" ca="1" si="25"/>
        <v>0</v>
      </c>
      <c r="AH28" s="44">
        <v>43.56</v>
      </c>
      <c r="AI28" s="44">
        <f ca="1">OFFSET($AF$22,MATCH(AH28,$AE$23:$AE$48,0),0)</f>
        <v>0</v>
      </c>
      <c r="AJ28" s="2" t="str">
        <f t="shared" ca="1" si="26"/>
        <v>43.56,0</v>
      </c>
    </row>
    <row r="29" spans="1:36" x14ac:dyDescent="0.25">
      <c r="A29" s="44">
        <v>9</v>
      </c>
      <c r="B29" s="48">
        <v>12.29045138888889</v>
      </c>
      <c r="C29" s="48">
        <v>3.952291666666667</v>
      </c>
      <c r="D29" s="44">
        <v>89.872</v>
      </c>
      <c r="E29" s="44">
        <v>4.9062000000000001</v>
      </c>
      <c r="F29" s="49" t="s">
        <v>83</v>
      </c>
      <c r="G29" s="43">
        <f t="shared" si="15"/>
        <v>94.855000000000004</v>
      </c>
      <c r="H29" s="43">
        <f t="shared" si="16"/>
        <v>1.6555320619792213</v>
      </c>
      <c r="I29" s="43">
        <f t="shared" si="3"/>
        <v>294.97083333333336</v>
      </c>
      <c r="J29" s="39">
        <f t="shared" si="17"/>
        <v>5.1482122390181075</v>
      </c>
      <c r="K29" s="39">
        <f t="shared" si="18"/>
        <v>89.549546020634963</v>
      </c>
      <c r="L29" s="15">
        <f t="shared" si="19"/>
        <v>-7.6062600204162027</v>
      </c>
      <c r="M29" s="13"/>
      <c r="N29" s="16">
        <f t="shared" si="4"/>
        <v>294.97083333333336</v>
      </c>
      <c r="O29" s="16">
        <f t="shared" ca="1" si="20"/>
        <v>233.19096453100374</v>
      </c>
      <c r="P29" s="16">
        <f t="shared" ca="1" si="21"/>
        <v>528.16179786433713</v>
      </c>
      <c r="Q29" s="16">
        <f t="shared" ca="1" si="22"/>
        <v>9.218162355985438</v>
      </c>
      <c r="R29" s="16">
        <f t="shared" ca="1" si="5"/>
        <v>18.370970189454169</v>
      </c>
      <c r="S29" s="16">
        <f t="shared" ca="1" si="6"/>
        <v>-87.644900860232624</v>
      </c>
      <c r="T29" s="13">
        <f t="shared" ca="1" si="7"/>
        <v>3900563.5339701897</v>
      </c>
      <c r="U29" s="13">
        <f t="shared" ca="1" si="8"/>
        <v>1538235.1320991397</v>
      </c>
      <c r="V29" s="16">
        <f t="shared" si="9"/>
        <v>3412.9421399795838</v>
      </c>
      <c r="W29" s="16">
        <f t="shared" ca="1" si="10"/>
        <v>3416.3950723717808</v>
      </c>
      <c r="X29" s="47">
        <f t="shared" ca="1" si="11"/>
        <v>3900563.5339701897</v>
      </c>
      <c r="Y29" s="47">
        <f t="shared" ca="1" si="23"/>
        <v>1538235.1320991397</v>
      </c>
      <c r="Z29" s="47">
        <f t="shared" ca="1" si="12"/>
        <v>3900564.0386683582</v>
      </c>
      <c r="AA29" s="47">
        <f t="shared" ca="1" si="13"/>
        <v>1538235.2675620243</v>
      </c>
      <c r="AB29" s="47">
        <f t="shared" ca="1" si="27"/>
        <v>0.52256141683667745</v>
      </c>
      <c r="AC29" s="47">
        <f ca="1">IF(ISNUMBER(Z29),SQRT(($Z29-OFFSET($Z$20,MATCH(CS_Start,$A$21:$A$40,0),0))^2+($AA29-OFFSET($AA$20,MATCH(CS_Start,$A$21:$A$40,0),0))^2),"")</f>
        <v>75.596535674511358</v>
      </c>
      <c r="AD29" s="47">
        <f t="shared" ca="1" si="28"/>
        <v>1.0659163003419962</v>
      </c>
      <c r="AE29" s="47">
        <f t="shared" ca="1" si="29"/>
        <v>75.599999999999994</v>
      </c>
      <c r="AF29" s="47">
        <f t="shared" ca="1" si="25"/>
        <v>1.07</v>
      </c>
      <c r="AH29" s="44">
        <v>75.599999999999994</v>
      </c>
      <c r="AI29" s="44">
        <f ca="1">OFFSET($AF$22,MATCH(AH29,$AE$23:$AE$48,0),0)</f>
        <v>1.07</v>
      </c>
      <c r="AJ29" s="2" t="str">
        <f t="shared" ca="1" si="26"/>
        <v>75.6,1.07</v>
      </c>
    </row>
    <row r="30" spans="1:36" x14ac:dyDescent="0.25">
      <c r="A30" s="44">
        <v>10</v>
      </c>
      <c r="B30" s="48">
        <v>12.279027777777777</v>
      </c>
      <c r="C30" s="48">
        <v>3.9206944444444445</v>
      </c>
      <c r="D30" s="44">
        <v>97.923000000000002</v>
      </c>
      <c r="E30" s="44">
        <v>4.9062000000000001</v>
      </c>
      <c r="F30" s="44"/>
      <c r="G30" s="43">
        <f t="shared" si="15"/>
        <v>94.096666666666664</v>
      </c>
      <c r="H30" s="43">
        <f t="shared" si="16"/>
        <v>1.6422966484849308</v>
      </c>
      <c r="I30" s="43">
        <f t="shared" si="3"/>
        <v>294.69666666666666</v>
      </c>
      <c r="J30" s="39">
        <f t="shared" si="17"/>
        <v>5.1434271279855555</v>
      </c>
      <c r="K30" s="39">
        <f t="shared" si="18"/>
        <v>97.672800937532912</v>
      </c>
      <c r="L30" s="15">
        <f t="shared" si="19"/>
        <v>-6.9955618800115005</v>
      </c>
      <c r="M30" s="13"/>
      <c r="N30" s="16">
        <f t="shared" si="4"/>
        <v>294.69666666666666</v>
      </c>
      <c r="O30" s="16">
        <f t="shared" ca="1" si="20"/>
        <v>233.19096453100374</v>
      </c>
      <c r="P30" s="16">
        <f t="shared" ca="1" si="21"/>
        <v>527.88763119767043</v>
      </c>
      <c r="Q30" s="16">
        <f t="shared" ca="1" si="22"/>
        <v>9.2133772449528859</v>
      </c>
      <c r="R30" s="16">
        <f t="shared" ca="1" si="5"/>
        <v>20.494648489518038</v>
      </c>
      <c r="S30" s="16">
        <f t="shared" ca="1" si="6"/>
        <v>-95.498405359848945</v>
      </c>
      <c r="T30" s="13">
        <f t="shared" ca="1" si="7"/>
        <v>3900565.6576484898</v>
      </c>
      <c r="U30" s="13">
        <f t="shared" ca="1" si="8"/>
        <v>1538227.2785946401</v>
      </c>
      <c r="V30" s="16">
        <f t="shared" si="9"/>
        <v>3413.5528381199888</v>
      </c>
      <c r="W30" s="16">
        <f t="shared" ca="1" si="10"/>
        <v>3417.0057705121862</v>
      </c>
      <c r="X30" s="47">
        <f t="shared" ca="1" si="11"/>
        <v>3900565.6576484898</v>
      </c>
      <c r="Y30" s="47">
        <f t="shared" ca="1" si="23"/>
        <v>1538227.2785946401</v>
      </c>
      <c r="Z30" s="47">
        <f t="shared" ca="1" si="12"/>
        <v>3900566.1476380806</v>
      </c>
      <c r="AA30" s="47">
        <f t="shared" ca="1" si="13"/>
        <v>1538227.4101096876</v>
      </c>
      <c r="AB30" s="47">
        <f t="shared" ca="1" si="27"/>
        <v>0.507332245028012</v>
      </c>
      <c r="AC30" s="47">
        <f ca="1">IF(ISNUMBER(Z30),SQRT(($Z30-OFFSET($Z$20,MATCH(CS_Start,$A$21:$A$40,0),0))^2+($AA30-OFFSET($AA$20,MATCH(CS_Start,$A$21:$A$40,0),0))^2),"")</f>
        <v>83.732094076583721</v>
      </c>
      <c r="AD30" s="47">
        <f t="shared" ca="1" si="28"/>
        <v>1.6766144407474712</v>
      </c>
      <c r="AE30" s="47">
        <f t="shared" ca="1" si="29"/>
        <v>83.73</v>
      </c>
      <c r="AF30" s="47">
        <f t="shared" ca="1" si="25"/>
        <v>1.68</v>
      </c>
      <c r="AH30" s="44">
        <v>83.73</v>
      </c>
      <c r="AI30" s="44">
        <f ca="1">OFFSET($AF$22,MATCH(AH30,$AE$23:$AE$48,0),0)</f>
        <v>1.68</v>
      </c>
      <c r="AJ30" s="2" t="str">
        <f t="shared" ca="1" si="26"/>
        <v>83.73,1.68</v>
      </c>
    </row>
    <row r="31" spans="1:36" x14ac:dyDescent="0.25">
      <c r="A31" s="44">
        <v>11</v>
      </c>
      <c r="B31" s="48">
        <v>12.305648148148149</v>
      </c>
      <c r="C31" s="48">
        <v>3.8659259259259255</v>
      </c>
      <c r="D31" s="44">
        <v>103.389</v>
      </c>
      <c r="E31" s="44">
        <v>4.9062000000000001</v>
      </c>
      <c r="F31" s="44"/>
      <c r="G31" s="43">
        <f t="shared" si="15"/>
        <v>92.782222222222217</v>
      </c>
      <c r="H31" s="43">
        <f t="shared" si="16"/>
        <v>1.6193552650948275</v>
      </c>
      <c r="I31" s="43">
        <f t="shared" si="3"/>
        <v>295.33555555555557</v>
      </c>
      <c r="J31" s="39">
        <f t="shared" si="17"/>
        <v>5.1545778426510758</v>
      </c>
      <c r="K31" s="39">
        <f t="shared" si="18"/>
        <v>103.26712984457531</v>
      </c>
      <c r="L31" s="15">
        <f t="shared" si="19"/>
        <v>-5.0184872883792186</v>
      </c>
      <c r="M31" s="13"/>
      <c r="N31" s="16">
        <f t="shared" si="4"/>
        <v>295.33555555555557</v>
      </c>
      <c r="O31" s="16">
        <f t="shared" ca="1" si="20"/>
        <v>233.19096453100374</v>
      </c>
      <c r="P31" s="16">
        <f t="shared" ca="1" si="21"/>
        <v>528.52652008655934</v>
      </c>
      <c r="Q31" s="16">
        <f t="shared" ca="1" si="22"/>
        <v>9.2245279596184062</v>
      </c>
      <c r="R31" s="16">
        <f t="shared" ca="1" si="5"/>
        <v>20.541313220079694</v>
      </c>
      <c r="S31" s="16">
        <f t="shared" ca="1" si="6"/>
        <v>-101.20353036100548</v>
      </c>
      <c r="T31" s="13">
        <f t="shared" ca="1" si="7"/>
        <v>3900565.7043132205</v>
      </c>
      <c r="U31" s="13">
        <f t="shared" ca="1" si="8"/>
        <v>1538221.5734696391</v>
      </c>
      <c r="V31" s="16">
        <f t="shared" si="9"/>
        <v>3415.5299127116209</v>
      </c>
      <c r="W31" s="16">
        <f t="shared" ca="1" si="10"/>
        <v>3418.9828451038184</v>
      </c>
      <c r="X31" s="47">
        <f t="shared" ca="1" si="11"/>
        <v>3900565.7043132205</v>
      </c>
      <c r="Y31" s="47">
        <f t="shared" ca="1" si="23"/>
        <v>1538221.5734696391</v>
      </c>
      <c r="Z31" s="47">
        <f t="shared" ca="1" si="12"/>
        <v>3900567.5791498804</v>
      </c>
      <c r="AA31" s="47">
        <f t="shared" ca="1" si="13"/>
        <v>1538222.0766828395</v>
      </c>
      <c r="AB31" s="47">
        <f t="shared" ca="1" si="27"/>
        <v>1.9411944845342244</v>
      </c>
      <c r="AC31" s="47">
        <f ca="1">IF(ISNUMBER(Z31),SQRT(($Z31-OFFSET($Z$20,MATCH(CS_Start,$A$21:$A$40,0),0))^2+($AA31-OFFSET($AA$20,MATCH(CS_Start,$A$21:$A$40,0),0))^2),"")</f>
        <v>89.25429182535396</v>
      </c>
      <c r="AD31" s="47">
        <f t="shared" ca="1" si="28"/>
        <v>3.6536890323795888</v>
      </c>
      <c r="AE31" s="47">
        <f t="shared" ca="1" si="29"/>
        <v>89.25</v>
      </c>
      <c r="AF31" s="47">
        <f t="shared" ca="1" si="25"/>
        <v>3.65</v>
      </c>
      <c r="AH31" s="44">
        <v>89.25</v>
      </c>
      <c r="AI31" s="44">
        <f ca="1">OFFSET($AF$22,MATCH(AH31,$AE$23:$AE$48,0),0)</f>
        <v>3.65</v>
      </c>
      <c r="AJ31" s="2" t="str">
        <f t="shared" ca="1" si="26"/>
        <v>89.25,3.65</v>
      </c>
    </row>
    <row r="32" spans="1:36" x14ac:dyDescent="0.25">
      <c r="A32" s="44">
        <v>12</v>
      </c>
      <c r="B32" s="48">
        <v>12.264930555555557</v>
      </c>
      <c r="C32" s="48">
        <v>3.839988425925926</v>
      </c>
      <c r="D32" s="44">
        <v>120.944</v>
      </c>
      <c r="E32" s="44">
        <v>4.9062000000000001</v>
      </c>
      <c r="F32" s="44"/>
      <c r="G32" s="43">
        <f t="shared" si="15"/>
        <v>92.159722222222229</v>
      </c>
      <c r="H32" s="43">
        <f t="shared" si="16"/>
        <v>1.6084905905011631</v>
      </c>
      <c r="I32" s="43">
        <f t="shared" si="3"/>
        <v>294.35833333333335</v>
      </c>
      <c r="J32" s="39">
        <f t="shared" si="17"/>
        <v>5.1375220973496418</v>
      </c>
      <c r="K32" s="39">
        <f t="shared" si="18"/>
        <v>120.85808807737696</v>
      </c>
      <c r="L32" s="15">
        <f t="shared" si="19"/>
        <v>-4.5578155163404048</v>
      </c>
      <c r="M32" s="13"/>
      <c r="N32" s="16">
        <f t="shared" si="4"/>
        <v>294.35833333333335</v>
      </c>
      <c r="O32" s="16">
        <f t="shared" ca="1" si="20"/>
        <v>233.19096453100374</v>
      </c>
      <c r="P32" s="16">
        <f t="shared" ca="1" si="21"/>
        <v>527.54929786433706</v>
      </c>
      <c r="Q32" s="16">
        <f t="shared" ca="1" si="22"/>
        <v>9.2074722143169723</v>
      </c>
      <c r="R32" s="16">
        <f t="shared" ca="1" si="5"/>
        <v>26.056945660703978</v>
      </c>
      <c r="S32" s="16">
        <f t="shared" ca="1" si="6"/>
        <v>-118.01573215700579</v>
      </c>
      <c r="T32" s="13">
        <f t="shared" ca="1" si="7"/>
        <v>3900571.2199456608</v>
      </c>
      <c r="U32" s="13">
        <f t="shared" ca="1" si="8"/>
        <v>1538204.761267843</v>
      </c>
      <c r="V32" s="16">
        <f t="shared" si="9"/>
        <v>3415.9905844836599</v>
      </c>
      <c r="W32" s="16">
        <f t="shared" ca="1" si="10"/>
        <v>3419.4435168758573</v>
      </c>
      <c r="X32" s="47">
        <f t="shared" ca="1" si="11"/>
        <v>3900571.2199456608</v>
      </c>
      <c r="Y32" s="47">
        <f t="shared" ca="1" si="23"/>
        <v>1538204.761267843</v>
      </c>
      <c r="Z32" s="47">
        <f t="shared" ca="1" si="12"/>
        <v>3900572.1590207941</v>
      </c>
      <c r="AA32" s="47">
        <f t="shared" ca="1" si="13"/>
        <v>1538205.0133191347</v>
      </c>
      <c r="AB32" s="47">
        <f t="shared" ca="1" si="27"/>
        <v>0.97231268615244726</v>
      </c>
      <c r="AC32" s="47">
        <f ca="1">IF(ISNUMBER(Z32),SQRT(($Z32-OFFSET($Z$20,MATCH(CS_Start,$A$21:$A$40,0),0))^2+($AA32-OFFSET($AA$20,MATCH(CS_Start,$A$21:$A$40,0),0))^2),"")</f>
        <v>106.92159491634553</v>
      </c>
      <c r="AD32" s="47">
        <f t="shared" ca="1" si="28"/>
        <v>4.1143608044185385</v>
      </c>
      <c r="AE32" s="47">
        <f t="shared" ca="1" si="29"/>
        <v>106.92</v>
      </c>
      <c r="AF32" s="47">
        <f t="shared" ca="1" si="25"/>
        <v>4.1100000000000003</v>
      </c>
      <c r="AH32" s="44">
        <v>106.92</v>
      </c>
      <c r="AI32" s="44">
        <f ca="1">OFFSET($AF$22,MATCH(AH32,$AE$23:$AE$48,0),0)</f>
        <v>4.1100000000000003</v>
      </c>
      <c r="AJ32" s="44" t="str">
        <f t="shared" ca="1" si="26"/>
        <v>106.92,4.11</v>
      </c>
    </row>
    <row r="33" spans="1:36" x14ac:dyDescent="0.25">
      <c r="A33" s="44">
        <v>13</v>
      </c>
      <c r="B33" s="48">
        <v>12.187916666666666</v>
      </c>
      <c r="C33" s="48">
        <v>3.8077662037037037</v>
      </c>
      <c r="D33" s="44">
        <v>137.172</v>
      </c>
      <c r="E33" s="44">
        <v>4.9062000000000001</v>
      </c>
      <c r="F33" s="44"/>
      <c r="G33" s="43">
        <f t="shared" si="15"/>
        <v>91.386388888888888</v>
      </c>
      <c r="H33" s="43">
        <f t="shared" si="16"/>
        <v>1.5949933776190734</v>
      </c>
      <c r="I33" s="43">
        <f t="shared" si="3"/>
        <v>292.51</v>
      </c>
      <c r="J33" s="39">
        <f t="shared" si="17"/>
        <v>5.1052625950086128</v>
      </c>
      <c r="K33" s="39">
        <f t="shared" si="18"/>
        <v>137.13184504361209</v>
      </c>
      <c r="L33" s="15">
        <f t="shared" si="19"/>
        <v>-3.318833972159358</v>
      </c>
      <c r="M33" s="13"/>
      <c r="N33" s="16">
        <f t="shared" si="4"/>
        <v>292.51</v>
      </c>
      <c r="O33" s="16">
        <f t="shared" ca="1" si="20"/>
        <v>233.19096453100374</v>
      </c>
      <c r="P33" s="16">
        <f t="shared" ca="1" si="21"/>
        <v>525.70096453100371</v>
      </c>
      <c r="Q33" s="16">
        <f t="shared" ca="1" si="22"/>
        <v>9.1752127119759432</v>
      </c>
      <c r="R33" s="16">
        <f t="shared" ca="1" si="5"/>
        <v>33.869193350703021</v>
      </c>
      <c r="S33" s="16">
        <f t="shared" ca="1" si="6"/>
        <v>-132.8834853051271</v>
      </c>
      <c r="T33" s="13">
        <f t="shared" ca="1" si="7"/>
        <v>3900579.0321933511</v>
      </c>
      <c r="U33" s="13">
        <f t="shared" ca="1" si="8"/>
        <v>1538189.8935146949</v>
      </c>
      <c r="V33" s="16">
        <f t="shared" si="9"/>
        <v>3417.229566027841</v>
      </c>
      <c r="W33" s="16">
        <f t="shared" ca="1" si="10"/>
        <v>3420.6824984200384</v>
      </c>
      <c r="X33" s="47">
        <f t="shared" ca="1" si="11"/>
        <v>3900579.0321933511</v>
      </c>
      <c r="Y33" s="47">
        <f t="shared" ca="1" si="23"/>
        <v>1538189.8935146949</v>
      </c>
      <c r="Z33" s="47">
        <f t="shared" ca="1" si="12"/>
        <v>3900576.4063969841</v>
      </c>
      <c r="AA33" s="47">
        <f t="shared" ca="1" si="13"/>
        <v>1538189.1887410879</v>
      </c>
      <c r="AB33" s="47">
        <f t="shared" ca="1" si="27"/>
        <v>2.7187336018366257</v>
      </c>
      <c r="AC33" s="47">
        <f ca="1">IF(ISNUMBER(Z33),SQRT(($Z33-OFFSET($Z$20,MATCH(CS_Start,$A$21:$A$40,0),0))^2+($AA33-OFFSET($AA$20,MATCH(CS_Start,$A$21:$A$40,0),0))^2),"")</f>
        <v>123.30626686481253</v>
      </c>
      <c r="AD33" s="47">
        <f t="shared" ca="1" si="28"/>
        <v>5.3533423485996536</v>
      </c>
      <c r="AE33" s="47">
        <f t="shared" ca="1" si="29"/>
        <v>123.31</v>
      </c>
      <c r="AF33" s="47">
        <f t="shared" ca="1" si="25"/>
        <v>5.35</v>
      </c>
      <c r="AH33" s="44">
        <v>123.31</v>
      </c>
      <c r="AI33" s="44">
        <f ca="1">OFFSET($AF$22,MATCH(AH33,$AE$23:$AE$48,0),0)</f>
        <v>5.35</v>
      </c>
      <c r="AJ33" s="44" t="str">
        <f t="shared" ca="1" si="26"/>
        <v>123.31,5.35</v>
      </c>
    </row>
    <row r="34" spans="1:36" x14ac:dyDescent="0.25">
      <c r="A34" s="44">
        <v>14</v>
      </c>
      <c r="B34" s="48">
        <v>14.999398148148147</v>
      </c>
      <c r="C34" s="48">
        <v>3.7657523148148151</v>
      </c>
      <c r="D34" s="44">
        <v>79.307000000000002</v>
      </c>
      <c r="E34" s="44">
        <v>4.9062000000000001</v>
      </c>
      <c r="F34" s="49" t="s">
        <v>69</v>
      </c>
      <c r="G34" s="43">
        <f t="shared" ref="G34:G35" si="30">C34*24</f>
        <v>90.378055555555562</v>
      </c>
      <c r="H34" s="43">
        <f t="shared" ref="H34:H35" si="31">RADIANS(G34)</f>
        <v>1.5773946409947974</v>
      </c>
      <c r="I34" s="43">
        <f t="shared" ref="I34:I35" si="32">B34*24</f>
        <v>359.98555555555555</v>
      </c>
      <c r="J34" s="49">
        <f t="shared" ref="J34:J35" si="33">RADIANS(I34)</f>
        <v>6.2829332040654089</v>
      </c>
      <c r="K34" s="49">
        <f t="shared" ref="K34:K35" si="34">D34*SIN(H34)</f>
        <v>79.305273582082961</v>
      </c>
      <c r="L34" s="46">
        <f t="shared" ref="L34:L35" si="35">D34*COS(H34)</f>
        <v>-0.52328870709673703</v>
      </c>
      <c r="M34" s="45"/>
      <c r="N34" s="47">
        <f t="shared" ref="N34:N35" si="36">I34+M34</f>
        <v>359.98555555555555</v>
      </c>
      <c r="O34" s="47">
        <f t="shared" ca="1" si="20"/>
        <v>233.19096453100374</v>
      </c>
      <c r="P34" s="47">
        <f t="shared" ref="P34:P35" ca="1" si="37">SUM(N34,O34)</f>
        <v>593.17652008655932</v>
      </c>
      <c r="Q34" s="47">
        <f t="shared" ref="Q34:Q35" ca="1" si="38">RADIANS(P34)</f>
        <v>10.35288332103274</v>
      </c>
      <c r="R34" s="47">
        <f t="shared" ref="R34:R35" ca="1" si="39">K34*SIN(Q34)</f>
        <v>-63.482747173488249</v>
      </c>
      <c r="S34" s="47">
        <f t="shared" ref="S34:S35" ca="1" si="40">K34*COS(Q34)</f>
        <v>-47.5317496967658</v>
      </c>
      <c r="T34" s="45">
        <f t="shared" ref="T34:T35" ca="1" si="41">Old_X0+R34</f>
        <v>3900481.6802528268</v>
      </c>
      <c r="U34" s="45">
        <f t="shared" ref="U34:U35" ca="1" si="42">Old_Y0+S34</f>
        <v>1538275.2452503033</v>
      </c>
      <c r="V34" s="47">
        <f t="shared" ref="V34:V35" si="43">Old_Z0+HI+L34-E34</f>
        <v>3420.0251112929036</v>
      </c>
      <c r="W34" s="47">
        <f t="shared" ref="W34:W35" ca="1" si="44">IF(ISNUMBER(T34),V34+dZ,"")</f>
        <v>3423.4780436851006</v>
      </c>
      <c r="X34" s="47" t="str">
        <f t="shared" si="11"/>
        <v/>
      </c>
      <c r="Y34" s="47" t="str">
        <f t="shared" si="23"/>
        <v/>
      </c>
      <c r="Z34" s="47" t="e">
        <f t="shared" si="12"/>
        <v>#N/A</v>
      </c>
      <c r="AA34" s="47" t="e">
        <f t="shared" si="13"/>
        <v>#N/A</v>
      </c>
      <c r="AB34" s="47" t="str">
        <f t="shared" ref="AB34:AB35" si="45">IF(ISNUMBER(X34),SQRT((X34-Z34)^2+(Y34-AA34)^2),"")</f>
        <v/>
      </c>
      <c r="AC34" s="47" t="str">
        <f ca="1">IF(ISNUMBER(Z34),SQRT(($Z34-OFFSET($Z$20,MATCH(CS_Start,$A$21:$A$40,0),0))^2+($AA34-OFFSET($AA$20,MATCH(CS_Start,$A$21:$A$40,0),0))^2),"")</f>
        <v/>
      </c>
      <c r="AD34" s="47" t="str">
        <f t="shared" ref="AD34:AD35" si="46">IF(ISNUMBER(X34),W34-Min_Z,"")</f>
        <v/>
      </c>
      <c r="AE34" s="47" t="e">
        <f t="shared" ca="1" si="29"/>
        <v>#VALUE!</v>
      </c>
      <c r="AF34" s="47" t="e">
        <f t="shared" si="25"/>
        <v>#VALUE!</v>
      </c>
      <c r="AH34" s="44"/>
      <c r="AI34" s="44">
        <f ca="1">OFFSET($AF$22,MATCH(AH34,$AE$23:$AE$48,0),0)</f>
        <v>8.5</v>
      </c>
      <c r="AJ34" s="44" t="str">
        <f t="shared" ca="1" si="26"/>
        <v>,8.5</v>
      </c>
    </row>
    <row r="35" spans="1:36" x14ac:dyDescent="0.25">
      <c r="A35" s="44">
        <v>15</v>
      </c>
      <c r="B35" s="48">
        <v>7.0975115740740735</v>
      </c>
      <c r="C35" s="48">
        <v>3.763611111111111</v>
      </c>
      <c r="D35" s="44">
        <v>79.728999999999999</v>
      </c>
      <c r="E35" s="44">
        <v>4.9062000000000001</v>
      </c>
      <c r="F35" s="49" t="s">
        <v>70</v>
      </c>
      <c r="G35" s="43">
        <f t="shared" si="30"/>
        <v>90.326666666666668</v>
      </c>
      <c r="H35" s="43">
        <f t="shared" si="31"/>
        <v>1.5764977356847447</v>
      </c>
      <c r="I35" s="43">
        <f t="shared" si="32"/>
        <v>170.34027777777777</v>
      </c>
      <c r="J35" s="49">
        <f t="shared" si="33"/>
        <v>2.9729986959839518</v>
      </c>
      <c r="K35" s="49">
        <f t="shared" si="34"/>
        <v>79.727704165548616</v>
      </c>
      <c r="L35" s="46">
        <f t="shared" si="35"/>
        <v>-0.45456516668201025</v>
      </c>
      <c r="M35" s="45"/>
      <c r="N35" s="47">
        <f t="shared" si="36"/>
        <v>170.34027777777777</v>
      </c>
      <c r="O35" s="47">
        <f t="shared" ca="1" si="20"/>
        <v>233.19096453100374</v>
      </c>
      <c r="P35" s="47">
        <f t="shared" ca="1" si="37"/>
        <v>403.53124230878154</v>
      </c>
      <c r="Q35" s="47">
        <f t="shared" ca="1" si="38"/>
        <v>7.0429488129512823</v>
      </c>
      <c r="R35" s="47">
        <f t="shared" ca="1" si="39"/>
        <v>54.912456747391971</v>
      </c>
      <c r="S35" s="47">
        <f t="shared" ca="1" si="40"/>
        <v>57.802499128282022</v>
      </c>
      <c r="T35" s="45">
        <f t="shared" ca="1" si="41"/>
        <v>3900600.0754567478</v>
      </c>
      <c r="U35" s="45">
        <f t="shared" ca="1" si="42"/>
        <v>1538380.5794991283</v>
      </c>
      <c r="V35" s="47">
        <f t="shared" si="43"/>
        <v>3420.0938348333179</v>
      </c>
      <c r="W35" s="47">
        <f t="shared" ca="1" si="44"/>
        <v>3423.5467672255154</v>
      </c>
      <c r="X35" s="47" t="str">
        <f t="shared" si="11"/>
        <v/>
      </c>
      <c r="Y35" s="47" t="str">
        <f t="shared" si="23"/>
        <v/>
      </c>
      <c r="Z35" s="47" t="e">
        <f t="shared" si="12"/>
        <v>#N/A</v>
      </c>
      <c r="AA35" s="47" t="e">
        <f t="shared" si="13"/>
        <v>#N/A</v>
      </c>
      <c r="AB35" s="47" t="str">
        <f t="shared" si="45"/>
        <v/>
      </c>
      <c r="AC35" s="47" t="str">
        <f ca="1">IF(ISNUMBER(Z35),SQRT(($Z35-OFFSET($Z$20,MATCH(CS_Start,$A$21:$A$40,0),0))^2+($AA35-OFFSET($AA$20,MATCH(CS_Start,$A$21:$A$40,0),0))^2),"")</f>
        <v/>
      </c>
      <c r="AD35" s="47" t="str">
        <f t="shared" si="46"/>
        <v/>
      </c>
      <c r="AE35" s="47" t="e">
        <f t="shared" ca="1" si="29"/>
        <v>#VALUE!</v>
      </c>
      <c r="AF35" s="47" t="e">
        <f t="shared" si="25"/>
        <v>#VALUE!</v>
      </c>
      <c r="AH35" s="44"/>
      <c r="AI35" s="44">
        <f ca="1">OFFSET($AF$22,MATCH(AH35,$AE$23:$AE$48,0),0)</f>
        <v>8.5</v>
      </c>
      <c r="AJ35" s="44" t="str">
        <f t="shared" ca="1" si="26"/>
        <v>,8.5</v>
      </c>
    </row>
    <row r="36" spans="1:36" x14ac:dyDescent="0.25">
      <c r="A36" s="44"/>
      <c r="B36" s="48"/>
      <c r="C36" s="48"/>
      <c r="D36" s="44"/>
      <c r="E36" s="44"/>
      <c r="F36" s="44"/>
      <c r="G36" s="43"/>
      <c r="H36" s="43"/>
      <c r="I36" s="43"/>
      <c r="J36" s="49"/>
      <c r="K36" s="49"/>
      <c r="L36" s="46"/>
      <c r="M36" s="45"/>
      <c r="N36" s="47"/>
      <c r="O36" s="47"/>
      <c r="P36" s="47"/>
      <c r="Q36" s="47"/>
      <c r="R36" s="47"/>
      <c r="S36" s="47"/>
      <c r="T36" s="45"/>
      <c r="U36" s="45"/>
      <c r="V36" s="47"/>
      <c r="W36" s="47"/>
      <c r="X36" s="47"/>
      <c r="Y36" s="47"/>
      <c r="Z36" s="47"/>
      <c r="AA36" s="47"/>
      <c r="AB36" s="47"/>
      <c r="AC36" s="47"/>
      <c r="AD36" s="47"/>
      <c r="AE36" s="44"/>
      <c r="AF36" s="44"/>
    </row>
    <row r="37" spans="1:36" x14ac:dyDescent="0.25">
      <c r="A37" s="44"/>
      <c r="B37" s="48"/>
      <c r="C37" s="48"/>
      <c r="D37" s="44"/>
      <c r="E37" s="44"/>
      <c r="F37" s="44"/>
      <c r="G37" s="43"/>
      <c r="H37" s="43"/>
      <c r="I37" s="43"/>
      <c r="J37" s="49"/>
      <c r="K37" s="49"/>
      <c r="L37" s="46"/>
      <c r="M37" s="45"/>
      <c r="N37" s="47"/>
      <c r="O37" s="47"/>
      <c r="P37" s="47"/>
      <c r="Q37" s="47"/>
      <c r="R37" s="47"/>
      <c r="S37" s="47"/>
      <c r="T37" s="45"/>
      <c r="U37" s="45"/>
      <c r="V37" s="47"/>
      <c r="W37" s="47"/>
      <c r="X37" s="47"/>
      <c r="Y37" s="47"/>
      <c r="Z37" s="47"/>
      <c r="AA37" s="47"/>
      <c r="AB37" s="47"/>
      <c r="AC37" s="47"/>
      <c r="AD37" s="47"/>
      <c r="AE37" s="44"/>
      <c r="AF37" s="44"/>
    </row>
    <row r="38" spans="1:36" x14ac:dyDescent="0.25">
      <c r="A38" s="44"/>
      <c r="B38" s="48"/>
      <c r="C38" s="48"/>
      <c r="D38" s="44"/>
      <c r="E38" s="44"/>
      <c r="F38" s="44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</row>
    <row r="39" spans="1:36" x14ac:dyDescent="0.25">
      <c r="A39" s="44"/>
      <c r="B39" s="48"/>
      <c r="C39" s="48"/>
      <c r="D39" s="44"/>
      <c r="E39" s="44"/>
      <c r="F39" s="44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</row>
    <row r="40" spans="1:36" x14ac:dyDescent="0.25">
      <c r="A40" s="44"/>
      <c r="B40" s="48"/>
      <c r="C40" s="48"/>
      <c r="D40" s="44"/>
      <c r="E40" s="44"/>
      <c r="F40" s="49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9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4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50"/>
      <c r="D45" s="44"/>
      <c r="E45" s="44"/>
      <c r="F45" s="50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4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9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  <c r="AH49" s="44"/>
      <c r="AI49" s="44"/>
      <c r="AJ49" s="44"/>
    </row>
    <row r="50" spans="1:36" x14ac:dyDescent="0.25">
      <c r="A50" s="44"/>
      <c r="B50" s="48"/>
      <c r="C50" s="48"/>
      <c r="D50" s="44"/>
      <c r="E50" s="44"/>
      <c r="F50" s="49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  <c r="AH50" s="44"/>
      <c r="AI50" s="44"/>
      <c r="AJ50" s="44"/>
    </row>
    <row r="51" spans="1:36" x14ac:dyDescent="0.25">
      <c r="A51" s="40"/>
      <c r="C51" s="2"/>
      <c r="D51" s="42"/>
      <c r="E51" s="42"/>
      <c r="F51" s="42"/>
      <c r="G51" s="42"/>
      <c r="H51" s="42"/>
      <c r="I51" s="10"/>
      <c r="J51" s="10"/>
      <c r="K51" s="10"/>
      <c r="L51" s="10"/>
      <c r="M51" s="10"/>
      <c r="V51" s="2"/>
      <c r="W51" s="13"/>
      <c r="X51" s="2"/>
      <c r="Y51" s="2"/>
      <c r="Z51" s="2"/>
      <c r="AH51" s="44"/>
      <c r="AI51" s="44"/>
      <c r="AJ51" s="44"/>
    </row>
    <row r="52" spans="1:36" x14ac:dyDescent="0.25">
      <c r="A52" s="40"/>
      <c r="C52" s="2"/>
      <c r="D52" s="42"/>
      <c r="E52" s="42"/>
      <c r="F52" s="42"/>
      <c r="G52" s="42"/>
      <c r="H52" s="42"/>
      <c r="I52" s="10"/>
      <c r="J52" s="10"/>
      <c r="K52" s="10"/>
      <c r="L52" s="10"/>
      <c r="M52" s="10"/>
      <c r="V52" s="2"/>
      <c r="W52" s="13"/>
      <c r="X52" s="2"/>
      <c r="Y52" s="2"/>
      <c r="Z52" s="2"/>
      <c r="AH52" s="44"/>
      <c r="AI52" s="44"/>
      <c r="AJ52" s="44"/>
    </row>
    <row r="53" spans="1:36" x14ac:dyDescent="0.25">
      <c r="A53" s="40"/>
      <c r="C53" s="2"/>
      <c r="D53" s="42"/>
      <c r="E53" s="42"/>
      <c r="F53" s="42"/>
      <c r="G53" s="42"/>
      <c r="H53" s="42"/>
      <c r="I53" s="10"/>
      <c r="J53" s="10"/>
      <c r="K53" s="10"/>
      <c r="L53" s="10"/>
      <c r="M53" s="10"/>
      <c r="V53" s="2"/>
      <c r="W53" s="13"/>
      <c r="X53" s="2"/>
      <c r="Y53" s="2"/>
      <c r="Z53" s="2"/>
      <c r="AH53" s="44"/>
      <c r="AI53" s="44"/>
      <c r="AJ53" s="44"/>
    </row>
    <row r="54" spans="1:36" x14ac:dyDescent="0.25">
      <c r="A54" s="40"/>
      <c r="C54" s="2"/>
      <c r="D54" s="42"/>
      <c r="E54" s="42"/>
      <c r="F54" s="42"/>
      <c r="G54" s="42"/>
      <c r="H54" s="42"/>
      <c r="I54" s="10"/>
      <c r="J54" s="10"/>
      <c r="K54" s="10"/>
      <c r="L54" s="10"/>
      <c r="M54" s="10"/>
      <c r="V54" s="2"/>
      <c r="W54" s="13"/>
      <c r="X54" s="2"/>
      <c r="Y54" s="2"/>
      <c r="Z54" s="2"/>
      <c r="AH54" s="44"/>
      <c r="AI54" s="44"/>
      <c r="AJ54" s="44"/>
    </row>
    <row r="55" spans="1:36" x14ac:dyDescent="0.25">
      <c r="A55" s="40"/>
      <c r="C55" s="2"/>
      <c r="D55" s="42"/>
      <c r="E55" s="42"/>
      <c r="F55" s="42"/>
      <c r="G55" s="42"/>
      <c r="H55" s="42"/>
      <c r="I55" s="10"/>
      <c r="J55" s="10"/>
      <c r="K55" s="10"/>
      <c r="L55" s="10"/>
      <c r="M55" s="10"/>
      <c r="V55" s="2"/>
      <c r="W55" s="13"/>
      <c r="X55" s="2"/>
      <c r="Y55" s="2"/>
      <c r="Z55" s="2"/>
      <c r="AH55" s="44"/>
      <c r="AI55" s="44"/>
      <c r="AJ55" s="44"/>
    </row>
    <row r="56" spans="1:36" x14ac:dyDescent="0.25">
      <c r="A56" s="40"/>
      <c r="C56" s="2"/>
      <c r="D56" s="42"/>
      <c r="E56" s="42"/>
      <c r="F56" s="42"/>
      <c r="G56" s="42"/>
      <c r="H56" s="42"/>
      <c r="I56" s="10"/>
      <c r="J56" s="10"/>
      <c r="K56" s="10"/>
      <c r="L56" s="10"/>
      <c r="M56" s="10"/>
      <c r="V56" s="2"/>
      <c r="W56" s="13"/>
      <c r="X56" s="2"/>
      <c r="Y56" s="2"/>
      <c r="Z56" s="2"/>
    </row>
    <row r="57" spans="1:36" x14ac:dyDescent="0.25">
      <c r="A57" s="40"/>
      <c r="C57" s="2"/>
      <c r="D57" s="42"/>
      <c r="E57" s="42"/>
      <c r="F57" s="42"/>
      <c r="G57" s="42"/>
      <c r="H57" s="42"/>
      <c r="I57" s="10"/>
      <c r="J57" s="10"/>
      <c r="K57" s="10"/>
      <c r="L57" s="10"/>
      <c r="M57" s="10"/>
      <c r="V57" s="2"/>
      <c r="W57" s="13"/>
      <c r="X57" s="2"/>
      <c r="Y57" s="2"/>
      <c r="Z57" s="2"/>
      <c r="AA57" s="2"/>
    </row>
    <row r="58" spans="1:36" x14ac:dyDescent="0.25">
      <c r="A58" s="40"/>
      <c r="C58" s="2"/>
      <c r="D58" s="42"/>
      <c r="E58" s="42"/>
      <c r="F58" s="42"/>
      <c r="G58" s="42"/>
      <c r="H58" s="42"/>
      <c r="I58" s="10"/>
      <c r="J58" s="10"/>
      <c r="K58" s="10"/>
      <c r="L58" s="10"/>
      <c r="M58" s="10"/>
      <c r="V58" s="2"/>
      <c r="W58" s="13"/>
      <c r="X58" s="2"/>
      <c r="Y58" s="2"/>
      <c r="Z58" s="2"/>
      <c r="AA58" s="2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V59" s="2"/>
      <c r="W59" s="13"/>
      <c r="X59" s="2"/>
      <c r="Y59" s="2"/>
      <c r="Z59" s="2"/>
      <c r="AA59" s="2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W60" s="2"/>
      <c r="X60" s="13"/>
      <c r="Y60" s="2"/>
      <c r="Z60" s="2"/>
      <c r="AA60" s="2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W61" s="2"/>
      <c r="X61" s="13"/>
      <c r="Y61" s="2"/>
      <c r="Z61" s="2"/>
      <c r="AA61" s="2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W62" s="2"/>
      <c r="X62" s="13"/>
      <c r="Y62" s="2"/>
      <c r="Z62" s="2"/>
      <c r="AA62" s="2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X63" s="13"/>
      <c r="Y63" s="2"/>
      <c r="Z63" s="2"/>
      <c r="AA63" s="2"/>
    </row>
    <row r="64" spans="1:36" x14ac:dyDescent="0.25">
      <c r="A64" s="17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X64" s="13"/>
      <c r="Y64" s="2"/>
      <c r="Z64" s="2"/>
      <c r="AA64" s="2"/>
    </row>
    <row r="65" spans="1:27" x14ac:dyDescent="0.25">
      <c r="A65" s="17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X65" s="13"/>
      <c r="Y65" s="2"/>
      <c r="Z65" s="2"/>
      <c r="AA65" s="2"/>
    </row>
    <row r="66" spans="1:27" x14ac:dyDescent="0.25">
      <c r="A66" s="17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X66" s="13"/>
      <c r="Y66" s="2"/>
      <c r="Z66" s="2"/>
      <c r="AA66" s="2"/>
    </row>
    <row r="67" spans="1:27" x14ac:dyDescent="0.25">
      <c r="A67" s="17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X67" s="13"/>
      <c r="Y67" s="2"/>
      <c r="Z67" s="2"/>
      <c r="AA67" s="2"/>
    </row>
    <row r="68" spans="1:27" x14ac:dyDescent="0.25">
      <c r="A68" s="17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X68" s="13"/>
      <c r="Y68" s="2"/>
      <c r="Z68" s="2"/>
      <c r="AA68" s="2"/>
    </row>
    <row r="69" spans="1:27" x14ac:dyDescent="0.25">
      <c r="A69" s="17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X69" s="13"/>
      <c r="Y69" s="2"/>
      <c r="Z69" s="2"/>
      <c r="AA69" s="2"/>
    </row>
    <row r="70" spans="1:27" x14ac:dyDescent="0.25">
      <c r="A70" s="17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X70" s="13"/>
      <c r="Y70" s="2"/>
      <c r="Z70" s="2"/>
      <c r="AA70" s="2"/>
    </row>
    <row r="71" spans="1:27" x14ac:dyDescent="0.25">
      <c r="A71" s="17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  <row r="74" spans="1:27" x14ac:dyDescent="0.25">
      <c r="A74" s="17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</sheetData>
  <sortState ref="AH23:AH33">
    <sortCondition ref="AH23"/>
  </sortState>
  <mergeCells count="14"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3900545.1630000002</v>
      </c>
      <c r="C2" s="33">
        <f>IF(ISNUMBER(Calculations!O4),CONVERT(Calculations!O4,Units_In,Units_Out),"")</f>
        <v>1538322.777</v>
      </c>
      <c r="D2" s="33" t="s">
        <v>60</v>
      </c>
      <c r="E2" s="10" t="str">
        <f>CONCATENATE("0503 ",B2,"EUSft ",C2,"NUSft")</f>
        <v>0503 3900545.163EUSft 1538322.777NUSft</v>
      </c>
      <c r="F2" s="34">
        <v>98</v>
      </c>
      <c r="G2" s="10" t="str">
        <f>IF(F2=98,"Lime",IF(F2=94,"Yellow",""))</f>
        <v>Lime</v>
      </c>
      <c r="H2" s="10" t="str">
        <f>Calculations!$A$1</f>
        <v>DSS8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3900597.9879999999</v>
      </c>
      <c r="C3" s="33">
        <f>IF(ISNUMBER(Calculations!O5),CONVERT(Calculations!O5,Units_In,Units_Out),"")</f>
        <v>1538263.375</v>
      </c>
      <c r="D3" s="33" t="s">
        <v>60</v>
      </c>
      <c r="E3" s="10" t="str">
        <f t="shared" ref="E3:E4" si="0">CONCATENATE("0503 ",B3,"EUSft ",C3,"NUSft")</f>
        <v>0503 3900597.988EUSft 1538263.375NUSft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DSS8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3900485.03</v>
      </c>
      <c r="C4" s="33">
        <f>IF(ISNUMBER(Calculations!O6),CONVERT(Calculations!O6,Units_In,Units_Out),"")</f>
        <v>1538372.213</v>
      </c>
      <c r="D4" s="33" t="s">
        <v>60</v>
      </c>
      <c r="E4" s="10" t="str">
        <f t="shared" si="0"/>
        <v>0503 3900485.03EUSft 1538372.213NUSft</v>
      </c>
      <c r="F4" s="34">
        <v>98</v>
      </c>
      <c r="G4" s="10" t="str">
        <f t="shared" si="1"/>
        <v>Lime</v>
      </c>
      <c r="H4" s="10" t="str">
        <f>Calculations!$A$1</f>
        <v>DSS8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3900481.6042041462</v>
      </c>
      <c r="C5" s="33">
        <f ca="1">IF(ISNUMBER(A5),CONVERT(Calculations!U21,Units_In,Units_Out),"")</f>
        <v>1538275.2133114173</v>
      </c>
      <c r="D5" s="33" t="str">
        <f>IF(ISTEXT(Calculations!F21),Calculations!F21,"")</f>
        <v>BS/ZERO</v>
      </c>
      <c r="E5" t="str">
        <f ca="1">IF(ISNUMBER(A5),CONCATENATE("0503 ",B5,"EUSft ",C5,"NUSft"),"")</f>
        <v>0503 3900481.60420415EUSft 1538275.21331142NUSft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DSS8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3900600.0597844762</v>
      </c>
      <c r="C6" s="33">
        <f ca="1">IF(ISNUMBER(A6),CONVERT(Calculations!U22,Units_In,Units_Out),"")</f>
        <v>1538380.5916228257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3900600.05978448EUSft 1538380.59162283NUSft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DSS8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3900545.2978529679</v>
      </c>
      <c r="C7" s="33">
        <f ca="1">IF(ISNUMBER(A7),CONVERT(Calculations!U23,Units_In,Units_Out),"")</f>
        <v>1538308.5096504369</v>
      </c>
      <c r="D7" s="33" t="str">
        <f>IF(ISTEXT(Calculations!F23),Calculations!F23,"")</f>
        <v/>
      </c>
      <c r="E7" s="10" t="str">
        <f t="shared" ca="1" si="2"/>
        <v>0503 3900545.29785297EUSft 1538308.50965044NUSft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DSS8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3900548.6196113843</v>
      </c>
      <c r="C8" s="33">
        <f ca="1">IF(ISNUMBER(A8),CONVERT(Calculations!U24,Units_In,Units_Out),"")</f>
        <v>1538297.7502727688</v>
      </c>
      <c r="D8" s="33" t="str">
        <f>IF(ISTEXT(Calculations!F24),Calculations!F24,"")</f>
        <v/>
      </c>
      <c r="E8" s="10" t="str">
        <f t="shared" ca="1" si="2"/>
        <v>0503 3900548.61961138EUSft 1538297.75027277NUSft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DSS8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3900548.607402592</v>
      </c>
      <c r="C9" s="33">
        <f ca="1">IF(ISNUMBER(A9),CONVERT(Calculations!U25,Units_In,Units_Out),"")</f>
        <v>1538293.7868100354</v>
      </c>
      <c r="D9" s="33" t="str">
        <f>IF(ISTEXT(Calculations!F25),Calculations!F25,"")</f>
        <v/>
      </c>
      <c r="E9" s="10" t="str">
        <f t="shared" ca="1" si="2"/>
        <v>0503 3900548.60740259EUSft 1538293.78681004NUSft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DSS8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3900548.8081754842</v>
      </c>
      <c r="C10" s="33">
        <f ca="1">IF(ISNUMBER(A10),CONVERT(Calculations!U26,Units_In,Units_Out),"")</f>
        <v>1538292.6726709902</v>
      </c>
      <c r="D10" s="33" t="str">
        <f>IF(ISTEXT(Calculations!F26),Calculations!F26,"")</f>
        <v>WS</v>
      </c>
      <c r="E10" s="10" t="str">
        <f t="shared" ca="1" si="2"/>
        <v>0503 3900548.80817548EUSft 1538292.67267099NUSft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DSS8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3900549.2238671714</v>
      </c>
      <c r="C11" s="33">
        <f ca="1">IF(ISNUMBER(A11),CONVERT(Calculations!U27,Units_In,Units_Out),"")</f>
        <v>1538290.5710619476</v>
      </c>
      <c r="D11" s="33" t="str">
        <f>IF(ISTEXT(Calculations!F27),Calculations!F27,"")</f>
        <v/>
      </c>
      <c r="E11" s="10" t="str">
        <f t="shared" ca="1" si="2"/>
        <v>0503 3900549.22386717EUSft 1538290.57106195NUSft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DSS8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3900554.3514824607</v>
      </c>
      <c r="C12" s="33">
        <f ca="1">IF(ISNUMBER(A12),CONVERT(Calculations!U28,Units_In,Units_Out),"")</f>
        <v>1538265.8348883693</v>
      </c>
      <c r="D12" s="33" t="str">
        <f>IF(ISTEXT(Calculations!F28),Calculations!F28,"")</f>
        <v>MID CHAN</v>
      </c>
      <c r="E12" s="10" t="str">
        <f t="shared" ca="1" si="2"/>
        <v>0503 3900554.35148246EUSft 1538265.83488837NUSft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DSS8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3900563.5339701897</v>
      </c>
      <c r="C13" s="33">
        <f ca="1">IF(ISNUMBER(A13),CONVERT(Calculations!U29,Units_In,Units_Out),"")</f>
        <v>1538235.1320991397</v>
      </c>
      <c r="D13" s="33" t="str">
        <f>IF(ISTEXT(Calculations!F29),Calculations!F29,"")</f>
        <v>WS</v>
      </c>
      <c r="E13" s="10" t="str">
        <f t="shared" ca="1" si="2"/>
        <v>0503 3900563.53397019EUSft 1538235.13209914NUSft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DSS8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3900565.6576484893</v>
      </c>
      <c r="C14" s="33">
        <f ca="1">IF(ISNUMBER(A14),CONVERT(Calculations!U30,Units_In,Units_Out),"")</f>
        <v>1538227.2785946401</v>
      </c>
      <c r="D14" s="33" t="str">
        <f>IF(ISTEXT(Calculations!F30),Calculations!F30,"")</f>
        <v/>
      </c>
      <c r="E14" s="10" t="str">
        <f t="shared" ca="1" si="2"/>
        <v>0503 3900565.65764849EUSft 1538227.27859464NUSft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DSS8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3900565.7043132205</v>
      </c>
      <c r="C15" s="33">
        <f ca="1">IF(ISNUMBER(A15),CONVERT(Calculations!U31,Units_In,Units_Out),"")</f>
        <v>1538221.5734696391</v>
      </c>
      <c r="D15" s="33" t="str">
        <f>IF(ISTEXT(Calculations!F31),Calculations!F31,"")</f>
        <v/>
      </c>
      <c r="E15" s="10" t="str">
        <f t="shared" ca="1" si="2"/>
        <v>0503 3900565.70431322EUSft 1538221.57346964NUSft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DSS8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3900571.2199456608</v>
      </c>
      <c r="C16" s="33">
        <f ca="1">IF(ISNUMBER(A16),CONVERT(Calculations!U32,Units_In,Units_Out),"")</f>
        <v>1538204.761267843</v>
      </c>
      <c r="D16" s="33" t="str">
        <f>IF(ISTEXT(Calculations!F32),Calculations!F32,"")</f>
        <v/>
      </c>
      <c r="E16" s="10" t="str">
        <f t="shared" ca="1" si="2"/>
        <v>0503 3900571.21994566EUSft 1538204.76126784NUSft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DSS8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3900579.0321933511</v>
      </c>
      <c r="C17" s="33">
        <f ca="1">IF(ISNUMBER(A17),CONVERT(Calculations!U33,Units_In,Units_Out),"")</f>
        <v>1538189.8935146949</v>
      </c>
      <c r="D17" s="33" t="str">
        <f>IF(ISTEXT(Calculations!F33),Calculations!F33,"")</f>
        <v/>
      </c>
      <c r="E17" s="10" t="str">
        <f t="shared" ca="1" si="2"/>
        <v>0503 3900579.03219335EUSft 1538189.89351469NUSft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DSS8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3900481.6802528268</v>
      </c>
      <c r="C18" s="33">
        <f ca="1">IF(ISNUMBER(A18),CONVERT(Calculations!U34,Units_In,Units_Out),"")</f>
        <v>1538275.2452503031</v>
      </c>
      <c r="D18" s="33" t="str">
        <f>IF(ISTEXT(Calculations!F34),Calculations!F34,"")</f>
        <v>PT1</v>
      </c>
      <c r="E18" s="10" t="str">
        <f t="shared" ca="1" si="2"/>
        <v>0503 3900481.68025283EUSft 1538275.2452503NUSft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DSS8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3900600.0754567483</v>
      </c>
      <c r="C19" s="33">
        <f ca="1">IF(ISNUMBER(A19),CONVERT(Calculations!U35,Units_In,Units_Out),"")</f>
        <v>1538380.5794991283</v>
      </c>
      <c r="D19" s="33" t="str">
        <f>IF(ISTEXT(Calculations!F35),Calculations!F35,"")</f>
        <v>PT2</v>
      </c>
      <c r="E19" s="10" t="str">
        <f t="shared" ca="1" si="2"/>
        <v>0503 3900600.07545675EUSft 1538380.57949913NUSft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DSS8</v>
      </c>
    </row>
    <row r="20" spans="1:8" x14ac:dyDescent="0.25">
      <c r="A20" s="10" t="str">
        <f>IF(ISNUMBER(Calculations!#REF!),Calculations!#REF!,"")</f>
        <v/>
      </c>
      <c r="B20" s="33" t="str">
        <f>IF(ISNUMBER(A20),CONVERT(Calculations!#REF!,Units_In,Units_Out),"")</f>
        <v/>
      </c>
      <c r="C20" s="33" t="str">
        <f>IF(ISNUMBER(A20),CONVERT(Calculations!#REF!,Units_In,Units_Out),"")</f>
        <v/>
      </c>
      <c r="D20" s="33" t="str">
        <f>IF(ISTEXT(Calculations!#REF!),Calculations!#REF!,"")</f>
        <v/>
      </c>
      <c r="E20" s="10" t="str">
        <f t="shared" si="2"/>
        <v/>
      </c>
      <c r="F20" s="34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 t="str">
        <f>IF(ISNUMBER(Calculations!#REF!),Calculations!#REF!,"")</f>
        <v/>
      </c>
      <c r="B21" s="33" t="str">
        <f>IF(ISNUMBER(A21),CONVERT(Calculations!#REF!,Units_In,Units_Out),"")</f>
        <v/>
      </c>
      <c r="C21" s="33" t="str">
        <f>IF(ISNUMBER(A21),CONVERT(Calculations!#REF!,Units_In,Units_Out),"")</f>
        <v/>
      </c>
      <c r="D21" s="33" t="str">
        <f>IF(ISTEXT(Calculations!#REF!),Calculations!#REF!,"")</f>
        <v/>
      </c>
      <c r="E21" s="10" t="str">
        <f t="shared" si="2"/>
        <v/>
      </c>
      <c r="F21" s="34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IF(ISNUMBER(Calculations!#REF!),Calculations!#REF!,"")</f>
        <v/>
      </c>
      <c r="B22" s="33" t="str">
        <f>IF(ISNUMBER(A22),CONVERT(Calculations!#REF!,Units_In,Units_Out),"")</f>
        <v/>
      </c>
      <c r="C22" s="33" t="str">
        <f>IF(ISNUMBER(A22),CONVERT(Calculations!#REF!,Units_In,Units_Out),"")</f>
        <v/>
      </c>
      <c r="D22" s="33" t="str">
        <f>IF(ISTEXT(Calculations!#REF!),Calculations!#REF!,"")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IF(ISNUMBER(Calculations!#REF!),Calculations!#REF!,"")</f>
        <v/>
      </c>
      <c r="B23" s="33" t="str">
        <f>IF(ISNUMBER(A23),CONVERT(Calculations!#REF!,Units_In,Units_Out),"")</f>
        <v/>
      </c>
      <c r="C23" s="33" t="str">
        <f>IF(ISNUMBER(A23),CONVERT(Calculations!#REF!,Units_In,Units_Out),"")</f>
        <v/>
      </c>
      <c r="D23" s="33" t="str">
        <f>IF(ISTEXT(Calculations!#REF!),Calculations!#REF!,"")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IF(ISNUMBER(Calculations!#REF!),Calculations!#REF!,"")</f>
        <v/>
      </c>
      <c r="B24" s="33" t="str">
        <f>IF(ISNUMBER(A24),CONVERT(Calculations!#REF!,Units_In,Units_Out),"")</f>
        <v/>
      </c>
      <c r="C24" s="33" t="str">
        <f>IF(ISNUMBER(A24),CONVERT(Calculations!#REF!,Units_In,Units_Out),"")</f>
        <v/>
      </c>
      <c r="D24" s="33" t="str">
        <f>IF(ISTEXT(Calculations!#REF!),Calculations!#REF!,"")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IF(ISNUMBER(Calculations!#REF!),Calculations!#REF!,"")</f>
        <v/>
      </c>
      <c r="B25" s="33" t="str">
        <f>IF(ISNUMBER(A25),CONVERT(Calculations!#REF!,Units_In,Units_Out),"")</f>
        <v/>
      </c>
      <c r="C25" s="33" t="str">
        <f>IF(ISNUMBER(A25),CONVERT(Calculations!#REF!,Units_In,Units_Out),"")</f>
        <v/>
      </c>
      <c r="D25" s="33" t="str">
        <f>IF(ISTEXT(Calculations!#REF!),Calculations!#REF!,"")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IF(ISNUMBER(Calculations!#REF!),Calculations!#REF!,"")</f>
        <v/>
      </c>
      <c r="B26" s="33" t="str">
        <f>IF(ISNUMBER(A26),CONVERT(Calculations!#REF!,Units_In,Units_Out),"")</f>
        <v/>
      </c>
      <c r="C26" s="33" t="str">
        <f>IF(ISNUMBER(A26),CONVERT(Calculations!#REF!,Units_In,Units_Out),"")</f>
        <v/>
      </c>
      <c r="D26" s="33" t="str">
        <f>IF(ISTEXT(Calculations!#REF!),Calculations!#REF!,"")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IF(ISNUMBER(Calculations!#REF!),Calculations!#REF!,"")</f>
        <v/>
      </c>
      <c r="B27" s="33" t="str">
        <f>IF(ISNUMBER(A27),CONVERT(Calculations!#REF!,Units_In,Units_Out),"")</f>
        <v/>
      </c>
      <c r="C27" s="33" t="str">
        <f>IF(ISNUMBER(A27),CONVERT(Calculations!#REF!,Units_In,Units_Out),"")</f>
        <v/>
      </c>
      <c r="D27" s="33" t="str">
        <f>IF(ISTEXT(Calculations!#REF!),Calculations!#REF!,"")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IF(ISNUMBER(Calculations!A36),Calculations!A36,"")</f>
        <v/>
      </c>
      <c r="B31" s="33" t="str">
        <f>IF(ISNUMBER(A31),CONVERT(Calculations!T36,Units_In,Units_Out),"")</f>
        <v/>
      </c>
      <c r="C31" s="33" t="str">
        <f>IF(ISNUMBER(A31),CONVERT(Calculations!U36,Units_In,Units_Out),"")</f>
        <v/>
      </c>
      <c r="D31" s="33" t="str">
        <f>IF(ISTEXT(Calculations!F36),Calculations!F36,"")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IF(ISNUMBER(Calculations!A37),Calculations!A37,"")</f>
        <v/>
      </c>
      <c r="B32" s="33" t="str">
        <f>IF(ISNUMBER(A32),CONVERT(Calculations!T37,Units_In,Units_Out),"")</f>
        <v/>
      </c>
      <c r="C32" s="33" t="str">
        <f>IF(ISNUMBER(A32),CONVERT(Calculations!U37,Units_In,Units_Out),"")</f>
        <v/>
      </c>
      <c r="D32" s="33" t="str">
        <f>IF(ISTEXT(Calculations!F37),Calculations!F37,"")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IF(ISNUMBER(Calculations!A38),Calculations!A38,"")</f>
        <v/>
      </c>
      <c r="B33" s="33" t="str">
        <f>IF(ISNUMBER(A33),CONVERT(Calculations!T38,Units_In,Units_Out),"")</f>
        <v/>
      </c>
      <c r="C33" s="33" t="str">
        <f>IF(ISNUMBER(A33),CONVERT(Calculations!U38,Units_In,Units_Out),"")</f>
        <v/>
      </c>
      <c r="D33" s="33" t="str">
        <f>IF(ISTEXT(Calculations!F38),Calculations!F38,"")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IF(ISNUMBER(Calculations!A39),Calculations!A39,"")</f>
        <v/>
      </c>
      <c r="B34" s="33" t="str">
        <f>IF(ISNUMBER(A34),CONVERT(Calculations!T39,Units_In,Units_Out),"")</f>
        <v/>
      </c>
      <c r="C34" s="33" t="str">
        <f>IF(ISNUMBER(A34),CONVERT(Calculations!U39,Units_In,Units_Out),"")</f>
        <v/>
      </c>
      <c r="D34" s="33" t="str">
        <f>IF(ISTEXT(Calculations!F39),Calculations!F39,"")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IF(ISNUMBER(Calculations!A40),Calculations!A40,"")</f>
        <v/>
      </c>
      <c r="B35" s="33" t="str">
        <f>IF(ISNUMBER(A35),CONVERT(Calculations!T40,Units_In,Units_Out),"")</f>
        <v/>
      </c>
      <c r="C35" s="33" t="str">
        <f>IF(ISNUMBER(A35),CONVERT(Calculations!U40,Units_In,Units_Out),"")</f>
        <v/>
      </c>
      <c r="D35" s="33" t="str">
        <f>IF(ISTEXT(Calculations!F40),Calculations!F40,"")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IF(ISNUMBER(Calculations!A41),Calculations!A41,"")</f>
        <v/>
      </c>
      <c r="B36" s="33" t="str">
        <f>IF(ISNUMBER(A36),CONVERT(Calculations!U41,Units_In,Units_Out),"")</f>
        <v/>
      </c>
      <c r="C36" s="33" t="str">
        <f>IF(ISNUMBER(A36),CONVERT(Calculations!V41,Units_In,Units_Out),"")</f>
        <v/>
      </c>
      <c r="D36" s="33" t="str">
        <f>IF(ISTEXT(Calculations!F41),Calculations!F41,"")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IF(ISNUMBER(Calculations!A42),Calculations!A42,"")</f>
        <v/>
      </c>
      <c r="B37" s="33" t="str">
        <f>IF(ISNUMBER(A37),CONVERT(Calculations!U42,Units_In,Units_Out),"")</f>
        <v/>
      </c>
      <c r="C37" s="33" t="str">
        <f>IF(ISNUMBER(A37),CONVERT(Calculations!V42,Units_In,Units_Out),"")</f>
        <v/>
      </c>
      <c r="D37" s="33" t="str">
        <f>IF(ISTEXT(Calculations!F42),Calculations!F42,"")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2013-09-16T18:35:44Z</dcterms:modified>
</cp:coreProperties>
</file>