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Calculations!$AB$21:$AB$48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Calculations!$X$21:$X$64</definedName>
    <definedName name="yB">Calculations!$Y$21:$Y$64</definedName>
    <definedName name="Zs">Calculations!$W$21:$W$47</definedName>
  </definedNames>
  <calcPr calcId="145621"/>
</workbook>
</file>

<file path=xl/calcChain.xml><?xml version="1.0" encoding="utf-8"?>
<calcChain xmlns="http://schemas.openxmlformats.org/spreadsheetml/2006/main">
  <c r="I43" i="1" l="1"/>
  <c r="J43" i="1" s="1"/>
  <c r="G43" i="1"/>
  <c r="H43" i="1" s="1"/>
  <c r="L43" i="1" s="1"/>
  <c r="I42" i="1"/>
  <c r="N42" i="1" s="1"/>
  <c r="G42" i="1"/>
  <c r="H42" i="1" s="1"/>
  <c r="K42" i="1" l="1"/>
  <c r="L42" i="1"/>
  <c r="J42" i="1"/>
  <c r="N43" i="1"/>
  <c r="K43" i="1"/>
  <c r="I41" i="1"/>
  <c r="J41" i="1" s="1"/>
  <c r="G41" i="1"/>
  <c r="H41" i="1" s="1"/>
  <c r="I40" i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L41" i="1" l="1"/>
  <c r="K41" i="1"/>
  <c r="N41" i="1"/>
  <c r="L40" i="1"/>
  <c r="K40" i="1"/>
  <c r="N40" i="1"/>
  <c r="L39" i="1"/>
  <c r="K39" i="1"/>
  <c r="N39" i="1"/>
  <c r="L38" i="1"/>
  <c r="K38" i="1"/>
  <c r="N38" i="1"/>
  <c r="G36" i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43" i="1" l="1"/>
  <c r="V42" i="1"/>
  <c r="V39" i="1"/>
  <c r="V38" i="1"/>
  <c r="V40" i="1"/>
  <c r="V41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3" i="1" l="1"/>
  <c r="P43" i="1" s="1"/>
  <c r="Q43" i="1" s="1"/>
  <c r="O42" i="1"/>
  <c r="P42" i="1" s="1"/>
  <c r="Q42" i="1" s="1"/>
  <c r="O40" i="1"/>
  <c r="P40" i="1" s="1"/>
  <c r="Q40" i="1" s="1"/>
  <c r="S40" i="1" s="1"/>
  <c r="U40" i="1" s="1"/>
  <c r="O41" i="1"/>
  <c r="P41" i="1" s="1"/>
  <c r="Q41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43" i="1" l="1"/>
  <c r="U43" i="1" s="1"/>
  <c r="R43" i="1"/>
  <c r="T43" i="1" s="1"/>
  <c r="R42" i="1"/>
  <c r="T42" i="1" s="1"/>
  <c r="S42" i="1"/>
  <c r="U42" i="1" s="1"/>
  <c r="R40" i="1"/>
  <c r="T40" i="1" s="1"/>
  <c r="X40" i="1" s="1"/>
  <c r="R41" i="1"/>
  <c r="T41" i="1" s="1"/>
  <c r="X41" i="1" s="1"/>
  <c r="S41" i="1"/>
  <c r="U41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43" i="1" l="1"/>
  <c r="X42" i="1"/>
  <c r="Y41" i="1"/>
  <c r="Y40" i="1"/>
  <c r="X39" i="1"/>
  <c r="Y38" i="1"/>
  <c r="Y36" i="1"/>
  <c r="X37" i="1"/>
  <c r="Y35" i="1"/>
  <c r="Y34" i="1"/>
  <c r="Y5" i="1"/>
  <c r="Y8" i="1" s="1"/>
  <c r="X9" i="1"/>
  <c r="Y9" i="1"/>
  <c r="Y43" i="1" l="1"/>
  <c r="Y42" i="1"/>
  <c r="Y39" i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3" i="1" l="1"/>
  <c r="W42" i="1"/>
  <c r="W40" i="1"/>
  <c r="W41" i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42" i="1" l="1"/>
  <c r="AF42" i="1" s="1"/>
  <c r="AD43" i="1"/>
  <c r="AF43" i="1" s="1"/>
  <c r="AD41" i="1"/>
  <c r="AF41" i="1" s="1"/>
  <c r="AD40" i="1"/>
  <c r="AF40" i="1" s="1"/>
  <c r="AD38" i="1"/>
  <c r="AF38" i="1" s="1"/>
  <c r="AD39" i="1"/>
  <c r="AF39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43" i="1" l="1"/>
  <c r="Z42" i="1"/>
  <c r="Z41" i="1"/>
  <c r="Z40" i="1"/>
  <c r="Z39" i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42" i="1"/>
  <c r="AB42" i="1" s="1"/>
  <c r="AA43" i="1"/>
  <c r="AB43" i="1" s="1"/>
  <c r="AA40" i="1"/>
  <c r="AB40" i="1" s="1"/>
  <c r="AA41" i="1"/>
  <c r="AA39" i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43" i="1"/>
  <c r="AE43" i="1" s="1"/>
  <c r="AC42" i="1"/>
  <c r="AE42" i="1" s="1"/>
  <c r="AC41" i="1"/>
  <c r="AE41" i="1" s="1"/>
  <c r="AB41" i="1"/>
  <c r="AC40" i="1"/>
  <c r="AE40" i="1" s="1"/>
  <c r="AC38" i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l="1"/>
  <c r="AI39" i="1"/>
  <c r="AJ39" i="1" s="1"/>
  <c r="AI38" i="1"/>
  <c r="AJ38" i="1" s="1"/>
  <c r="AI41" i="1"/>
  <c r="AJ41" i="1" s="1"/>
  <c r="AI43" i="1"/>
  <c r="AJ43" i="1" s="1"/>
  <c r="AI40" i="1"/>
  <c r="AJ40" i="1" s="1"/>
  <c r="AI42" i="1"/>
  <c r="AJ42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<sst xmlns="http://schemas.openxmlformats.org/spreadsheetml/2006/main" count="105" uniqueCount="91">
  <si>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</si>
  <si>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</si>
  <si>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</si>
  <si>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</si>
  <si>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</si>
  <si>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</si>
  <si>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</si>
  <si>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</si>
  <si>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</si>
  <si>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</si>
  <si>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</si>
  <si>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</si>
  <si>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</si>
  <si>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</si>
  <si>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</si>
  <si>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</si>
  <si>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</si>
  <si>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</si>
  <si>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</si>
  <si>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</si>
  <si>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</si>
  <si>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</si>
  <si>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</si>
  <si>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</si>
  <si>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</si>
  <si>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</si>
  <si>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</si>
  <si>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</si>
  <si>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</si>
  <si>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</si>
  <si>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</si>
  <si>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</si>
  <si>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</si>
  <si>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</si>
  <si>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</si>
  <si>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</si>
  <si>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</si>
  <si>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</si>
  <si>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</si>
  <si>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</si>
  <si>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</si>
  <si>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</si>
  <si>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</si>
  <si>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</si>
  <si>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</si>
  <si>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</si>
  <si>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</si>
  <si>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</si>
  <si>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</si>
  <si>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</si>
  <si>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</si>
  <si>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</si>
  <si>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</si>
  <si>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</si>
  <si>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</si>
  <si>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</si>
  <si>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</si>
  <si>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</si>
  <si>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</si>
  <si>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</si>
  <si>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</si>
  <si>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</si>
  <si>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</si>
  <si>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</si>
  <si>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</si>
  <si>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</si>
  <si>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</si>
  <si>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</si>
  <si>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</si>
  <si>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</si>
  <si>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</si>
  <si>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</si>
  <si>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</si>
  <si>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</si>
  <si>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</si>
  <si>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</si>
  <si>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</si>
  <si>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</si>
  <si>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</si>
  <si>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</si>
  <si>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</si>
  <si>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</si>
  <si>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</si>
  <si>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DAM</t>
  </si>
  <si>
    <t>WS</t>
  </si>
  <si>
    <t>BS/ZERO</t>
  </si>
  <si>
    <t xml:space="preserve">BS </t>
  </si>
  <si>
    <t>DSS9</t>
  </si>
  <si>
    <t>1,1537820.667,3912069.294,3406.105,3406.105,</t>
  </si>
  <si>
    <t>2,1537694.641,3912198.528,3405.107,3405.107,</t>
  </si>
  <si>
    <t>3,1537663.490,3912300.724,3404.775,3404.775,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</si>
</sst>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Calculations!$AH$23:$AH$63</c:f>
              <c:numCache>
                <c:formatCode>General</c:formatCode>
                <c:ptCount val="41"/>
                <c:pt idx="0">
                  <c:v>0</c:v>
                </c:pt>
                <c:pt idx="1">
                  <c:v>13.31</c:v>
                </c:pt>
                <c:pt idx="2">
                  <c:v>17.739999999999998</c:v>
                </c:pt>
                <c:pt idx="3">
                  <c:v>20.92</c:v>
                </c:pt>
                <c:pt idx="4">
                  <c:v>23.84</c:v>
                </c:pt>
                <c:pt idx="5">
                  <c:v>27.05</c:v>
                </c:pt>
                <c:pt idx="6">
                  <c:v>29.35</c:v>
                </c:pt>
                <c:pt idx="7">
                  <c:v>59.33</c:v>
                </c:pt>
                <c:pt idx="8">
                  <c:v>82.71</c:v>
                </c:pt>
                <c:pt idx="9">
                  <c:v>86.94</c:v>
                </c:pt>
                <c:pt idx="10">
                  <c:v>93.19</c:v>
                </c:pt>
                <c:pt idx="11">
                  <c:v>130.78</c:v>
                </c:pt>
                <c:pt idx="12">
                  <c:v>200.83</c:v>
                </c:pt>
                <c:pt idx="13">
                  <c:v>216.51</c:v>
                </c:pt>
                <c:pt idx="14">
                  <c:v>231.95</c:v>
                </c:pt>
                <c:pt idx="15">
                  <c:v>266.88</c:v>
                </c:pt>
                <c:pt idx="16">
                  <c:v>289.89999999999998</c:v>
                </c:pt>
              </c:numCache>
            </c:numRef>
          </c:xVal>
          <c:yVal>
            <c:numRef>
              <c:f>Calculations!$AI$23:$AI$63</c:f>
              <c:numCache>
                <c:formatCode>General</c:formatCode>
                <c:ptCount val="41"/>
                <c:pt idx="0">
                  <c:v>9.84</c:v>
                </c:pt>
                <c:pt idx="1">
                  <c:v>7.7</c:v>
                </c:pt>
                <c:pt idx="2">
                  <c:v>6.47</c:v>
                </c:pt>
                <c:pt idx="3">
                  <c:v>4.8099999999999996</c:v>
                </c:pt>
                <c:pt idx="4">
                  <c:v>3.55</c:v>
                </c:pt>
                <c:pt idx="5">
                  <c:v>2.66</c:v>
                </c:pt>
                <c:pt idx="6">
                  <c:v>2.1</c:v>
                </c:pt>
                <c:pt idx="7">
                  <c:v>2.0299999999999998</c:v>
                </c:pt>
                <c:pt idx="8">
                  <c:v>2.1800000000000002</c:v>
                </c:pt>
                <c:pt idx="9">
                  <c:v>2.74</c:v>
                </c:pt>
                <c:pt idx="10">
                  <c:v>3.72</c:v>
                </c:pt>
                <c:pt idx="11">
                  <c:v>4.62</c:v>
                </c:pt>
                <c:pt idx="12">
                  <c:v>0</c:v>
                </c:pt>
                <c:pt idx="13">
                  <c:v>2.85</c:v>
                </c:pt>
                <c:pt idx="14">
                  <c:v>3.84</c:v>
                </c:pt>
                <c:pt idx="15">
                  <c:v>4.88</c:v>
                </c:pt>
                <c:pt idx="16">
                  <c:v>10.11</c:v>
                </c:pt>
                <c:pt idx="17">
                  <c:v>9.84</c:v>
                </c:pt>
                <c:pt idx="18">
                  <c:v>9.84</c:v>
                </c:pt>
                <c:pt idx="19">
                  <c:v>9.84</c:v>
                </c:pt>
                <c:pt idx="20">
                  <c:v>9.84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7008"/>
        <c:axId val="106268544"/>
      </c:scatterChart>
      <c:valAx>
        <c:axId val="106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68544"/>
        <c:crosses val="autoZero"/>
        <c:crossBetween val="midCat"/>
      </c:valAx>
      <c:valAx>
        <c:axId val="106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6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Calculations!$R$23:$R$33</c:f>
              <c:numCache>
                <c:formatCode>0.00</c:formatCode>
                <c:ptCount val="11"/>
                <c:pt idx="0">
                  <c:v>18.680090864279553</c:v>
                </c:pt>
                <c:pt idx="1">
                  <c:v>15.244275778794377</c:v>
                </c:pt>
                <c:pt idx="2">
                  <c:v>13.361502019194814</c:v>
                </c:pt>
                <c:pt idx="3">
                  <c:v>11.350940316978038</c:v>
                </c:pt>
                <c:pt idx="4">
                  <c:v>10.692126667627821</c:v>
                </c:pt>
                <c:pt idx="5">
                  <c:v>9.1658312153531654</c:v>
                </c:pt>
                <c:pt idx="6">
                  <c:v>9.1075016971832383</c:v>
                </c:pt>
                <c:pt idx="7">
                  <c:v>2.4209394415969454</c:v>
                </c:pt>
                <c:pt idx="8">
                  <c:v>-0.18506194907911583</c:v>
                </c:pt>
                <c:pt idx="9">
                  <c:v>0.12961487270504288</c:v>
                </c:pt>
                <c:pt idx="10">
                  <c:v>-0.36443513950414685</c:v>
                </c:pt>
              </c:numCache>
            </c:numRef>
          </c:xVal>
          <c:yVal>
            <c:numRef>
              <c:f>Calculations!$S$23:$S$33</c:f>
              <c:numCache>
                <c:formatCode>0.00</c:formatCode>
                <c:ptCount val="11"/>
                <c:pt idx="0">
                  <c:v>-9.7041785365129556</c:v>
                </c:pt>
                <c:pt idx="1">
                  <c:v>-22.605919514822943</c:v>
                </c:pt>
                <c:pt idx="2">
                  <c:v>-26.75861230076298</c:v>
                </c:pt>
                <c:pt idx="3">
                  <c:v>-29.615536337921448</c:v>
                </c:pt>
                <c:pt idx="4">
                  <c:v>-32.462269443479109</c:v>
                </c:pt>
                <c:pt idx="5">
                  <c:v>-35.437130059992533</c:v>
                </c:pt>
                <c:pt idx="6">
                  <c:v>-37.766558788034828</c:v>
                </c:pt>
                <c:pt idx="7">
                  <c:v>-67.013055416298656</c:v>
                </c:pt>
                <c:pt idx="8">
                  <c:v>-90.317881224175395</c:v>
                </c:pt>
                <c:pt idx="9">
                  <c:v>-94.683109662146819</c:v>
                </c:pt>
                <c:pt idx="10">
                  <c:v>-100.948216973816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1904"/>
        <c:axId val="106414464"/>
      </c:scatterChart>
      <c:valAx>
        <c:axId val="106411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414464"/>
        <c:crosses val="autoZero"/>
        <c:crossBetween val="midCat"/>
      </c:valAx>
      <c:valAx>
        <c:axId val="10641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4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Calculations!$Z$21:$Z$43</c:f>
              <c:numCache>
                <c:formatCode>0.00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3912085.2581771109</c:v>
                </c:pt>
                <c:pt idx="3">
                  <c:v>3912082.7998073734</c:v>
                </c:pt>
                <c:pt idx="4">
                  <c:v>3912081.9820442186</c:v>
                </c:pt>
                <c:pt idx="5">
                  <c:v>3912081.3950631623</c:v>
                </c:pt>
                <c:pt idx="6">
                  <c:v>3912080.85601576</c:v>
                </c:pt>
                <c:pt idx="7">
                  <c:v>3912080.2641429584</c:v>
                </c:pt>
                <c:pt idx="8">
                  <c:v>3912079.8394409493</c:v>
                </c:pt>
                <c:pt idx="9">
                  <c:v>3912074.3042188594</c:v>
                </c:pt>
                <c:pt idx="10">
                  <c:v>3912069.9863274582</c:v>
                </c:pt>
                <c:pt idx="11">
                  <c:v>3912069.2049125638</c:v>
                </c:pt>
                <c:pt idx="12">
                  <c:v>3912068.0511617446</c:v>
                </c:pt>
                <c:pt idx="13">
                  <c:v>3912061.110630482</c:v>
                </c:pt>
                <c:pt idx="14">
                  <c:v>3912048.1761862827</c:v>
                </c:pt>
                <c:pt idx="15">
                  <c:v>3912045.2809871063</c:v>
                </c:pt>
                <c:pt idx="16">
                  <c:v>3912042.4301140783</c:v>
                </c:pt>
                <c:pt idx="17">
                  <c:v>3912035.9806564986</c:v>
                </c:pt>
                <c:pt idx="18">
                  <c:v>3912031.7299244395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xVal>
          <c:yVal>
            <c:numRef>
              <c:f>Calculations!$AA$21:$AA$43</c:f>
              <c:numCache>
                <c:formatCode>0.00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1537811.4730643965</c:v>
                </c:pt>
                <c:pt idx="3">
                  <c:v>1537798.387689244</c:v>
                </c:pt>
                <c:pt idx="4">
                  <c:v>1537794.03491126</c:v>
                </c:pt>
                <c:pt idx="5">
                  <c:v>1537790.9105369188</c:v>
                </c:pt>
                <c:pt idx="6">
                  <c:v>1537788.0413031429</c:v>
                </c:pt>
                <c:pt idx="7">
                  <c:v>1537784.89089109</c:v>
                </c:pt>
                <c:pt idx="8">
                  <c:v>1537782.630293332</c:v>
                </c:pt>
                <c:pt idx="9">
                  <c:v>1537753.1674926393</c:v>
                </c:pt>
                <c:pt idx="10">
                  <c:v>1537730.1842822656</c:v>
                </c:pt>
                <c:pt idx="11">
                  <c:v>1537726.0249782801</c:v>
                </c:pt>
                <c:pt idx="12">
                  <c:v>1537719.88380998</c:v>
                </c:pt>
                <c:pt idx="13">
                  <c:v>1537682.9408497922</c:v>
                </c:pt>
                <c:pt idx="14">
                  <c:v>1537614.0935758613</c:v>
                </c:pt>
                <c:pt idx="15">
                  <c:v>1537598.6830512397</c:v>
                </c:pt>
                <c:pt idx="16">
                  <c:v>1537583.5084652044</c:v>
                </c:pt>
                <c:pt idx="17">
                  <c:v>1537549.1793849729</c:v>
                </c:pt>
                <c:pt idx="18">
                  <c:v>1537526.5536493771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2688"/>
        <c:axId val="108070400"/>
      </c:scatterChart>
      <c:valAx>
        <c:axId val="107522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070400"/>
        <c:crosses val="autoZero"/>
        <c:crossBetween val="midCat"/>
      </c:valAx>
      <c:valAx>
        <c:axId val="108070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5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Calculations!$L$54:$L$80</c:f>
              <c:numCache>
                <c:formatCode>General</c:formatCode>
                <c:ptCount val="27"/>
              </c:numCache>
            </c:numRef>
          </c:xVal>
          <c:yVal>
            <c:numRef>
              <c:f>Calculations!$M$54:$M$80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(Calculations!$L$52:$L$53,Calculations!$L$81:$L$82)</c:f>
              <c:numCache>
                <c:formatCode>General</c:formatCode>
                <c:ptCount val="4"/>
              </c:numCache>
            </c:numRef>
          </c:xVal>
          <c:yVal>
            <c:numRef>
              <c:f>(Calculations!$M$52:$M$53,Calculations!$M$81:$M$82)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4416"/>
        <c:axId val="121965952"/>
      </c:scatterChart>
      <c:valAx>
        <c:axId val="1219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65952"/>
        <c:crosses val="autoZero"/>
        <c:crossBetween val="midCat"/>
      </c:valAx>
      <c:valAx>
        <c:axId val="121965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96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44</xdr:row>
      <xdr:rowOff>123749</xdr:rowOff>
    </xdr:from>
    <xdr:to>
      <xdr:col>34</xdr:col>
      <xdr:colOff>167833</xdr:colOff>
      <xdr:row>59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45</xdr:row>
      <xdr:rowOff>8988</xdr:rowOff>
    </xdr:from>
    <xdr:to>
      <xdr:col>20</xdr:col>
      <xdr:colOff>654100</xdr:colOff>
      <xdr:row>59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44</xdr:row>
      <xdr:rowOff>129988</xdr:rowOff>
    </xdr:from>
    <xdr:to>
      <xdr:col>27</xdr:col>
      <xdr:colOff>392206</xdr:colOff>
      <xdr:row>59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2"/>
  <sheetViews>
    <sheetView tabSelected="1" topLeftCell="W46" zoomScale="85" zoomScaleNormal="85" workbookViewId="0">
      <selection activeCell="AJ23" sqref="AJ23:AJ39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5" t="s">
        <v>87</v>
      </c>
      <c r="B1" s="56"/>
      <c r="C1" s="51">
        <v>40839</v>
      </c>
      <c r="D1" s="44"/>
      <c r="E1" s="44"/>
      <c r="F1" s="44"/>
      <c r="M1" s="61" t="s">
        <v>21</v>
      </c>
      <c r="N1" s="61"/>
      <c r="O1" s="61"/>
      <c r="P1" s="61"/>
      <c r="Q1" s="61"/>
      <c r="R1" s="22"/>
      <c r="W1" s="58" t="s">
        <v>34</v>
      </c>
      <c r="X1" s="58"/>
      <c r="Y1" s="58"/>
      <c r="Z1" s="2"/>
      <c r="AA1" s="58" t="s">
        <v>56</v>
      </c>
      <c r="AB1" s="58"/>
      <c r="AC1" s="58"/>
    </row>
    <row r="2" spans="1:29" x14ac:dyDescent="0.25">
      <c r="A2" s="55" t="s">
        <v>16</v>
      </c>
      <c r="B2" s="56"/>
      <c r="C2" s="38">
        <v>4.8177000000000003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5" t="s">
        <v>66</v>
      </c>
      <c r="B3" s="56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5.3227856467865609</v>
      </c>
    </row>
    <row r="4" spans="1:29" ht="18" x14ac:dyDescent="0.35">
      <c r="A4" s="55" t="s">
        <v>67</v>
      </c>
      <c r="B4" s="56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3912069.2940000002</v>
      </c>
      <c r="O4" s="20">
        <f>VALUE(MID(C10,FIND(",",C10,1)+1,FIND(",",C10,5)-FIND(",",C10,1)-1))</f>
        <v>1537820.6669999999</v>
      </c>
      <c r="P4" s="20">
        <f>VALUE(MID(C10,FIND(",",C10,17)+1,FIND(",",C10,27)-FIND(",",C10,17)-1))</f>
        <v>3406.105</v>
      </c>
      <c r="Q4" s="23"/>
      <c r="R4" s="22"/>
      <c r="W4" s="27"/>
      <c r="X4" s="20">
        <f ca="1">VALUE(OFFSET($P$3,MATCH($O$10,$M$4:$M$6,0),0))</f>
        <v>3405.107</v>
      </c>
      <c r="Y4" s="20">
        <f ca="1">OFFSET($P$3,MATCH($Q$10,$M$4:$M$6,0),0)</f>
        <v>3404.7750000000001</v>
      </c>
      <c r="Z4" s="2"/>
      <c r="AA4" s="26" t="s">
        <v>41</v>
      </c>
      <c r="AB4" s="26" t="s">
        <v>54</v>
      </c>
      <c r="AC4" s="28">
        <f ca="1">INTERCEPT(yB,xB)</f>
        <v>-19285379.788166028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3912198.5279999999</v>
      </c>
      <c r="O5" s="20">
        <f t="shared" ref="O5:O6" si="1">VALUE(MID(C11,FIND(",",C11,1)+1,FIND(",",C11,5)-FIND(",",C11,1)-1))</f>
        <v>1537694.6410000001</v>
      </c>
      <c r="P5" s="20">
        <f t="shared" ref="P5:P6" si="2">VALUE(MID(C11,FIND(",",C11,17)+1,FIND(",",C11,27)-FIND(",",C11,17)-1))</f>
        <v>3405.107</v>
      </c>
      <c r="Q5" s="24">
        <f>DEGREES(ATAN2(Old_Y1-Old_Y0,Old_X1-Old_X0))+IF(Old_X1-Old_X0&lt;0,360)</f>
        <v>134.27996871962668</v>
      </c>
      <c r="R5" s="22"/>
      <c r="W5" s="21"/>
      <c r="X5" s="20">
        <f ca="1">VALUE(OFFSET($V$20,MATCH($O11,$A$21:$A$48,0),0))</f>
        <v>3405.2143068659366</v>
      </c>
      <c r="Y5" s="20">
        <f ca="1">OFFSET($V$20,MATCH($Q11,$A$21:$A$48,0),0)</f>
        <v>3404.8942162260782</v>
      </c>
      <c r="Z5" s="2"/>
      <c r="AA5" s="26"/>
      <c r="AB5" s="26"/>
      <c r="AC5" s="20"/>
    </row>
    <row r="6" spans="1:29" ht="18" x14ac:dyDescent="0.35">
      <c r="A6" s="57" t="s">
        <v>17</v>
      </c>
      <c r="B6" s="57"/>
      <c r="C6" s="38">
        <v>3</v>
      </c>
      <c r="D6" s="4"/>
      <c r="E6" s="44"/>
      <c r="F6" s="44"/>
      <c r="M6" s="22">
        <v>2</v>
      </c>
      <c r="N6" s="20">
        <f t="shared" si="0"/>
        <v>3912300.7239999999</v>
      </c>
      <c r="O6" s="20">
        <f t="shared" si="1"/>
        <v>1537663.49</v>
      </c>
      <c r="P6" s="20">
        <f t="shared" si="2"/>
        <v>3404.7750000000001</v>
      </c>
      <c r="Q6" s="24">
        <f>DEGREES(ATAN2(Old_Y2-Old_Y0,Old_X2-Old_X0))+IF(Old_X2-Old_X0&lt;0,360)</f>
        <v>124.18260945958649</v>
      </c>
      <c r="R6" s="22"/>
      <c r="W6" s="21"/>
      <c r="X6" s="20">
        <f ca="1">VALUE(OFFSET($V$20,MATCH($O12,$A$21:$A$58,0),0))</f>
        <v>3405.2247305677602</v>
      </c>
      <c r="Y6" s="20">
        <f ca="1">VALUE(OFFSET($V$20,MATCH($O12,$A$21:$A$58,0),0))</f>
        <v>3405.2247305677602</v>
      </c>
      <c r="Z6" s="5"/>
      <c r="AA6" s="26" t="s">
        <v>42</v>
      </c>
      <c r="AB6" s="21" t="s">
        <v>55</v>
      </c>
      <c r="AC6" s="20">
        <f ca="1">-1/mA</f>
        <v>-0.187871551920133</v>
      </c>
    </row>
    <row r="7" spans="1:29" x14ac:dyDescent="0.25">
      <c r="A7" s="57" t="s">
        <v>18</v>
      </c>
      <c r="B7" s="57"/>
      <c r="C7" s="38">
        <v>21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8" t="s">
        <v>24</v>
      </c>
      <c r="P8" s="58"/>
      <c r="Q8" s="58" t="s">
        <v>25</v>
      </c>
      <c r="R8" s="58"/>
      <c r="W8" s="21" t="s">
        <v>35</v>
      </c>
      <c r="X8" s="20">
        <f ca="1">X5-X4</f>
        <v>0.10730686593660721</v>
      </c>
      <c r="Y8" s="20">
        <f ca="1">Y5-Y4</f>
        <v>0.11921622607815152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0.11773056776019075</v>
      </c>
      <c r="Y9" s="20">
        <f ca="1">Y6-Y4</f>
        <v>0.4497305677600707</v>
      </c>
      <c r="AA9" s="31" t="s">
        <v>49</v>
      </c>
      <c r="AB9" s="31"/>
      <c r="AC9" s="20">
        <f ca="1">AVERAGE(DfromL)</f>
        <v>1.8985288347159752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62" t="s">
        <v>22</v>
      </c>
      <c r="N10" s="62"/>
      <c r="O10" s="32">
        <v>1</v>
      </c>
      <c r="P10" s="20">
        <f ca="1">OFFSET($Q$3,MATCH($O$10,$M$4:$M$6,0),0)</f>
        <v>134.27996871962668</v>
      </c>
      <c r="Q10" s="32">
        <v>2</v>
      </c>
      <c r="R10" s="20">
        <f ca="1">OFFSET($Q$3,MATCH($O$10,$M$4:$M$6,0),0)</f>
        <v>134.27996871962668</v>
      </c>
      <c r="W10" s="22"/>
      <c r="X10" s="22"/>
      <c r="Y10" s="22"/>
      <c r="AA10" s="31" t="s">
        <v>50</v>
      </c>
      <c r="AB10" s="31"/>
      <c r="AC10" s="20">
        <f ca="1">_xlfn.STDEV.P(DfromL)</f>
        <v>1.7628677816454359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8" t="s">
        <v>31</v>
      </c>
      <c r="N11" s="58"/>
      <c r="O11" s="32">
        <v>1</v>
      </c>
      <c r="P11" s="20">
        <f ca="1">OFFSET($N$20,MATCH($O11,$A$21:$A$48,0),0)</f>
        <v>359.9997222222222</v>
      </c>
      <c r="Q11" s="32">
        <v>2</v>
      </c>
      <c r="R11" s="20">
        <f ca="1">OFFSET($N$20,MATCH($Q11,$A$21:$A$48,0),0)</f>
        <v>349.22583333333336</v>
      </c>
      <c r="W11" s="21" t="s">
        <v>37</v>
      </c>
      <c r="X11" s="20">
        <f ca="1">AVERAGE(X8:Y9)</f>
        <v>0.19849605688375505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8" t="s">
        <v>30</v>
      </c>
      <c r="N12" s="58"/>
      <c r="O12" s="32">
        <v>23</v>
      </c>
      <c r="P12" s="20">
        <f ca="1">OFFSET($N$20,MATCH($O12,$A$21:$A$58,0),0)</f>
        <v>5.5555555555555556E-4</v>
      </c>
      <c r="Q12" s="32">
        <v>22</v>
      </c>
      <c r="R12" s="20">
        <f ca="1">OFFSET($N$20,MATCH($Q12,$A$21:$A$48,0),0)</f>
        <v>349.23638888888888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3396.0404172293793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8" t="s">
        <v>32</v>
      </c>
      <c r="N14" s="58"/>
      <c r="O14" s="22"/>
      <c r="P14" s="20">
        <f ca="1">P10-P11+IF(P11&gt;P10,360)</f>
        <v>134.28024649740448</v>
      </c>
      <c r="Q14" s="20"/>
      <c r="R14" s="20">
        <f ca="1">R10-R11+IF(R11&gt;R10,360)</f>
        <v>145.05413538629332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8" t="s">
        <v>33</v>
      </c>
      <c r="N15" s="58"/>
      <c r="O15" s="22"/>
      <c r="P15" s="20">
        <f ca="1">P10-P12+IF(P12&gt;P10,360)</f>
        <v>134.27941316407112</v>
      </c>
      <c r="Q15" s="20"/>
      <c r="R15" s="20">
        <f ca="1">R10-R12+IF(R12&gt;R10,360)</f>
        <v>145.0435798307378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8" t="s">
        <v>39</v>
      </c>
      <c r="N17" s="58"/>
      <c r="O17" s="20">
        <f ca="1">AVERAGE(P14:P15,R14:R15)</f>
        <v>139.66434371962669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9" t="s">
        <v>20</v>
      </c>
      <c r="U19" s="59"/>
      <c r="X19" s="60" t="s">
        <v>45</v>
      </c>
      <c r="Y19" s="60"/>
      <c r="Z19" s="60" t="s">
        <v>46</v>
      </c>
      <c r="AA19" s="60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3.7606481481481482</v>
      </c>
      <c r="D21" s="44">
        <v>179.85300000000001</v>
      </c>
      <c r="E21" s="44">
        <v>4.9062000000000001</v>
      </c>
      <c r="F21" s="49" t="s">
        <v>85</v>
      </c>
      <c r="G21" s="43">
        <f>C21*24</f>
        <v>90.25555555555556</v>
      </c>
      <c r="H21" s="43">
        <f>RADIANS(G21)</f>
        <v>1.5752566126611045</v>
      </c>
      <c r="I21" s="43">
        <f t="shared" ref="I21:I33" si="3">B21*24</f>
        <v>359.9997222222222</v>
      </c>
      <c r="J21" s="39">
        <f>RADIANS(I21)</f>
        <v>6.2831804590427751</v>
      </c>
      <c r="K21" s="39">
        <f>D21*SIN(H21)</f>
        <v>179.85121099168521</v>
      </c>
      <c r="L21" s="15">
        <f>D21*COS(H21)</f>
        <v>-0.80219313406382264</v>
      </c>
      <c r="M21" s="13"/>
      <c r="N21" s="16">
        <f t="shared" ref="N21:N33" si="4">I21+M21</f>
        <v>359.9997222222222</v>
      </c>
      <c r="O21" s="16">
        <f ca="1">$O$17</f>
        <v>139.66434371962669</v>
      </c>
      <c r="P21" s="16">
        <f ca="1">SUM(N21,O21)</f>
        <v>499.66406594184889</v>
      </c>
      <c r="Q21" s="16">
        <f ca="1">RADIANS(P21)</f>
        <v>8.7207831045873245</v>
      </c>
      <c r="R21" s="16">
        <f t="shared" ref="R21:R33" ca="1" si="5">K21*SIN(Q21)</f>
        <v>116.41192880945491</v>
      </c>
      <c r="S21" s="16">
        <f t="shared" ref="S21:S33" ca="1" si="6">K21*COS(Q21)</f>
        <v>-137.0938398544518</v>
      </c>
      <c r="T21" s="13">
        <f t="shared" ref="T21:T33" ca="1" si="7">Old_X0+R21</f>
        <v>3912185.7059288095</v>
      </c>
      <c r="U21" s="13">
        <f t="shared" ref="U21:U33" ca="1" si="8">Old_Y0+S21</f>
        <v>1537683.5731601454</v>
      </c>
      <c r="V21" s="16">
        <f t="shared" ref="V21:V33" si="9">Old_Z0+HI+L21-E21</f>
        <v>3405.2143068659366</v>
      </c>
      <c r="W21" s="16">
        <f t="shared" ref="W21:W33" ca="1" si="10">IF(ISNUMBER(T21),V21+dZ,"")</f>
        <v>3405.4128029228204</v>
      </c>
      <c r="X21" s="16" t="str">
        <f t="shared" ref="X21:X43" si="11">IF(AND(A21&gt;=CS_Start,A21&lt;=CS_End),IF(OR(LEFT(UPPER(F21))="D"),"",T21),"")</f>
        <v/>
      </c>
      <c r="Y21" s="16" t="str">
        <f>IF(ISNUMBER(X21),U21,"")</f>
        <v/>
      </c>
      <c r="Z21" s="16" t="e">
        <f t="shared" ref="Z21:Z43" si="12">IF(X21="",NA(),VALUE((-mB*X21+Y21-bA)/(mA-mB)))</f>
        <v>#N/A</v>
      </c>
      <c r="AA21" s="16" t="e">
        <f t="shared" ref="AA21:AA43" si="13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IF(ISNUMBER(Z21),SQRT(($Z21-OFFSET($Z$20,MATCH(CS_Start,$A$21:$A$48,0),0))^2+($AA21-OFFSET($AA$20,MATCH(CS_Start,$A$21:$A$48,0),0))^2),"")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14.551076388888889</v>
      </c>
      <c r="C22" s="48">
        <v>3.7596990740740743</v>
      </c>
      <c r="D22" s="44">
        <v>276.23899999999998</v>
      </c>
      <c r="E22" s="44">
        <v>4.9062000000000001</v>
      </c>
      <c r="F22" s="49" t="s">
        <v>86</v>
      </c>
      <c r="G22" s="43">
        <f t="shared" ref="G22:G33" si="15">C22*24</f>
        <v>90.232777777777784</v>
      </c>
      <c r="H22" s="43">
        <f t="shared" ref="H22:H33" si="16">RADIANS(G22)</f>
        <v>1.5748590654425947</v>
      </c>
      <c r="I22" s="43">
        <f t="shared" si="3"/>
        <v>349.22583333333336</v>
      </c>
      <c r="J22" s="39">
        <f t="shared" ref="J22:J33" si="17">RADIANS(I22)</f>
        <v>6.0951406246876312</v>
      </c>
      <c r="K22" s="39">
        <f t="shared" ref="K22:K33" si="18">D22*SIN(H22)</f>
        <v>276.23672022403315</v>
      </c>
      <c r="L22" s="15">
        <f t="shared" ref="L22:L33" si="19">D22*COS(H22)</f>
        <v>-1.122283773921791</v>
      </c>
      <c r="M22" s="13"/>
      <c r="N22" s="16">
        <f t="shared" si="4"/>
        <v>349.22583333333336</v>
      </c>
      <c r="O22" s="16">
        <f t="shared" ref="O22:O43" ca="1" si="20">$O$17</f>
        <v>139.66434371962669</v>
      </c>
      <c r="P22" s="16">
        <f t="shared" ref="P22:P33" ca="1" si="21">SUM(N22,O22)</f>
        <v>488.89017705296004</v>
      </c>
      <c r="Q22" s="16">
        <f t="shared" ref="Q22:Q33" ca="1" si="22">RADIANS(P22)</f>
        <v>8.5327432702321815</v>
      </c>
      <c r="R22" s="16">
        <f t="shared" ca="1" si="5"/>
        <v>215.00907129540124</v>
      </c>
      <c r="S22" s="16">
        <f t="shared" ca="1" si="6"/>
        <v>-173.4295962655159</v>
      </c>
      <c r="T22" s="13">
        <f t="shared" ca="1" si="7"/>
        <v>3912284.3030712958</v>
      </c>
      <c r="U22" s="13">
        <f t="shared" ca="1" si="8"/>
        <v>1537647.2374037344</v>
      </c>
      <c r="V22" s="16">
        <f t="shared" si="9"/>
        <v>3404.8942162260782</v>
      </c>
      <c r="W22" s="16">
        <f t="shared" ca="1" si="10"/>
        <v>3405.0927122829621</v>
      </c>
      <c r="X22" s="47" t="str">
        <f t="shared" si="11"/>
        <v/>
      </c>
      <c r="Y22" s="47" t="str">
        <f t="shared" ref="Y22:Y35" si="23">IF(ISNUMBER(X22),U22,"")</f>
        <v/>
      </c>
      <c r="Z22" s="47" t="e">
        <f t="shared" si="12"/>
        <v>#N/A</v>
      </c>
      <c r="AA22" s="47" t="e">
        <f t="shared" si="13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IF(ISNUMBER(Z22),SQRT(($Z22-OFFSET($Z$20,MATCH(CS_Start,$A$21:$A$48,0),0))^2+($AA22-OFFSET($AA$20,MATCH(CS_Start,$A$21:$A$48,0),0))^2),"")</f>
        <v/>
      </c>
      <c r="AD22" s="16" t="str">
        <f t="shared" si="14"/>
        <v/>
      </c>
    </row>
    <row r="23" spans="1:36" x14ac:dyDescent="0.25">
      <c r="A23" s="44">
        <v>3</v>
      </c>
      <c r="B23" s="48">
        <v>14.074467592592592</v>
      </c>
      <c r="C23" s="48">
        <v>3.7879398148148149</v>
      </c>
      <c r="D23" s="44">
        <v>21.053000000000001</v>
      </c>
      <c r="E23" s="44">
        <v>4.9062000000000001</v>
      </c>
      <c r="F23" s="44"/>
      <c r="G23" s="43">
        <f t="shared" si="15"/>
        <v>90.910555555555561</v>
      </c>
      <c r="H23" s="43">
        <f t="shared" si="16"/>
        <v>1.5866885192616673</v>
      </c>
      <c r="I23" s="43">
        <f t="shared" si="3"/>
        <v>337.78722222222223</v>
      </c>
      <c r="J23" s="39">
        <f t="shared" si="17"/>
        <v>5.8954991989435346</v>
      </c>
      <c r="K23" s="39">
        <f t="shared" si="18"/>
        <v>21.0503414643625</v>
      </c>
      <c r="L23" s="15">
        <f t="shared" si="19"/>
        <v>-0.33456424456434852</v>
      </c>
      <c r="M23" s="13"/>
      <c r="N23" s="16">
        <f t="shared" si="4"/>
        <v>337.78722222222223</v>
      </c>
      <c r="O23" s="16">
        <f t="shared" ca="1" si="20"/>
        <v>139.66434371962669</v>
      </c>
      <c r="P23" s="16">
        <f t="shared" ca="1" si="21"/>
        <v>477.45156594184891</v>
      </c>
      <c r="Q23" s="16">
        <f t="shared" ca="1" si="22"/>
        <v>8.333101844488084</v>
      </c>
      <c r="R23" s="16">
        <f t="shared" ca="1" si="5"/>
        <v>18.680090864279553</v>
      </c>
      <c r="S23" s="16">
        <f t="shared" ca="1" si="6"/>
        <v>-9.7041785365129556</v>
      </c>
      <c r="T23" s="13">
        <f t="shared" ca="1" si="7"/>
        <v>3912087.9740908644</v>
      </c>
      <c r="U23" s="13">
        <f t="shared" ca="1" si="8"/>
        <v>1537810.9628214634</v>
      </c>
      <c r="V23" s="16">
        <f t="shared" si="9"/>
        <v>3405.6819357554359</v>
      </c>
      <c r="W23" s="16">
        <f t="shared" ca="1" si="10"/>
        <v>3405.8804318123198</v>
      </c>
      <c r="X23" s="47">
        <f t="shared" ca="1" si="11"/>
        <v>3912087.9740908644</v>
      </c>
      <c r="Y23" s="47">
        <f t="shared" ca="1" si="23"/>
        <v>1537810.9628214634</v>
      </c>
      <c r="Z23" s="47">
        <f t="shared" ca="1" si="12"/>
        <v>3912085.2581771109</v>
      </c>
      <c r="AA23" s="47">
        <f t="shared" ca="1" si="13"/>
        <v>1537811.4730643965</v>
      </c>
      <c r="AB23" s="16">
        <f t="shared" ca="1" si="24"/>
        <v>2.7634281910799885</v>
      </c>
      <c r="AC23" s="16">
        <f ca="1">IF(ISNUMBER(Z23),SQRT(($Z23-OFFSET($Z$20,MATCH(CS_Start,$A$21:$A$48,0),0))^2+($AA23-OFFSET($AA$20,MATCH(CS_Start,$A$21:$A$48,0),0))^2),"")</f>
        <v>0</v>
      </c>
      <c r="AD23" s="16">
        <f t="shared" ca="1" si="14"/>
        <v>9.8400145829405119</v>
      </c>
      <c r="AE23" s="47">
        <f ca="1">ROUND(AC23,2)</f>
        <v>0</v>
      </c>
      <c r="AF23" s="47">
        <f t="shared" ref="AF23:AF43" ca="1" si="25">ROUND(AD23,2)</f>
        <v>9.84</v>
      </c>
      <c r="AH23" s="44">
        <v>0</v>
      </c>
      <c r="AI23" s="2">
        <f ca="1">OFFSET($AF$22,MATCH(AH23,$AE$23:$AE$56,0),0)</f>
        <v>9.84</v>
      </c>
      <c r="AJ23" s="2" t="str">
        <f t="shared" ref="AJ23:AJ43" ca="1" si="26">CONCATENATE(AH23,",",AI23)</f>
        <v>0,9.84</v>
      </c>
    </row>
    <row r="24" spans="1:36" x14ac:dyDescent="0.25">
      <c r="A24" s="44">
        <v>4</v>
      </c>
      <c r="B24" s="48">
        <v>0.26424768518518521</v>
      </c>
      <c r="C24" s="48">
        <v>3.9663541666666666</v>
      </c>
      <c r="D24" s="44">
        <v>27.378</v>
      </c>
      <c r="E24" s="44">
        <v>4.9062000000000001</v>
      </c>
      <c r="F24" s="44"/>
      <c r="G24" s="43">
        <f t="shared" si="15"/>
        <v>95.192499999999995</v>
      </c>
      <c r="H24" s="43">
        <f t="shared" si="16"/>
        <v>1.661422548204702</v>
      </c>
      <c r="I24" s="43">
        <f t="shared" si="3"/>
        <v>6.3419444444444455</v>
      </c>
      <c r="J24" s="39">
        <f t="shared" si="17"/>
        <v>0.11068781153411818</v>
      </c>
      <c r="K24" s="39">
        <f t="shared" si="18"/>
        <v>27.265647638201987</v>
      </c>
      <c r="L24" s="15">
        <f t="shared" si="19"/>
        <v>-2.4777697369631566</v>
      </c>
      <c r="M24" s="13"/>
      <c r="N24" s="16">
        <f t="shared" si="4"/>
        <v>6.3419444444444455</v>
      </c>
      <c r="O24" s="16">
        <f t="shared" ca="1" si="20"/>
        <v>139.66434371962669</v>
      </c>
      <c r="P24" s="16">
        <f t="shared" ca="1" si="21"/>
        <v>146.00628816407112</v>
      </c>
      <c r="Q24" s="16">
        <f t="shared" ca="1" si="22"/>
        <v>2.548290457078668</v>
      </c>
      <c r="R24" s="16">
        <f t="shared" ca="1" si="5"/>
        <v>15.244275778794377</v>
      </c>
      <c r="S24" s="16">
        <f t="shared" ca="1" si="6"/>
        <v>-22.605919514822943</v>
      </c>
      <c r="T24" s="13">
        <f t="shared" ca="1" si="7"/>
        <v>3912084.5382757792</v>
      </c>
      <c r="U24" s="13">
        <f t="shared" ca="1" si="8"/>
        <v>1537798.0610804851</v>
      </c>
      <c r="V24" s="16">
        <f t="shared" si="9"/>
        <v>3403.538730263037</v>
      </c>
      <c r="W24" s="16">
        <f t="shared" ca="1" si="10"/>
        <v>3403.7372263199209</v>
      </c>
      <c r="X24" s="47">
        <f t="shared" ca="1" si="11"/>
        <v>3912084.5382757792</v>
      </c>
      <c r="Y24" s="47">
        <f t="shared" ca="1" si="23"/>
        <v>1537798.0610804851</v>
      </c>
      <c r="Z24" s="47">
        <f t="shared" ca="1" si="12"/>
        <v>3912082.7998073734</v>
      </c>
      <c r="AA24" s="47">
        <f t="shared" ca="1" si="13"/>
        <v>1537798.387689244</v>
      </c>
      <c r="AB24" s="47">
        <f t="shared" ref="AB24:AB33" ca="1" si="27">IF(ISNUMBER(X24),SQRT((X24-Z24)^2+(Y24-AA24)^2),"")</f>
        <v>1.7688826075556496</v>
      </c>
      <c r="AC24" s="47">
        <f ca="1">IF(ISNUMBER(Z24),SQRT(($Z24-OFFSET($Z$20,MATCH(CS_Start,$A$21:$A$48,0),0))^2+($AA24-OFFSET($AA$20,MATCH(CS_Start,$A$21:$A$48,0),0))^2),"")</f>
        <v>13.31430150810084</v>
      </c>
      <c r="AD24" s="47">
        <f t="shared" ref="AD24:AD33" ca="1" si="28">IF(ISNUMBER(X24),W24-Min_Z,"")</f>
        <v>7.696809090541592</v>
      </c>
      <c r="AE24" s="47">
        <f t="shared" ref="AE24:AE43" ca="1" si="29">ROUND(AC24,2)</f>
        <v>13.31</v>
      </c>
      <c r="AF24" s="47">
        <f t="shared" ca="1" si="25"/>
        <v>7.7</v>
      </c>
      <c r="AH24" s="44">
        <v>13.31</v>
      </c>
      <c r="AI24" s="44">
        <f ca="1">OFFSET($AF$22,MATCH(AH24,$AE$23:$AE$56,0),0)</f>
        <v>7.7</v>
      </c>
      <c r="AJ24" s="2" t="str">
        <f t="shared" ca="1" si="26"/>
        <v>13.31,7.7</v>
      </c>
    </row>
    <row r="25" spans="1:36" x14ac:dyDescent="0.25">
      <c r="A25" s="44">
        <v>5</v>
      </c>
      <c r="B25" s="48">
        <v>0.57504629629629633</v>
      </c>
      <c r="C25" s="48">
        <v>4.0444328703703709</v>
      </c>
      <c r="D25" s="44">
        <v>30.138000000000002</v>
      </c>
      <c r="E25" s="44">
        <v>4.9062000000000001</v>
      </c>
      <c r="F25" s="44"/>
      <c r="G25" s="43">
        <f t="shared" si="15"/>
        <v>97.066388888888895</v>
      </c>
      <c r="H25" s="43">
        <f t="shared" si="16"/>
        <v>1.6941280791323516</v>
      </c>
      <c r="I25" s="43">
        <f t="shared" si="3"/>
        <v>13.801111111111112</v>
      </c>
      <c r="J25" s="39">
        <f t="shared" si="17"/>
        <v>0.24087482932246188</v>
      </c>
      <c r="K25" s="39">
        <f t="shared" si="18"/>
        <v>29.909080033854117</v>
      </c>
      <c r="L25" s="15">
        <f t="shared" si="19"/>
        <v>-3.707556544209285</v>
      </c>
      <c r="M25" s="13"/>
      <c r="N25" s="16">
        <f t="shared" si="4"/>
        <v>13.801111111111112</v>
      </c>
      <c r="O25" s="16">
        <f t="shared" ca="1" si="20"/>
        <v>139.66434371962669</v>
      </c>
      <c r="P25" s="16">
        <f t="shared" ca="1" si="21"/>
        <v>153.4654548307378</v>
      </c>
      <c r="Q25" s="16">
        <f t="shared" ca="1" si="22"/>
        <v>2.6784774748670115</v>
      </c>
      <c r="R25" s="16">
        <f t="shared" ca="1" si="5"/>
        <v>13.361502019194814</v>
      </c>
      <c r="S25" s="16">
        <f t="shared" ca="1" si="6"/>
        <v>-26.75861230076298</v>
      </c>
      <c r="T25" s="13">
        <f t="shared" ca="1" si="7"/>
        <v>3912082.6555020195</v>
      </c>
      <c r="U25" s="13">
        <f t="shared" ca="1" si="8"/>
        <v>1537793.9083876992</v>
      </c>
      <c r="V25" s="16">
        <f t="shared" si="9"/>
        <v>3402.308943455791</v>
      </c>
      <c r="W25" s="16">
        <f t="shared" ca="1" si="10"/>
        <v>3402.5074395126749</v>
      </c>
      <c r="X25" s="47">
        <f t="shared" ca="1" si="11"/>
        <v>3912082.6555020195</v>
      </c>
      <c r="Y25" s="47">
        <f t="shared" ca="1" si="23"/>
        <v>1537793.9083876992</v>
      </c>
      <c r="Z25" s="47">
        <f t="shared" ca="1" si="12"/>
        <v>3912081.9820442186</v>
      </c>
      <c r="AA25" s="47">
        <f t="shared" ca="1" si="13"/>
        <v>1537794.03491126</v>
      </c>
      <c r="AB25" s="47">
        <f t="shared" ca="1" si="27"/>
        <v>0.68523982736699229</v>
      </c>
      <c r="AC25" s="47">
        <f ca="1">IF(ISNUMBER(Z25),SQRT(($Z25-OFFSET($Z$20,MATCH(CS_Start,$A$21:$A$48,0),0))^2+($AA25-OFFSET($AA$20,MATCH(CS_Start,$A$21:$A$48,0),0))^2),"")</f>
        <v>17.743230583552855</v>
      </c>
      <c r="AD25" s="47">
        <f t="shared" ca="1" si="28"/>
        <v>6.4670222832955915</v>
      </c>
      <c r="AE25" s="47">
        <f t="shared" ca="1" si="29"/>
        <v>17.739999999999998</v>
      </c>
      <c r="AF25" s="47">
        <f t="shared" ca="1" si="25"/>
        <v>6.47</v>
      </c>
      <c r="AH25" s="44">
        <v>17.739999999999998</v>
      </c>
      <c r="AI25" s="44">
        <f ca="1">OFFSET($AF$22,MATCH(AH25,$AE$23:$AE$56,0),0)</f>
        <v>6.47</v>
      </c>
      <c r="AJ25" s="2" t="str">
        <f t="shared" ca="1" si="26"/>
        <v>17.74,6.47</v>
      </c>
    </row>
    <row r="26" spans="1:36" x14ac:dyDescent="0.25">
      <c r="A26" s="44">
        <v>6</v>
      </c>
      <c r="B26" s="48">
        <v>0.8068749999999999</v>
      </c>
      <c r="C26" s="48">
        <v>4.1496643518518521</v>
      </c>
      <c r="D26" s="44">
        <v>32.165999999999997</v>
      </c>
      <c r="E26" s="44">
        <v>4.9062000000000001</v>
      </c>
      <c r="F26" s="44"/>
      <c r="G26" s="43">
        <f t="shared" si="15"/>
        <v>99.591944444444451</v>
      </c>
      <c r="H26" s="43">
        <f t="shared" si="16"/>
        <v>1.7382073390188306</v>
      </c>
      <c r="I26" s="43">
        <f t="shared" si="3"/>
        <v>19.364999999999998</v>
      </c>
      <c r="J26" s="39">
        <f t="shared" si="17"/>
        <v>0.33798300964870187</v>
      </c>
      <c r="K26" s="39">
        <f t="shared" si="18"/>
        <v>31.716302411572872</v>
      </c>
      <c r="L26" s="15">
        <f t="shared" si="19"/>
        <v>-5.3598243756355028</v>
      </c>
      <c r="M26" s="13"/>
      <c r="N26" s="16">
        <f t="shared" si="4"/>
        <v>19.364999999999998</v>
      </c>
      <c r="O26" s="16">
        <f t="shared" ca="1" si="20"/>
        <v>139.66434371962669</v>
      </c>
      <c r="P26" s="16">
        <f t="shared" ca="1" si="21"/>
        <v>159.0293437196267</v>
      </c>
      <c r="Q26" s="16">
        <f t="shared" ca="1" si="22"/>
        <v>2.7755856551932521</v>
      </c>
      <c r="R26" s="16">
        <f t="shared" ca="1" si="5"/>
        <v>11.350940316978038</v>
      </c>
      <c r="S26" s="16">
        <f t="shared" ca="1" si="6"/>
        <v>-29.615536337921448</v>
      </c>
      <c r="T26" s="13">
        <f t="shared" ca="1" si="7"/>
        <v>3912080.6449403171</v>
      </c>
      <c r="U26" s="13">
        <f t="shared" ca="1" si="8"/>
        <v>1537791.0514636619</v>
      </c>
      <c r="V26" s="16">
        <f t="shared" si="9"/>
        <v>3400.6566756243647</v>
      </c>
      <c r="W26" s="16">
        <f t="shared" ca="1" si="10"/>
        <v>3400.8551716812485</v>
      </c>
      <c r="X26" s="47">
        <f t="shared" ca="1" si="11"/>
        <v>3912080.6449403171</v>
      </c>
      <c r="Y26" s="47">
        <f t="shared" ca="1" si="23"/>
        <v>1537791.0514636619</v>
      </c>
      <c r="Z26" s="47">
        <f t="shared" ca="1" si="12"/>
        <v>3912081.3950631623</v>
      </c>
      <c r="AA26" s="47">
        <f t="shared" ca="1" si="13"/>
        <v>1537790.9105369188</v>
      </c>
      <c r="AB26" s="47">
        <f t="shared" ca="1" si="27"/>
        <v>0.76324611350971339</v>
      </c>
      <c r="AC26" s="47">
        <f ca="1">IF(ISNUMBER(Z26),SQRT(($Z26-OFFSET($Z$20,MATCH(CS_Start,$A$21:$A$48,0),0))^2+($AA26-OFFSET($AA$20,MATCH(CS_Start,$A$21:$A$48,0),0))^2),"")</f>
        <v>20.922265308823668</v>
      </c>
      <c r="AD26" s="47">
        <f t="shared" ca="1" si="28"/>
        <v>4.8147544518692484</v>
      </c>
      <c r="AE26" s="47">
        <f t="shared" ca="1" si="29"/>
        <v>20.92</v>
      </c>
      <c r="AF26" s="47">
        <f t="shared" ca="1" si="25"/>
        <v>4.8099999999999996</v>
      </c>
      <c r="AH26" s="44">
        <v>20.92</v>
      </c>
      <c r="AI26" s="44">
        <f ca="1">OFFSET($AF$22,MATCH(AH26,$AE$23:$AE$56,0),0)</f>
        <v>4.8099999999999996</v>
      </c>
      <c r="AJ26" s="2" t="str">
        <f t="shared" ca="1" si="26"/>
        <v>20.92,4.81</v>
      </c>
    </row>
    <row r="27" spans="1:36" x14ac:dyDescent="0.25">
      <c r="A27" s="44">
        <v>7</v>
      </c>
      <c r="B27" s="48">
        <v>0.9210532407407408</v>
      </c>
      <c r="C27" s="48">
        <v>4.2071064814814809</v>
      </c>
      <c r="D27" s="44">
        <v>34.814</v>
      </c>
      <c r="E27" s="44">
        <v>4.9062000000000001</v>
      </c>
      <c r="F27" s="44"/>
      <c r="G27" s="43">
        <f t="shared" si="15"/>
        <v>100.97055555555553</v>
      </c>
      <c r="H27" s="43">
        <f t="shared" si="16"/>
        <v>1.7622686420122964</v>
      </c>
      <c r="I27" s="43">
        <f t="shared" si="3"/>
        <v>22.105277777777779</v>
      </c>
      <c r="J27" s="39">
        <f t="shared" si="17"/>
        <v>0.38580987929015764</v>
      </c>
      <c r="K27" s="39">
        <f t="shared" si="18"/>
        <v>34.177778015804883</v>
      </c>
      <c r="L27" s="15">
        <f t="shared" si="19"/>
        <v>-6.6252611950295579</v>
      </c>
      <c r="M27" s="13"/>
      <c r="N27" s="16">
        <f t="shared" si="4"/>
        <v>22.105277777777779</v>
      </c>
      <c r="O27" s="16">
        <f t="shared" ca="1" si="20"/>
        <v>139.66434371962669</v>
      </c>
      <c r="P27" s="16">
        <f t="shared" ca="1" si="21"/>
        <v>161.76962149740447</v>
      </c>
      <c r="Q27" s="16">
        <f t="shared" ca="1" si="22"/>
        <v>2.8234125248347075</v>
      </c>
      <c r="R27" s="16">
        <f t="shared" ca="1" si="5"/>
        <v>10.692126667627821</v>
      </c>
      <c r="S27" s="16">
        <f t="shared" ca="1" si="6"/>
        <v>-32.462269443479109</v>
      </c>
      <c r="T27" s="13">
        <f t="shared" ca="1" si="7"/>
        <v>3912079.9861266678</v>
      </c>
      <c r="U27" s="13">
        <f t="shared" ca="1" si="8"/>
        <v>1537788.2047305563</v>
      </c>
      <c r="V27" s="16">
        <f t="shared" si="9"/>
        <v>3399.3912388049707</v>
      </c>
      <c r="W27" s="16">
        <f t="shared" ca="1" si="10"/>
        <v>3399.5897348618546</v>
      </c>
      <c r="X27" s="47">
        <f t="shared" ca="1" si="11"/>
        <v>3912079.9861266678</v>
      </c>
      <c r="Y27" s="47">
        <f t="shared" ca="1" si="23"/>
        <v>1537788.2047305563</v>
      </c>
      <c r="Z27" s="47">
        <f t="shared" ca="1" si="12"/>
        <v>3912080.85601576</v>
      </c>
      <c r="AA27" s="47">
        <f t="shared" ca="1" si="13"/>
        <v>1537788.0413031429</v>
      </c>
      <c r="AB27" s="47">
        <f t="shared" ca="1" si="27"/>
        <v>0.88510765002537484</v>
      </c>
      <c r="AC27" s="47">
        <f ca="1">IF(ISNUMBER(Z27),SQRT(($Z27-OFFSET($Z$20,MATCH(CS_Start,$A$21:$A$48,0),0))^2+($AA27-OFFSET($AA$20,MATCH(CS_Start,$A$21:$A$48,0),0))^2),"")</f>
        <v>23.841695829084681</v>
      </c>
      <c r="AD27" s="47">
        <f t="shared" ca="1" si="28"/>
        <v>3.5493176324753222</v>
      </c>
      <c r="AE27" s="47">
        <f t="shared" ca="1" si="29"/>
        <v>23.84</v>
      </c>
      <c r="AF27" s="47">
        <f t="shared" ca="1" si="25"/>
        <v>3.55</v>
      </c>
      <c r="AH27" s="44">
        <v>23.84</v>
      </c>
      <c r="AI27" s="44">
        <f ca="1">OFFSET($AF$22,MATCH(AH27,$AE$23:$AE$56,0),0)</f>
        <v>3.55</v>
      </c>
      <c r="AJ27" s="2" t="str">
        <f t="shared" ca="1" si="26"/>
        <v>23.84,3.55</v>
      </c>
    </row>
    <row r="28" spans="1:36" x14ac:dyDescent="0.25">
      <c r="A28" s="44">
        <v>8</v>
      </c>
      <c r="B28" s="48">
        <v>1.0764120370370371</v>
      </c>
      <c r="C28" s="48">
        <v>4.2334837962962961</v>
      </c>
      <c r="D28" s="44">
        <v>37.366999999999997</v>
      </c>
      <c r="E28" s="44">
        <v>4.9062000000000001</v>
      </c>
      <c r="F28" s="49" t="s">
        <v>84</v>
      </c>
      <c r="G28" s="43">
        <f t="shared" si="15"/>
        <v>101.60361111111111</v>
      </c>
      <c r="H28" s="43">
        <f t="shared" si="16"/>
        <v>1.773317545804783</v>
      </c>
      <c r="I28" s="43">
        <f t="shared" si="3"/>
        <v>25.833888888888893</v>
      </c>
      <c r="J28" s="39">
        <f t="shared" si="17"/>
        <v>0.4508864197054907</v>
      </c>
      <c r="K28" s="39">
        <f t="shared" si="18"/>
        <v>36.603314723630824</v>
      </c>
      <c r="L28" s="15">
        <f t="shared" si="19"/>
        <v>-7.5159856467951682</v>
      </c>
      <c r="M28" s="13"/>
      <c r="N28" s="16">
        <f t="shared" si="4"/>
        <v>25.833888888888893</v>
      </c>
      <c r="O28" s="16">
        <f t="shared" ca="1" si="20"/>
        <v>139.66434371962669</v>
      </c>
      <c r="P28" s="16">
        <f t="shared" ca="1" si="21"/>
        <v>165.49823260851559</v>
      </c>
      <c r="Q28" s="16">
        <f t="shared" ca="1" si="22"/>
        <v>2.8884890652500408</v>
      </c>
      <c r="R28" s="16">
        <f t="shared" ca="1" si="5"/>
        <v>9.1658312153531654</v>
      </c>
      <c r="S28" s="16">
        <f t="shared" ca="1" si="6"/>
        <v>-35.437130059992533</v>
      </c>
      <c r="T28" s="13">
        <f t="shared" ca="1" si="7"/>
        <v>3912078.4598312154</v>
      </c>
      <c r="U28" s="13">
        <f t="shared" ca="1" si="8"/>
        <v>1537785.2298699399</v>
      </c>
      <c r="V28" s="16">
        <f t="shared" si="9"/>
        <v>3398.5005143532048</v>
      </c>
      <c r="W28" s="16">
        <f t="shared" ca="1" si="10"/>
        <v>3398.6990104100887</v>
      </c>
      <c r="X28" s="47">
        <f t="shared" ca="1" si="11"/>
        <v>3912078.4598312154</v>
      </c>
      <c r="Y28" s="47">
        <f t="shared" ca="1" si="23"/>
        <v>1537785.2298699399</v>
      </c>
      <c r="Z28" s="47">
        <f t="shared" ca="1" si="12"/>
        <v>3912080.2641429584</v>
      </c>
      <c r="AA28" s="47">
        <f t="shared" ca="1" si="13"/>
        <v>1537784.89089109</v>
      </c>
      <c r="AB28" s="47">
        <f t="shared" ca="1" si="27"/>
        <v>1.8358778626512846</v>
      </c>
      <c r="AC28" s="47">
        <f ca="1">IF(ISNUMBER(Z28),SQRT(($Z28-OFFSET($Z$20,MATCH(CS_Start,$A$21:$A$48,0),0))^2+($AA28-OFFSET($AA$20,MATCH(CS_Start,$A$21:$A$48,0),0))^2),"")</f>
        <v>27.047223791225768</v>
      </c>
      <c r="AD28" s="47">
        <f t="shared" ca="1" si="28"/>
        <v>2.6585931807094312</v>
      </c>
      <c r="AE28" s="47">
        <f t="shared" ca="1" si="29"/>
        <v>27.05</v>
      </c>
      <c r="AF28" s="47">
        <f t="shared" ca="1" si="25"/>
        <v>2.66</v>
      </c>
      <c r="AH28" s="44">
        <v>27.05</v>
      </c>
      <c r="AI28" s="44">
        <f ca="1">OFFSET($AF$22,MATCH(AH28,$AE$23:$AE$56,0),0)</f>
        <v>2.66</v>
      </c>
      <c r="AJ28" s="2" t="str">
        <f t="shared" ca="1" si="26"/>
        <v>27.05,2.66</v>
      </c>
    </row>
    <row r="29" spans="1:36" x14ac:dyDescent="0.25">
      <c r="A29" s="44">
        <v>9</v>
      </c>
      <c r="B29" s="48">
        <v>1.1157291666666667</v>
      </c>
      <c r="C29" s="48">
        <v>4.2390972222222221</v>
      </c>
      <c r="D29" s="44">
        <v>39.679000000000002</v>
      </c>
      <c r="E29" s="44">
        <v>4.9062000000000001</v>
      </c>
      <c r="F29" s="44"/>
      <c r="G29" s="43">
        <f t="shared" si="15"/>
        <v>101.73833333333333</v>
      </c>
      <c r="H29" s="43">
        <f t="shared" si="16"/>
        <v>1.7756688921581643</v>
      </c>
      <c r="I29" s="43">
        <f t="shared" si="3"/>
        <v>26.7775</v>
      </c>
      <c r="J29" s="39">
        <f t="shared" si="17"/>
        <v>0.4673555404527816</v>
      </c>
      <c r="K29" s="39">
        <f t="shared" si="18"/>
        <v>38.849189822366775</v>
      </c>
      <c r="L29" s="15">
        <f t="shared" si="19"/>
        <v>-8.0723906710288684</v>
      </c>
      <c r="M29" s="13"/>
      <c r="N29" s="16">
        <f t="shared" si="4"/>
        <v>26.7775</v>
      </c>
      <c r="O29" s="16">
        <f t="shared" ca="1" si="20"/>
        <v>139.66434371962669</v>
      </c>
      <c r="P29" s="16">
        <f t="shared" ca="1" si="21"/>
        <v>166.44184371962669</v>
      </c>
      <c r="Q29" s="16">
        <f t="shared" ca="1" si="22"/>
        <v>2.9049581859973315</v>
      </c>
      <c r="R29" s="16">
        <f t="shared" ca="1" si="5"/>
        <v>9.1075016971832383</v>
      </c>
      <c r="S29" s="16">
        <f t="shared" ca="1" si="6"/>
        <v>-37.766558788034828</v>
      </c>
      <c r="T29" s="13">
        <f t="shared" ca="1" si="7"/>
        <v>3912078.4015016975</v>
      </c>
      <c r="U29" s="13">
        <f t="shared" ca="1" si="8"/>
        <v>1537782.9004412119</v>
      </c>
      <c r="V29" s="16">
        <f t="shared" si="9"/>
        <v>3397.9441093289715</v>
      </c>
      <c r="W29" s="16">
        <f t="shared" ca="1" si="10"/>
        <v>3398.1426053858554</v>
      </c>
      <c r="X29" s="47">
        <f t="shared" ca="1" si="11"/>
        <v>3912078.4015016975</v>
      </c>
      <c r="Y29" s="47">
        <f t="shared" ca="1" si="23"/>
        <v>1537782.9004412119</v>
      </c>
      <c r="Z29" s="47">
        <f t="shared" ca="1" si="12"/>
        <v>3912079.8394409493</v>
      </c>
      <c r="AA29" s="47">
        <f t="shared" ca="1" si="13"/>
        <v>1537782.630293332</v>
      </c>
      <c r="AB29" s="47">
        <f t="shared" ca="1" si="27"/>
        <v>1.4630957483268647</v>
      </c>
      <c r="AC29" s="47">
        <f ca="1">IF(ISNUMBER(Z29),SQRT(($Z29-OFFSET($Z$20,MATCH(CS_Start,$A$21:$A$48,0),0))^2+($AA29-OFFSET($AA$20,MATCH(CS_Start,$A$21:$A$48,0),0))^2),"")</f>
        <v>29.347370312658555</v>
      </c>
      <c r="AD29" s="47">
        <f t="shared" ca="1" si="28"/>
        <v>2.1021881564761316</v>
      </c>
      <c r="AE29" s="47">
        <f t="shared" ca="1" si="29"/>
        <v>29.35</v>
      </c>
      <c r="AF29" s="47">
        <f t="shared" ca="1" si="25"/>
        <v>2.1</v>
      </c>
      <c r="AH29" s="44">
        <v>29.35</v>
      </c>
      <c r="AI29" s="44">
        <f ca="1">OFFSET($AF$22,MATCH(AH29,$AE$23:$AE$56,0),0)</f>
        <v>2.1</v>
      </c>
      <c r="AJ29" s="2" t="str">
        <f t="shared" ca="1" si="26"/>
        <v>29.35,2.1</v>
      </c>
    </row>
    <row r="30" spans="1:36" x14ac:dyDescent="0.25">
      <c r="A30" s="44">
        <v>10</v>
      </c>
      <c r="B30" s="48">
        <v>1.5944444444444443</v>
      </c>
      <c r="C30" s="48">
        <v>4.0383796296296302</v>
      </c>
      <c r="D30" s="44">
        <v>67.549000000000007</v>
      </c>
      <c r="E30" s="44">
        <v>4.9062000000000001</v>
      </c>
      <c r="F30" s="44"/>
      <c r="G30" s="43">
        <f t="shared" si="15"/>
        <v>96.921111111111117</v>
      </c>
      <c r="H30" s="43">
        <f t="shared" si="16"/>
        <v>1.6915925035801487</v>
      </c>
      <c r="I30" s="43">
        <f t="shared" si="3"/>
        <v>38.266666666666666</v>
      </c>
      <c r="J30" s="39">
        <f t="shared" si="17"/>
        <v>0.66787932709649678</v>
      </c>
      <c r="K30" s="39">
        <f t="shared" si="18"/>
        <v>67.056771052652053</v>
      </c>
      <c r="L30" s="15">
        <f t="shared" si="19"/>
        <v>-8.1398315088339448</v>
      </c>
      <c r="M30" s="13"/>
      <c r="N30" s="16">
        <f t="shared" si="4"/>
        <v>38.266666666666666</v>
      </c>
      <c r="O30" s="16">
        <f t="shared" ca="1" si="20"/>
        <v>139.66434371962669</v>
      </c>
      <c r="P30" s="16">
        <f t="shared" ca="1" si="21"/>
        <v>177.93101038629334</v>
      </c>
      <c r="Q30" s="16">
        <f t="shared" ca="1" si="22"/>
        <v>3.1054819726410465</v>
      </c>
      <c r="R30" s="16">
        <f t="shared" ca="1" si="5"/>
        <v>2.4209394415969454</v>
      </c>
      <c r="S30" s="16">
        <f t="shared" ca="1" si="6"/>
        <v>-67.013055416298656</v>
      </c>
      <c r="T30" s="13">
        <f t="shared" ca="1" si="7"/>
        <v>3912071.714939442</v>
      </c>
      <c r="U30" s="13">
        <f t="shared" ca="1" si="8"/>
        <v>1537753.6539445836</v>
      </c>
      <c r="V30" s="16">
        <f t="shared" si="9"/>
        <v>3397.8766684911661</v>
      </c>
      <c r="W30" s="16">
        <f t="shared" ca="1" si="10"/>
        <v>3398.07516454805</v>
      </c>
      <c r="X30" s="47">
        <f t="shared" ca="1" si="11"/>
        <v>3912071.714939442</v>
      </c>
      <c r="Y30" s="47">
        <f t="shared" ca="1" si="23"/>
        <v>1537753.6539445836</v>
      </c>
      <c r="Z30" s="47">
        <f t="shared" ca="1" si="12"/>
        <v>3912074.3042188594</v>
      </c>
      <c r="AA30" s="47">
        <f t="shared" ca="1" si="13"/>
        <v>1537753.1674926393</v>
      </c>
      <c r="AB30" s="47">
        <f t="shared" ca="1" si="27"/>
        <v>2.634578409460131</v>
      </c>
      <c r="AC30" s="47">
        <f ca="1">IF(ISNUMBER(Z30),SQRT(($Z30-OFFSET($Z$20,MATCH(CS_Start,$A$21:$A$48,0),0))^2+($AA30-OFFSET($AA$20,MATCH(CS_Start,$A$21:$A$48,0),0))^2),"")</f>
        <v>59.325617563718161</v>
      </c>
      <c r="AD30" s="47">
        <f t="shared" ca="1" si="28"/>
        <v>2.0347473186707248</v>
      </c>
      <c r="AE30" s="47">
        <f t="shared" ca="1" si="29"/>
        <v>59.33</v>
      </c>
      <c r="AF30" s="47">
        <f t="shared" ca="1" si="25"/>
        <v>2.0299999999999998</v>
      </c>
      <c r="AH30" s="44">
        <v>59.33</v>
      </c>
      <c r="AI30" s="44">
        <f ca="1">OFFSET($AF$22,MATCH(AH30,$AE$23:$AE$56,0),0)</f>
        <v>2.0299999999999998</v>
      </c>
      <c r="AJ30" s="2" t="str">
        <f t="shared" ca="1" si="26"/>
        <v>59.33,2.03</v>
      </c>
    </row>
    <row r="31" spans="1:36" x14ac:dyDescent="0.25">
      <c r="A31" s="44">
        <v>11</v>
      </c>
      <c r="B31" s="48">
        <v>1.6855439814814817</v>
      </c>
      <c r="C31" s="48">
        <v>3.9607060185185183</v>
      </c>
      <c r="D31" s="44">
        <v>90.671000000000006</v>
      </c>
      <c r="E31" s="44">
        <v>4.9062000000000001</v>
      </c>
      <c r="F31" s="44"/>
      <c r="G31" s="43">
        <f t="shared" si="15"/>
        <v>95.05694444444444</v>
      </c>
      <c r="H31" s="43">
        <f t="shared" si="16"/>
        <v>1.6590566574408876</v>
      </c>
      <c r="I31" s="43">
        <f t="shared" si="3"/>
        <v>40.453055555555558</v>
      </c>
      <c r="J31" s="39">
        <f t="shared" si="17"/>
        <v>0.70603901193662844</v>
      </c>
      <c r="K31" s="39">
        <f t="shared" si="18"/>
        <v>90.318070820568636</v>
      </c>
      <c r="L31" s="15">
        <f t="shared" si="19"/>
        <v>-7.9922665277598313</v>
      </c>
      <c r="M31" s="13"/>
      <c r="N31" s="16">
        <f t="shared" si="4"/>
        <v>40.453055555555558</v>
      </c>
      <c r="O31" s="16">
        <f t="shared" ca="1" si="20"/>
        <v>139.66434371962669</v>
      </c>
      <c r="P31" s="16">
        <f t="shared" ca="1" si="21"/>
        <v>180.11739927518224</v>
      </c>
      <c r="Q31" s="16">
        <f t="shared" ca="1" si="22"/>
        <v>3.1436416574811781</v>
      </c>
      <c r="R31" s="16">
        <f t="shared" ca="1" si="5"/>
        <v>-0.18506194907911583</v>
      </c>
      <c r="S31" s="16">
        <f t="shared" ca="1" si="6"/>
        <v>-90.317881224175395</v>
      </c>
      <c r="T31" s="13">
        <f t="shared" ca="1" si="7"/>
        <v>3912069.1089380509</v>
      </c>
      <c r="U31" s="13">
        <f t="shared" ca="1" si="8"/>
        <v>1537730.3491187757</v>
      </c>
      <c r="V31" s="16">
        <f t="shared" si="9"/>
        <v>3398.0242334722402</v>
      </c>
      <c r="W31" s="16">
        <f t="shared" ca="1" si="10"/>
        <v>3398.2227295291241</v>
      </c>
      <c r="X31" s="47">
        <f t="shared" ca="1" si="11"/>
        <v>3912069.1089380509</v>
      </c>
      <c r="Y31" s="47">
        <f t="shared" ca="1" si="23"/>
        <v>1537730.3491187757</v>
      </c>
      <c r="Z31" s="47">
        <f t="shared" ca="1" si="12"/>
        <v>3912069.9863274582</v>
      </c>
      <c r="AA31" s="47">
        <f t="shared" ca="1" si="13"/>
        <v>1537730.1842822656</v>
      </c>
      <c r="AB31" s="47">
        <f t="shared" ca="1" si="27"/>
        <v>0.89273918196367663</v>
      </c>
      <c r="AC31" s="47">
        <f ca="1">IF(ISNUMBER(Z31),SQRT(($Z31-OFFSET($Z$20,MATCH(CS_Start,$A$21:$A$48,0),0))^2+($AA31-OFFSET($AA$20,MATCH(CS_Start,$A$21:$A$48,0),0))^2),"")</f>
        <v>82.710915193495239</v>
      </c>
      <c r="AD31" s="47">
        <f t="shared" ca="1" si="28"/>
        <v>2.1823122997448081</v>
      </c>
      <c r="AE31" s="47">
        <f t="shared" ca="1" si="29"/>
        <v>82.71</v>
      </c>
      <c r="AF31" s="47">
        <f t="shared" ca="1" si="25"/>
        <v>2.1800000000000002</v>
      </c>
      <c r="AH31" s="44">
        <v>82.71</v>
      </c>
      <c r="AI31" s="44">
        <f ca="1">OFFSET($AF$22,MATCH(AH31,$AE$23:$AE$56,0),0)</f>
        <v>2.1800000000000002</v>
      </c>
      <c r="AJ31" s="2" t="str">
        <f t="shared" ca="1" si="26"/>
        <v>82.71,2.18</v>
      </c>
    </row>
    <row r="32" spans="1:36" x14ac:dyDescent="0.25">
      <c r="A32" s="44">
        <v>12</v>
      </c>
      <c r="B32" s="48">
        <v>1.6773842592592594</v>
      </c>
      <c r="C32" s="48">
        <v>3.9371875000000003</v>
      </c>
      <c r="D32" s="44">
        <v>94.974999999999994</v>
      </c>
      <c r="E32" s="44">
        <v>4.9062000000000001</v>
      </c>
      <c r="F32" s="49" t="s">
        <v>84</v>
      </c>
      <c r="G32" s="43">
        <f t="shared" si="15"/>
        <v>94.492500000000007</v>
      </c>
      <c r="H32" s="43">
        <f t="shared" si="16"/>
        <v>1.649205243440742</v>
      </c>
      <c r="I32" s="43">
        <f t="shared" si="3"/>
        <v>40.257222222222225</v>
      </c>
      <c r="J32" s="39">
        <f t="shared" si="17"/>
        <v>0.70262107548480612</v>
      </c>
      <c r="K32" s="39">
        <f t="shared" si="18"/>
        <v>94.683198379170449</v>
      </c>
      <c r="L32" s="15">
        <f t="shared" si="19"/>
        <v>-7.4392586788370609</v>
      </c>
      <c r="M32" s="13"/>
      <c r="N32" s="16">
        <f t="shared" si="4"/>
        <v>40.257222222222225</v>
      </c>
      <c r="O32" s="16">
        <f t="shared" ca="1" si="20"/>
        <v>139.66434371962669</v>
      </c>
      <c r="P32" s="16">
        <f t="shared" ca="1" si="21"/>
        <v>179.92156594184891</v>
      </c>
      <c r="Q32" s="16">
        <f t="shared" ca="1" si="22"/>
        <v>3.140223721029356</v>
      </c>
      <c r="R32" s="16">
        <f t="shared" ca="1" si="5"/>
        <v>0.12961487270504288</v>
      </c>
      <c r="S32" s="16">
        <f t="shared" ca="1" si="6"/>
        <v>-94.683109662146819</v>
      </c>
      <c r="T32" s="13">
        <f t="shared" ca="1" si="7"/>
        <v>3912069.4236148731</v>
      </c>
      <c r="U32" s="13">
        <f t="shared" ca="1" si="8"/>
        <v>1537725.9838903376</v>
      </c>
      <c r="V32" s="16">
        <f t="shared" si="9"/>
        <v>3398.577241321163</v>
      </c>
      <c r="W32" s="16">
        <f t="shared" ca="1" si="10"/>
        <v>3398.7757373780469</v>
      </c>
      <c r="X32" s="47">
        <f t="shared" ca="1" si="11"/>
        <v>3912069.4236148731</v>
      </c>
      <c r="Y32" s="47">
        <f t="shared" ca="1" si="23"/>
        <v>1537725.9838903376</v>
      </c>
      <c r="Z32" s="47">
        <f t="shared" ca="1" si="12"/>
        <v>3912069.2049125638</v>
      </c>
      <c r="AA32" s="47">
        <f t="shared" ca="1" si="13"/>
        <v>1537726.0249782801</v>
      </c>
      <c r="AB32" s="47">
        <f t="shared" ca="1" si="27"/>
        <v>0.22252846807997834</v>
      </c>
      <c r="AC32" s="47">
        <f ca="1">IF(ISNUMBER(Z32),SQRT(($Z32-OFFSET($Z$20,MATCH(CS_Start,$A$21:$A$48,0),0))^2+($AA32-OFFSET($AA$20,MATCH(CS_Start,$A$21:$A$48,0),0))^2),"")</f>
        <v>86.942985476615135</v>
      </c>
      <c r="AD32" s="47">
        <f t="shared" ca="1" si="28"/>
        <v>2.7353201486675971</v>
      </c>
      <c r="AE32" s="47">
        <f t="shared" ca="1" si="29"/>
        <v>86.94</v>
      </c>
      <c r="AF32" s="47">
        <f t="shared" ca="1" si="25"/>
        <v>2.74</v>
      </c>
      <c r="AH32" s="44">
        <v>86.94</v>
      </c>
      <c r="AI32" s="44">
        <f ca="1">OFFSET($AF$22,MATCH(AH32,$AE$23:$AE$56,0),0)</f>
        <v>2.74</v>
      </c>
      <c r="AJ32" s="44" t="str">
        <f t="shared" ca="1" si="26"/>
        <v>86.94,2.74</v>
      </c>
    </row>
    <row r="33" spans="1:36" x14ac:dyDescent="0.25">
      <c r="A33" s="44">
        <v>13</v>
      </c>
      <c r="B33" s="48">
        <v>1.6892708333333333</v>
      </c>
      <c r="C33" s="48">
        <v>3.9024305555555556</v>
      </c>
      <c r="D33" s="44">
        <v>101.155</v>
      </c>
      <c r="E33" s="44">
        <v>4.9062000000000001</v>
      </c>
      <c r="F33" s="44"/>
      <c r="G33" s="43">
        <f t="shared" si="15"/>
        <v>93.658333333333331</v>
      </c>
      <c r="H33" s="43">
        <f t="shared" si="16"/>
        <v>1.6346462885970225</v>
      </c>
      <c r="I33" s="43">
        <f t="shared" si="3"/>
        <v>40.542499999999997</v>
      </c>
      <c r="J33" s="39">
        <f t="shared" si="17"/>
        <v>0.707600111989801</v>
      </c>
      <c r="K33" s="39">
        <f t="shared" si="18"/>
        <v>100.94887479889778</v>
      </c>
      <c r="L33" s="15">
        <f t="shared" si="19"/>
        <v>-6.4543552610977537</v>
      </c>
      <c r="M33" s="13"/>
      <c r="N33" s="16">
        <f t="shared" si="4"/>
        <v>40.542499999999997</v>
      </c>
      <c r="O33" s="16">
        <f t="shared" ca="1" si="20"/>
        <v>139.66434371962669</v>
      </c>
      <c r="P33" s="16">
        <f t="shared" ca="1" si="21"/>
        <v>180.20684371962668</v>
      </c>
      <c r="Q33" s="16">
        <f t="shared" ca="1" si="22"/>
        <v>3.1452027575343506</v>
      </c>
      <c r="R33" s="16">
        <f t="shared" ca="1" si="5"/>
        <v>-0.36443513950414685</v>
      </c>
      <c r="S33" s="16">
        <f t="shared" ca="1" si="6"/>
        <v>-100.948216973816</v>
      </c>
      <c r="T33" s="13">
        <f t="shared" ca="1" si="7"/>
        <v>3912068.9295648606</v>
      </c>
      <c r="U33" s="13">
        <f t="shared" ca="1" si="8"/>
        <v>1537719.7187830261</v>
      </c>
      <c r="V33" s="16">
        <f t="shared" si="9"/>
        <v>3399.5621447389026</v>
      </c>
      <c r="W33" s="16">
        <f t="shared" ca="1" si="10"/>
        <v>3399.7606407957865</v>
      </c>
      <c r="X33" s="47">
        <f t="shared" ca="1" si="11"/>
        <v>3912068.9295648606</v>
      </c>
      <c r="Y33" s="47">
        <f t="shared" ca="1" si="23"/>
        <v>1537719.7187830261</v>
      </c>
      <c r="Z33" s="47">
        <f t="shared" ca="1" si="12"/>
        <v>3912068.0511617446</v>
      </c>
      <c r="AA33" s="47">
        <f t="shared" ca="1" si="13"/>
        <v>1537719.88380998</v>
      </c>
      <c r="AB33" s="47">
        <f t="shared" ca="1" si="27"/>
        <v>0.89377062479478342</v>
      </c>
      <c r="AC33" s="47">
        <f ca="1">IF(ISNUMBER(Z33),SQRT(($Z33-OFFSET($Z$20,MATCH(CS_Start,$A$21:$A$48,0),0))^2+($AA33-OFFSET($AA$20,MATCH(CS_Start,$A$21:$A$48,0),0))^2),"")</f>
        <v>93.191592444763344</v>
      </c>
      <c r="AD33" s="47">
        <f t="shared" ca="1" si="28"/>
        <v>3.720223566407185</v>
      </c>
      <c r="AE33" s="47">
        <f t="shared" ca="1" si="29"/>
        <v>93.19</v>
      </c>
      <c r="AF33" s="47">
        <f t="shared" ca="1" si="25"/>
        <v>3.72</v>
      </c>
      <c r="AH33" s="44">
        <v>93.19</v>
      </c>
      <c r="AI33" s="44">
        <f ca="1">OFFSET($AF$22,MATCH(AH33,$AE$23:$AE$56,0),0)</f>
        <v>3.72</v>
      </c>
      <c r="AJ33" s="44" t="str">
        <f t="shared" ca="1" si="26"/>
        <v>93.19,3.72</v>
      </c>
    </row>
    <row r="34" spans="1:36" x14ac:dyDescent="0.25">
      <c r="A34" s="44">
        <v>14</v>
      </c>
      <c r="B34" s="48">
        <v>1.7953356481481482</v>
      </c>
      <c r="C34" s="48">
        <v>3.8459143518518517</v>
      </c>
      <c r="D34" s="44">
        <v>138.28800000000001</v>
      </c>
      <c r="E34" s="44">
        <v>4.9062000000000001</v>
      </c>
      <c r="F34" s="44"/>
      <c r="G34" s="43">
        <f t="shared" ref="G34:G35" si="30">C34*24</f>
        <v>92.301944444444445</v>
      </c>
      <c r="H34" s="43">
        <f t="shared" ref="H34:H35" si="31">RADIANS(G34)</f>
        <v>1.6109728365484439</v>
      </c>
      <c r="I34" s="43">
        <f t="shared" ref="I34:I35" si="32">B34*24</f>
        <v>43.088055555555556</v>
      </c>
      <c r="J34" s="49">
        <f t="shared" ref="J34:J35" si="33">RADIANS(I34)</f>
        <v>0.75202843772667893</v>
      </c>
      <c r="K34" s="49">
        <f t="shared" ref="K34:K35" si="34">D34*SIN(H34)</f>
        <v>138.17640609054413</v>
      </c>
      <c r="L34" s="46">
        <f t="shared" ref="L34:L35" si="35">D34*COS(H34)</f>
        <v>-5.5544346157858433</v>
      </c>
      <c r="M34" s="45"/>
      <c r="N34" s="47">
        <f t="shared" ref="N34:N35" si="36">I34+M34</f>
        <v>43.088055555555556</v>
      </c>
      <c r="O34" s="47">
        <f t="shared" ca="1" si="20"/>
        <v>139.66434371962669</v>
      </c>
      <c r="P34" s="47">
        <f t="shared" ref="P34:P35" ca="1" si="37">SUM(N34,O34)</f>
        <v>182.75239927518226</v>
      </c>
      <c r="Q34" s="47">
        <f t="shared" ref="Q34:Q35" ca="1" si="38">RADIANS(P34)</f>
        <v>3.1896310832712289</v>
      </c>
      <c r="R34" s="47">
        <f t="shared" ref="R34:R35" ca="1" si="39">K34*SIN(Q34)</f>
        <v>-6.6352248725508174</v>
      </c>
      <c r="S34" s="47">
        <f t="shared" ref="S34:S35" ca="1" si="40">K34*COS(Q34)</f>
        <v>-138.01700254312743</v>
      </c>
      <c r="T34" s="45">
        <f t="shared" ref="T34:T35" ca="1" si="41">Old_X0+R34</f>
        <v>3912062.6587751275</v>
      </c>
      <c r="U34" s="45">
        <f t="shared" ref="U34:U35" ca="1" si="42">Old_Y0+S34</f>
        <v>1537682.6499974567</v>
      </c>
      <c r="V34" s="47">
        <f t="shared" ref="V34:V35" si="43">Old_Z0+HI+L34-E34</f>
        <v>3400.4620653842144</v>
      </c>
      <c r="W34" s="47">
        <f t="shared" ref="W34:W35" ca="1" si="44">IF(ISNUMBER(T34),V34+dZ,"")</f>
        <v>3400.6605614410983</v>
      </c>
      <c r="X34" s="47">
        <f t="shared" ca="1" si="11"/>
        <v>3912062.6587751275</v>
      </c>
      <c r="Y34" s="47">
        <f t="shared" ca="1" si="23"/>
        <v>1537682.6499974567</v>
      </c>
      <c r="Z34" s="47">
        <f t="shared" ca="1" si="12"/>
        <v>3912061.110630482</v>
      </c>
      <c r="AA34" s="47">
        <f t="shared" ca="1" si="13"/>
        <v>1537682.9408497922</v>
      </c>
      <c r="AB34" s="47">
        <f t="shared" ref="AB34:AB35" ca="1" si="45">IF(ISNUMBER(X34),SQRT((X34-Z34)^2+(Y34-AA34)^2),"")</f>
        <v>1.5752291657205442</v>
      </c>
      <c r="AC34" s="47">
        <f ca="1">IF(ISNUMBER(Z34),SQRT(($Z34-OFFSET($Z$20,MATCH(CS_Start,$A$21:$A$48,0),0))^2+($AA34-OFFSET($AA$20,MATCH(CS_Start,$A$21:$A$48,0),0))^2),"")</f>
        <v>130.78086327627634</v>
      </c>
      <c r="AD34" s="47">
        <f t="shared" ref="AD34:AD35" ca="1" si="46">IF(ISNUMBER(X34),W34-Min_Z,"")</f>
        <v>4.6201442117189799</v>
      </c>
      <c r="AE34" s="47">
        <f t="shared" ca="1" si="29"/>
        <v>130.78</v>
      </c>
      <c r="AF34" s="47">
        <f t="shared" ca="1" si="25"/>
        <v>4.62</v>
      </c>
      <c r="AH34" s="44">
        <v>130.78</v>
      </c>
      <c r="AI34" s="44">
        <f ca="1">OFFSET($AF$22,MATCH(AH34,$AE$23:$AE$56,0),0)</f>
        <v>4.62</v>
      </c>
      <c r="AJ34" s="44" t="str">
        <f t="shared" ca="1" si="26"/>
        <v>130.78,4.62</v>
      </c>
    </row>
    <row r="35" spans="1:36" x14ac:dyDescent="0.25">
      <c r="A35" s="44">
        <v>15</v>
      </c>
      <c r="B35" s="48">
        <v>1.9344444444444446</v>
      </c>
      <c r="C35" s="48">
        <v>3.7833333333333332</v>
      </c>
      <c r="D35" s="44">
        <v>207.595</v>
      </c>
      <c r="E35" s="44">
        <v>12.1823</v>
      </c>
      <c r="F35" s="44"/>
      <c r="G35" s="43">
        <f t="shared" si="30"/>
        <v>90.8</v>
      </c>
      <c r="H35" s="43">
        <f t="shared" si="31"/>
        <v>1.5847589608108512</v>
      </c>
      <c r="I35" s="43">
        <f t="shared" si="32"/>
        <v>46.426666666666669</v>
      </c>
      <c r="J35" s="49">
        <f t="shared" si="33"/>
        <v>0.81029819405923409</v>
      </c>
      <c r="K35" s="49">
        <f t="shared" si="34"/>
        <v>207.57476447171152</v>
      </c>
      <c r="L35" s="46">
        <f t="shared" si="35"/>
        <v>-2.8984788275048543</v>
      </c>
      <c r="M35" s="45"/>
      <c r="N35" s="47">
        <f t="shared" si="36"/>
        <v>46.426666666666669</v>
      </c>
      <c r="O35" s="47">
        <f t="shared" ca="1" si="20"/>
        <v>139.66434371962669</v>
      </c>
      <c r="P35" s="47">
        <f t="shared" ca="1" si="37"/>
        <v>186.09101038629336</v>
      </c>
      <c r="Q35" s="47">
        <f t="shared" ca="1" si="38"/>
        <v>3.2479008396037838</v>
      </c>
      <c r="R35" s="47">
        <f t="shared" ca="1" si="39"/>
        <v>-22.025355571046003</v>
      </c>
      <c r="S35" s="47">
        <f t="shared" ca="1" si="40"/>
        <v>-206.40292284135779</v>
      </c>
      <c r="T35" s="45">
        <f t="shared" ca="1" si="41"/>
        <v>3912047.2686444293</v>
      </c>
      <c r="U35" s="45">
        <f t="shared" ca="1" si="42"/>
        <v>1537614.2640771586</v>
      </c>
      <c r="V35" s="47">
        <f t="shared" si="43"/>
        <v>3395.8419211724954</v>
      </c>
      <c r="W35" s="47">
        <f t="shared" ca="1" si="44"/>
        <v>3396.0404172293793</v>
      </c>
      <c r="X35" s="47">
        <f t="shared" ca="1" si="11"/>
        <v>3912047.2686444293</v>
      </c>
      <c r="Y35" s="47">
        <f t="shared" ca="1" si="23"/>
        <v>1537614.2640771586</v>
      </c>
      <c r="Z35" s="47">
        <f t="shared" ca="1" si="12"/>
        <v>3912048.1761862827</v>
      </c>
      <c r="AA35" s="47">
        <f t="shared" ca="1" si="13"/>
        <v>1537614.0935758613</v>
      </c>
      <c r="AB35" s="47">
        <f t="shared" ca="1" si="45"/>
        <v>0.92341913994849278</v>
      </c>
      <c r="AC35" s="47">
        <f ca="1">IF(ISNUMBER(Z35),SQRT(($Z35-OFFSET($Z$20,MATCH(CS_Start,$A$21:$A$48,0),0))^2+($AA35-OFFSET($AA$20,MATCH(CS_Start,$A$21:$A$48,0),0))^2),"")</f>
        <v>200.83260825427533</v>
      </c>
      <c r="AD35" s="47">
        <f t="shared" ca="1" si="46"/>
        <v>0</v>
      </c>
      <c r="AE35" s="47">
        <f t="shared" ca="1" si="29"/>
        <v>200.83</v>
      </c>
      <c r="AF35" s="47">
        <f t="shared" ca="1" si="25"/>
        <v>0</v>
      </c>
      <c r="AH35" s="44">
        <v>200.83</v>
      </c>
      <c r="AI35" s="44">
        <f ca="1">OFFSET($AF$22,MATCH(AH35,$AE$23:$AE$56,0),0)</f>
        <v>0</v>
      </c>
      <c r="AJ35" s="44" t="str">
        <f t="shared" ca="1" si="26"/>
        <v>200.83,0</v>
      </c>
    </row>
    <row r="36" spans="1:36" x14ac:dyDescent="0.25">
      <c r="A36" s="44">
        <v>16</v>
      </c>
      <c r="B36" s="48">
        <v>1.9626967592592592</v>
      </c>
      <c r="C36" s="48">
        <v>3.7505208333333333</v>
      </c>
      <c r="D36" s="44">
        <v>223.11</v>
      </c>
      <c r="E36" s="44">
        <v>12.1823</v>
      </c>
      <c r="F36" s="44"/>
      <c r="G36" s="43">
        <f t="shared" ref="G36:G37" si="47">C36*24</f>
        <v>90.012500000000003</v>
      </c>
      <c r="H36" s="43">
        <f t="shared" ref="H36:H37" si="48">RADIANS(G36)</f>
        <v>1.5710144929513958</v>
      </c>
      <c r="I36" s="43">
        <f t="shared" ref="I36:I37" si="49">B36*24</f>
        <v>47.104722222222222</v>
      </c>
      <c r="J36" s="49">
        <f t="shared" ref="J36:J37" si="50">RADIANS(I36)</f>
        <v>0.82213249601511784</v>
      </c>
      <c r="K36" s="49">
        <f t="shared" ref="K36:K37" si="51">D36*SIN(H36)</f>
        <v>223.10999469037563</v>
      </c>
      <c r="L36" s="46">
        <f t="shared" ref="L36:L37" si="52">D36*COS(H36)</f>
        <v>-4.8675050790413385E-2</v>
      </c>
      <c r="M36" s="45"/>
      <c r="N36" s="47">
        <f t="shared" ref="N36:N37" si="53">I36+M36</f>
        <v>47.104722222222222</v>
      </c>
      <c r="O36" s="47">
        <f t="shared" ca="1" si="20"/>
        <v>139.66434371962669</v>
      </c>
      <c r="P36" s="47">
        <f t="shared" ref="P36:P37" ca="1" si="54">SUM(N36,O36)</f>
        <v>186.76906594184891</v>
      </c>
      <c r="Q36" s="47">
        <f t="shared" ref="Q36:Q37" ca="1" si="55">RADIANS(P36)</f>
        <v>3.2597351415596676</v>
      </c>
      <c r="R36" s="47">
        <f t="shared" ref="R36:R37" ca="1" si="56">K36*SIN(Q36)</f>
        <v>-26.297494905793066</v>
      </c>
      <c r="S36" s="47">
        <f t="shared" ref="S36:S37" ca="1" si="57">K36*COS(Q36)</f>
        <v>-221.55475957970128</v>
      </c>
      <c r="T36" s="45">
        <f t="shared" ref="T36:T37" ca="1" si="58">Old_X0+R36</f>
        <v>3912042.9965050942</v>
      </c>
      <c r="U36" s="45">
        <f t="shared" ref="U36:U37" ca="1" si="59">Old_Y0+S36</f>
        <v>1537599.1122404202</v>
      </c>
      <c r="V36" s="47">
        <f t="shared" ref="V36:V37" si="60">Old_Z0+HI+L36-E36</f>
        <v>3398.6917249492099</v>
      </c>
      <c r="W36" s="47">
        <f t="shared" ref="W36:W37" ca="1" si="61">IF(ISNUMBER(T36),V36+dZ,"")</f>
        <v>3398.8902210060937</v>
      </c>
      <c r="X36" s="47">
        <f t="shared" ca="1" si="11"/>
        <v>3912042.9965050942</v>
      </c>
      <c r="Y36" s="47">
        <f t="shared" ref="Y36:Y37" ca="1" si="62">IF(ISNUMBER(X36),U36,"")</f>
        <v>1537599.1122404202</v>
      </c>
      <c r="Z36" s="47">
        <f t="shared" ca="1" si="12"/>
        <v>3912045.2809871063</v>
      </c>
      <c r="AA36" s="47">
        <f t="shared" ca="1" si="13"/>
        <v>1537598.6830512397</v>
      </c>
      <c r="AB36" s="47">
        <f t="shared" ref="AB36:AB37" ca="1" si="63">IF(ISNUMBER(X36),SQRT((X36-Z36)^2+(Y36-AA36)^2),"")</f>
        <v>2.3244486262274839</v>
      </c>
      <c r="AC36" s="47">
        <f ca="1">IF(ISNUMBER(Z36),SQRT(($Z36-OFFSET($Z$20,MATCH(CS_Start,$A$21:$A$48,0),0))^2+($AA36-OFFSET($AA$20,MATCH(CS_Start,$A$21:$A$48,0),0))^2),"")</f>
        <v>216.51273731573679</v>
      </c>
      <c r="AD36" s="47">
        <f t="shared" ref="AD36:AD37" ca="1" si="64">IF(ISNUMBER(X36),W36-Min_Z,"")</f>
        <v>2.8498037767144524</v>
      </c>
      <c r="AE36" s="47">
        <f t="shared" ca="1" si="29"/>
        <v>216.51</v>
      </c>
      <c r="AF36" s="47">
        <f t="shared" ca="1" si="25"/>
        <v>2.85</v>
      </c>
      <c r="AH36" s="44">
        <v>216.51</v>
      </c>
      <c r="AI36" s="44">
        <f ca="1">OFFSET($AF$22,MATCH(AH36,$AE$23:$AE$56,0),0)</f>
        <v>2.85</v>
      </c>
      <c r="AJ36" s="44" t="str">
        <f t="shared" ca="1" si="26"/>
        <v>216.51,2.85</v>
      </c>
    </row>
    <row r="37" spans="1:36" x14ac:dyDescent="0.25">
      <c r="A37" s="44">
        <v>17</v>
      </c>
      <c r="B37" s="48">
        <v>1.9797569444444445</v>
      </c>
      <c r="C37" s="48">
        <v>3.7405671296296297</v>
      </c>
      <c r="D37" s="44">
        <v>238.47800000000001</v>
      </c>
      <c r="E37" s="44">
        <v>12.1823</v>
      </c>
      <c r="F37" s="44"/>
      <c r="G37" s="43">
        <f t="shared" si="47"/>
        <v>89.773611111111109</v>
      </c>
      <c r="H37" s="43">
        <f t="shared" si="48"/>
        <v>1.5668450952938537</v>
      </c>
      <c r="I37" s="43">
        <f t="shared" si="49"/>
        <v>47.514166666666668</v>
      </c>
      <c r="J37" s="49">
        <f t="shared" si="50"/>
        <v>0.82927864967467246</v>
      </c>
      <c r="K37" s="49">
        <f t="shared" si="51"/>
        <v>238.47613841568432</v>
      </c>
      <c r="L37" s="46">
        <f t="shared" si="52"/>
        <v>0.94227933405423114</v>
      </c>
      <c r="M37" s="45"/>
      <c r="N37" s="47">
        <f t="shared" si="53"/>
        <v>47.514166666666668</v>
      </c>
      <c r="O37" s="47">
        <f t="shared" ca="1" si="20"/>
        <v>139.66434371962669</v>
      </c>
      <c r="P37" s="47">
        <f t="shared" ca="1" si="54"/>
        <v>187.17851038629334</v>
      </c>
      <c r="Q37" s="47">
        <f t="shared" ca="1" si="55"/>
        <v>3.2668812952192221</v>
      </c>
      <c r="R37" s="47">
        <f t="shared" ca="1" si="56"/>
        <v>-29.800244810518901</v>
      </c>
      <c r="S37" s="47">
        <f t="shared" ca="1" si="57"/>
        <v>-236.60687649113194</v>
      </c>
      <c r="T37" s="45">
        <f t="shared" ca="1" si="58"/>
        <v>3912039.4937551897</v>
      </c>
      <c r="U37" s="45">
        <f t="shared" ca="1" si="59"/>
        <v>1537584.0601235088</v>
      </c>
      <c r="V37" s="47">
        <f t="shared" si="60"/>
        <v>3399.6826793340542</v>
      </c>
      <c r="W37" s="47">
        <f t="shared" ca="1" si="61"/>
        <v>3399.8811753909381</v>
      </c>
      <c r="X37" s="47">
        <f t="shared" ca="1" si="11"/>
        <v>3912039.4937551897</v>
      </c>
      <c r="Y37" s="47">
        <f t="shared" ca="1" si="62"/>
        <v>1537584.0601235088</v>
      </c>
      <c r="Z37" s="47">
        <f t="shared" ca="1" si="12"/>
        <v>3912042.4301140783</v>
      </c>
      <c r="AA37" s="47">
        <f t="shared" ca="1" si="13"/>
        <v>1537583.5084652044</v>
      </c>
      <c r="AB37" s="47">
        <f t="shared" ca="1" si="63"/>
        <v>2.9877299756972304</v>
      </c>
      <c r="AC37" s="47">
        <f ca="1">IF(ISNUMBER(Z37),SQRT(($Z37-OFFSET($Z$20,MATCH(CS_Start,$A$21:$A$48,0),0))^2+($AA37-OFFSET($AA$20,MATCH(CS_Start,$A$21:$A$48,0),0))^2),"")</f>
        <v>231.95280008647808</v>
      </c>
      <c r="AD37" s="47">
        <f t="shared" ca="1" si="64"/>
        <v>3.8407581615588242</v>
      </c>
      <c r="AE37" s="47">
        <f t="shared" ca="1" si="29"/>
        <v>231.95</v>
      </c>
      <c r="AF37" s="47">
        <f t="shared" ca="1" si="25"/>
        <v>3.84</v>
      </c>
      <c r="AH37" s="44">
        <v>231.95</v>
      </c>
      <c r="AI37" s="44">
        <f ca="1">OFFSET($AF$22,MATCH(AH37,$AE$23:$AE$56,0),0)</f>
        <v>3.84</v>
      </c>
      <c r="AJ37" s="44" t="str">
        <f t="shared" ca="1" si="26"/>
        <v>231.95,3.84</v>
      </c>
    </row>
    <row r="38" spans="1:36" x14ac:dyDescent="0.25">
      <c r="A38" s="44">
        <v>18</v>
      </c>
      <c r="B38" s="48">
        <v>1.9845717592592591</v>
      </c>
      <c r="C38" s="48">
        <v>3.7327314814814816</v>
      </c>
      <c r="D38" s="44">
        <v>273.44400000000002</v>
      </c>
      <c r="E38" s="44">
        <v>12.1823</v>
      </c>
      <c r="F38" s="44"/>
      <c r="G38" s="43">
        <f t="shared" ref="G38:G41" si="65">C38*24</f>
        <v>89.585555555555558</v>
      </c>
      <c r="H38" s="43">
        <f t="shared" ref="H38:H41" si="66">RADIANS(G38)</f>
        <v>1.5635629066727423</v>
      </c>
      <c r="I38" s="43">
        <f t="shared" ref="I38:I41" si="67">B38*24</f>
        <v>47.62972222222222</v>
      </c>
      <c r="J38" s="49">
        <f t="shared" ref="J38:J41" si="68">RADIANS(I38)</f>
        <v>0.83129547458808806</v>
      </c>
      <c r="K38" s="49">
        <f t="shared" ref="K38:K41" si="69">D38*SIN(H38)</f>
        <v>273.43684641257619</v>
      </c>
      <c r="L38" s="46">
        <f t="shared" ref="L38:L41" si="70">D38*COS(H38)</f>
        <v>1.9779180835512011</v>
      </c>
      <c r="M38" s="45"/>
      <c r="N38" s="47">
        <f t="shared" ref="N38:N41" si="71">I38+M38</f>
        <v>47.62972222222222</v>
      </c>
      <c r="O38" s="47">
        <f t="shared" ca="1" si="20"/>
        <v>139.66434371962669</v>
      </c>
      <c r="P38" s="47">
        <f t="shared" ref="P38:P41" ca="1" si="72">SUM(N38,O38)</f>
        <v>187.29406594184891</v>
      </c>
      <c r="Q38" s="47">
        <f t="shared" ref="Q38:Q41" ca="1" si="73">RADIANS(P38)</f>
        <v>3.2688981201326381</v>
      </c>
      <c r="R38" s="47">
        <f t="shared" ref="R38:R41" ca="1" si="74">K38*SIN(Q38)</f>
        <v>-34.716055685491206</v>
      </c>
      <c r="S38" s="47">
        <f t="shared" ref="S38:S41" ca="1" si="75">K38*COS(Q38)</f>
        <v>-271.22408531267399</v>
      </c>
      <c r="T38" s="45">
        <f t="shared" ref="T38:T41" ca="1" si="76">Old_X0+R38</f>
        <v>3912034.5779443146</v>
      </c>
      <c r="U38" s="45">
        <f t="shared" ref="U38:U41" ca="1" si="77">Old_Y0+S38</f>
        <v>1537549.4429146873</v>
      </c>
      <c r="V38" s="47">
        <f t="shared" ref="V38:V41" si="78">Old_Z0+HI+L38-E38</f>
        <v>3400.7183180835514</v>
      </c>
      <c r="W38" s="47">
        <f t="shared" ref="W38:W41" ca="1" si="79">IF(ISNUMBER(T38),V38+dZ,"")</f>
        <v>3400.9168141404352</v>
      </c>
      <c r="X38" s="47">
        <f t="shared" ca="1" si="11"/>
        <v>3912034.5779443146</v>
      </c>
      <c r="Y38" s="47">
        <f t="shared" ref="Y38:Y41" ca="1" si="80">IF(ISNUMBER(X38),U38,"")</f>
        <v>1537549.4429146873</v>
      </c>
      <c r="Z38" s="47">
        <f t="shared" ca="1" si="12"/>
        <v>3912035.9806564986</v>
      </c>
      <c r="AA38" s="47">
        <f t="shared" ca="1" si="13"/>
        <v>1537549.1793849729</v>
      </c>
      <c r="AB38" s="47">
        <f t="shared" ref="AB38:AB41" ca="1" si="81">IF(ISNUMBER(X38),SQRT((X38-Z38)^2+(Y38-AA38)^2),"")</f>
        <v>1.4272523888724307</v>
      </c>
      <c r="AC38" s="47">
        <f ca="1">IF(ISNUMBER(Z38),SQRT(($Z38-OFFSET($Z$20,MATCH(CS_Start,$A$21:$A$48,0),0))^2+($AA38-OFFSET($AA$20,MATCH(CS_Start,$A$21:$A$48,0),0))^2),"")</f>
        <v>266.88246158803031</v>
      </c>
      <c r="AD38" s="47">
        <f t="shared" ref="AD38:AD41" ca="1" si="82">IF(ISNUMBER(X38),W38-Min_Z,"")</f>
        <v>4.8763969110559628</v>
      </c>
      <c r="AE38" s="47">
        <f t="shared" ca="1" si="29"/>
        <v>266.88</v>
      </c>
      <c r="AF38" s="47">
        <f t="shared" ca="1" si="25"/>
        <v>4.88</v>
      </c>
      <c r="AH38" s="44">
        <v>266.88</v>
      </c>
      <c r="AI38" s="44">
        <f ca="1">OFFSET($AF$22,MATCH(AH38,$AE$23:$AE$56,0),0)</f>
        <v>4.88</v>
      </c>
      <c r="AJ38" s="44" t="str">
        <f t="shared" ca="1" si="26"/>
        <v>266.88,4.88</v>
      </c>
    </row>
    <row r="39" spans="1:36" x14ac:dyDescent="0.25">
      <c r="A39" s="44">
        <v>19</v>
      </c>
      <c r="B39" s="48">
        <v>1.9179050925925925</v>
      </c>
      <c r="C39" s="48">
        <v>3.6920949074074074</v>
      </c>
      <c r="D39" s="44">
        <v>297.18599999999998</v>
      </c>
      <c r="E39" s="44">
        <v>12.1823</v>
      </c>
      <c r="F39" s="44"/>
      <c r="G39" s="43">
        <f t="shared" si="65"/>
        <v>88.610277777777782</v>
      </c>
      <c r="H39" s="43">
        <f t="shared" si="66"/>
        <v>1.5465410983289867</v>
      </c>
      <c r="I39" s="43">
        <f t="shared" si="67"/>
        <v>46.029722222222219</v>
      </c>
      <c r="J39" s="49">
        <f t="shared" si="68"/>
        <v>0.80337020655617875</v>
      </c>
      <c r="K39" s="49">
        <f t="shared" si="69"/>
        <v>297.09858463035573</v>
      </c>
      <c r="L39" s="46">
        <f t="shared" si="70"/>
        <v>7.2076075530889616</v>
      </c>
      <c r="M39" s="45"/>
      <c r="N39" s="47">
        <f t="shared" si="71"/>
        <v>46.029722222222219</v>
      </c>
      <c r="O39" s="47">
        <f t="shared" ca="1" si="20"/>
        <v>139.66434371962669</v>
      </c>
      <c r="P39" s="47">
        <f t="shared" ca="1" si="72"/>
        <v>185.69406594184892</v>
      </c>
      <c r="Q39" s="47">
        <f t="shared" ca="1" si="73"/>
        <v>3.2409728521007288</v>
      </c>
      <c r="R39" s="47">
        <f t="shared" ca="1" si="74"/>
        <v>-29.477138897813472</v>
      </c>
      <c r="S39" s="47">
        <f t="shared" ca="1" si="75"/>
        <v>-295.63265596303745</v>
      </c>
      <c r="T39" s="45">
        <f t="shared" ca="1" si="76"/>
        <v>3912039.8168611024</v>
      </c>
      <c r="U39" s="45">
        <f t="shared" ca="1" si="77"/>
        <v>1537525.0343440368</v>
      </c>
      <c r="V39" s="47">
        <f t="shared" si="78"/>
        <v>3405.9480075530892</v>
      </c>
      <c r="W39" s="47">
        <f t="shared" ca="1" si="79"/>
        <v>3406.146503609973</v>
      </c>
      <c r="X39" s="47">
        <f t="shared" ca="1" si="11"/>
        <v>3912039.8168611024</v>
      </c>
      <c r="Y39" s="47">
        <f t="shared" ca="1" si="80"/>
        <v>1537525.0343440368</v>
      </c>
      <c r="Z39" s="47">
        <f t="shared" ca="1" si="12"/>
        <v>3912031.7299244395</v>
      </c>
      <c r="AA39" s="47">
        <f t="shared" ca="1" si="13"/>
        <v>1537526.5536493771</v>
      </c>
      <c r="AB39" s="47">
        <f t="shared" ca="1" si="81"/>
        <v>8.2284162088909607</v>
      </c>
      <c r="AC39" s="47">
        <f ca="1">IF(ISNUMBER(Z39),SQRT(($Z39-OFFSET($Z$20,MATCH(CS_Start,$A$21:$A$48,0),0))^2+($AA39-OFFSET($AA$20,MATCH(CS_Start,$A$21:$A$48,0),0))^2),"")</f>
        <v>289.90403048093015</v>
      </c>
      <c r="AD39" s="47">
        <f t="shared" ca="1" si="82"/>
        <v>10.106086380593752</v>
      </c>
      <c r="AE39" s="47">
        <f t="shared" ca="1" si="29"/>
        <v>289.89999999999998</v>
      </c>
      <c r="AF39" s="47">
        <f t="shared" ca="1" si="25"/>
        <v>10.11</v>
      </c>
      <c r="AH39" s="44">
        <v>289.89999999999998</v>
      </c>
      <c r="AI39" s="44">
        <f ca="1">OFFSET($AF$22,MATCH(AH39,$AE$23:$AE$56,0),0)</f>
        <v>10.11</v>
      </c>
      <c r="AJ39" s="44" t="str">
        <f t="shared" ca="1" si="26"/>
        <v>289.9,10.11</v>
      </c>
    </row>
    <row r="40" spans="1:36" x14ac:dyDescent="0.25">
      <c r="A40" s="44">
        <v>20</v>
      </c>
      <c r="B40" s="48">
        <v>0.99322916666666661</v>
      </c>
      <c r="C40" s="48">
        <v>3.7436689814814819</v>
      </c>
      <c r="D40" s="44">
        <v>232.846</v>
      </c>
      <c r="E40" s="44">
        <v>12.1823</v>
      </c>
      <c r="F40" s="49" t="s">
        <v>83</v>
      </c>
      <c r="G40" s="43">
        <f t="shared" si="65"/>
        <v>89.848055555555561</v>
      </c>
      <c r="H40" s="43">
        <f t="shared" si="66"/>
        <v>1.5681443959592276</v>
      </c>
      <c r="I40" s="43">
        <f t="shared" si="67"/>
        <v>23.837499999999999</v>
      </c>
      <c r="J40" s="49">
        <f t="shared" si="68"/>
        <v>0.41604286044414829</v>
      </c>
      <c r="K40" s="49">
        <f t="shared" si="69"/>
        <v>232.84518122812182</v>
      </c>
      <c r="L40" s="46">
        <f t="shared" si="70"/>
        <v>0.61749076358655264</v>
      </c>
      <c r="M40" s="45"/>
      <c r="N40" s="47">
        <f t="shared" si="71"/>
        <v>23.837499999999999</v>
      </c>
      <c r="O40" s="47">
        <f t="shared" ca="1" si="20"/>
        <v>139.66434371962669</v>
      </c>
      <c r="P40" s="47">
        <f t="shared" ca="1" si="72"/>
        <v>163.50184371962669</v>
      </c>
      <c r="Q40" s="47">
        <f t="shared" ca="1" si="73"/>
        <v>2.8536455059886983</v>
      </c>
      <c r="R40" s="47">
        <f t="shared" ca="1" si="74"/>
        <v>66.124420207151758</v>
      </c>
      <c r="S40" s="47">
        <f t="shared" ca="1" si="75"/>
        <v>-223.25868286233552</v>
      </c>
      <c r="T40" s="45">
        <f t="shared" ca="1" si="76"/>
        <v>3912135.4184202072</v>
      </c>
      <c r="U40" s="45">
        <f t="shared" ca="1" si="77"/>
        <v>1537597.4083171375</v>
      </c>
      <c r="V40" s="47">
        <f t="shared" si="78"/>
        <v>3399.3578907635865</v>
      </c>
      <c r="W40" s="47">
        <f t="shared" ca="1" si="79"/>
        <v>3399.5563868204704</v>
      </c>
      <c r="X40" s="47" t="str">
        <f t="shared" si="11"/>
        <v/>
      </c>
      <c r="Y40" s="47" t="str">
        <f t="shared" si="80"/>
        <v/>
      </c>
      <c r="Z40" s="47" t="e">
        <f t="shared" si="12"/>
        <v>#N/A</v>
      </c>
      <c r="AA40" s="47" t="e">
        <f t="shared" si="13"/>
        <v>#N/A</v>
      </c>
      <c r="AB40" s="47" t="str">
        <f t="shared" si="81"/>
        <v/>
      </c>
      <c r="AC40" s="47" t="str">
        <f ca="1">IF(ISNUMBER(Z40),SQRT(($Z40-OFFSET($Z$20,MATCH(CS_Start,$A$21:$A$48,0),0))^2+($AA40-OFFSET($AA$20,MATCH(CS_Start,$A$21:$A$48,0),0))^2),"")</f>
        <v/>
      </c>
      <c r="AD40" s="47" t="str">
        <f t="shared" si="82"/>
        <v/>
      </c>
      <c r="AE40" s="47" t="e">
        <f t="shared" ca="1" si="29"/>
        <v>#VALUE!</v>
      </c>
      <c r="AF40" s="47" t="e">
        <f t="shared" si="25"/>
        <v>#VALUE!</v>
      </c>
      <c r="AH40" s="44"/>
      <c r="AI40" s="44">
        <f ca="1">OFFSET($AF$22,MATCH(AH40,$AE$23:$AE$56,0),0)</f>
        <v>9.84</v>
      </c>
      <c r="AJ40" s="44" t="str">
        <f t="shared" ca="1" si="26"/>
        <v>,9.84</v>
      </c>
    </row>
    <row r="41" spans="1:36" x14ac:dyDescent="0.25">
      <c r="A41" s="44">
        <v>21</v>
      </c>
      <c r="B41" s="48">
        <v>1.2812499999999999E-2</v>
      </c>
      <c r="C41" s="48">
        <v>3.7416550925925929</v>
      </c>
      <c r="D41" s="44">
        <v>180.27199999999999</v>
      </c>
      <c r="E41" s="44">
        <v>12.1823</v>
      </c>
      <c r="F41" s="49" t="s">
        <v>83</v>
      </c>
      <c r="G41" s="43">
        <f t="shared" si="65"/>
        <v>89.799722222222229</v>
      </c>
      <c r="H41" s="43">
        <f t="shared" si="66"/>
        <v>1.567300820154097</v>
      </c>
      <c r="I41" s="43">
        <f t="shared" si="67"/>
        <v>0.3075</v>
      </c>
      <c r="J41" s="49">
        <f t="shared" si="68"/>
        <v>5.3668874498825634E-3</v>
      </c>
      <c r="K41" s="49">
        <f t="shared" si="69"/>
        <v>180.27089866839549</v>
      </c>
      <c r="L41" s="46">
        <f t="shared" si="70"/>
        <v>0.63014068991239458</v>
      </c>
      <c r="M41" s="45"/>
      <c r="N41" s="47">
        <f t="shared" si="71"/>
        <v>0.3075</v>
      </c>
      <c r="O41" s="47">
        <f t="shared" ca="1" si="20"/>
        <v>139.66434371962669</v>
      </c>
      <c r="P41" s="47">
        <f t="shared" ca="1" si="72"/>
        <v>139.97184371962669</v>
      </c>
      <c r="Q41" s="47">
        <f t="shared" ca="1" si="73"/>
        <v>2.4429695329944323</v>
      </c>
      <c r="R41" s="47">
        <f t="shared" ca="1" si="74"/>
        <v>115.94374892931842</v>
      </c>
      <c r="S41" s="47">
        <f t="shared" ca="1" si="75"/>
        <v>-138.03855979734826</v>
      </c>
      <c r="T41" s="45">
        <f t="shared" ca="1" si="76"/>
        <v>3912185.2377489298</v>
      </c>
      <c r="U41" s="45">
        <f t="shared" ca="1" si="77"/>
        <v>1537682.6284402024</v>
      </c>
      <c r="V41" s="47">
        <f t="shared" si="78"/>
        <v>3399.3705406899126</v>
      </c>
      <c r="W41" s="47">
        <f t="shared" ca="1" si="79"/>
        <v>3399.5690367467964</v>
      </c>
      <c r="X41" s="47" t="str">
        <f t="shared" si="11"/>
        <v/>
      </c>
      <c r="Y41" s="47" t="str">
        <f t="shared" si="80"/>
        <v/>
      </c>
      <c r="Z41" s="47" t="e">
        <f t="shared" si="12"/>
        <v>#N/A</v>
      </c>
      <c r="AA41" s="47" t="e">
        <f t="shared" si="13"/>
        <v>#N/A</v>
      </c>
      <c r="AB41" s="47" t="str">
        <f t="shared" si="81"/>
        <v/>
      </c>
      <c r="AC41" s="47" t="str">
        <f ca="1">IF(ISNUMBER(Z41),SQRT(($Z41-OFFSET($Z$20,MATCH(CS_Start,$A$21:$A$48,0),0))^2+($AA41-OFFSET($AA$20,MATCH(CS_Start,$A$21:$A$48,0),0))^2),"")</f>
        <v/>
      </c>
      <c r="AD41" s="47" t="str">
        <f t="shared" si="82"/>
        <v/>
      </c>
      <c r="AE41" s="47" t="e">
        <f t="shared" ca="1" si="29"/>
        <v>#VALUE!</v>
      </c>
      <c r="AF41" s="47" t="e">
        <f t="shared" si="25"/>
        <v>#VALUE!</v>
      </c>
      <c r="AI41" s="44">
        <f ca="1">OFFSET($AF$22,MATCH(AH41,$AE$23:$AE$56,0),0)</f>
        <v>9.84</v>
      </c>
      <c r="AJ41" s="44" t="str">
        <f t="shared" ca="1" si="26"/>
        <v>,9.84</v>
      </c>
    </row>
    <row r="42" spans="1:36" x14ac:dyDescent="0.25">
      <c r="A42" s="44">
        <v>22</v>
      </c>
      <c r="B42" s="48">
        <v>14.551516203703704</v>
      </c>
      <c r="C42" s="48">
        <v>3.7598032407407409</v>
      </c>
      <c r="D42" s="44">
        <v>276.346</v>
      </c>
      <c r="E42" s="44">
        <v>4.9062000000000001</v>
      </c>
      <c r="F42" s="49" t="s">
        <v>70</v>
      </c>
      <c r="G42" s="43">
        <f t="shared" ref="G42:G43" si="83">C42*24</f>
        <v>90.235277777777782</v>
      </c>
      <c r="H42" s="43">
        <f t="shared" ref="H42:H43" si="84">RADIANS(G42)</f>
        <v>1.5749026986738945</v>
      </c>
      <c r="I42" s="43">
        <f t="shared" ref="I42:I43" si="85">B42*24</f>
        <v>349.23638888888888</v>
      </c>
      <c r="J42" s="49">
        <f t="shared" ref="J42:J43" si="86">RADIANS(I42)</f>
        <v>6.095324853886452</v>
      </c>
      <c r="K42" s="49">
        <f t="shared" ref="K42:K43" si="87">D42*SIN(H42)</f>
        <v>276.34367009007661</v>
      </c>
      <c r="L42" s="46">
        <f t="shared" ref="L42:L43" si="88">D42*COS(H42)</f>
        <v>-1.1347762541129038</v>
      </c>
      <c r="M42" s="45"/>
      <c r="N42" s="47">
        <f t="shared" ref="N42:N43" si="89">I42+M42</f>
        <v>349.23638888888888</v>
      </c>
      <c r="O42" s="47">
        <f t="shared" ca="1" si="20"/>
        <v>139.66434371962669</v>
      </c>
      <c r="P42" s="47">
        <f t="shared" ref="P42:P43" ca="1" si="90">SUM(N42,O42)</f>
        <v>488.90073260851557</v>
      </c>
      <c r="Q42" s="47">
        <f t="shared" ref="Q42:Q43" ca="1" si="91">RADIANS(P42)</f>
        <v>8.5329274994310023</v>
      </c>
      <c r="R42" s="47">
        <f t="shared" ref="R42:R43" ca="1" si="92">K42*SIN(Q42)</f>
        <v>215.06034899299686</v>
      </c>
      <c r="S42" s="47">
        <f t="shared" ref="S42:S43" ca="1" si="93">K42*COS(Q42)</f>
        <v>-173.53636590024439</v>
      </c>
      <c r="T42" s="45">
        <f t="shared" ref="T42:T43" ca="1" si="94">Old_X0+R42</f>
        <v>3912284.3543489934</v>
      </c>
      <c r="U42" s="45">
        <f t="shared" ref="U42:U43" ca="1" si="95">Old_Y0+S42</f>
        <v>1537647.1306340997</v>
      </c>
      <c r="V42" s="47">
        <f t="shared" ref="V42:V43" si="96">Old_Z0+HI+L42-E42</f>
        <v>3404.8817237458875</v>
      </c>
      <c r="W42" s="47">
        <f t="shared" ref="W42:W43" ca="1" si="97">IF(ISNUMBER(T42),V42+dZ,"")</f>
        <v>3405.0802198027714</v>
      </c>
      <c r="X42" s="47" t="str">
        <f t="shared" si="11"/>
        <v/>
      </c>
      <c r="Y42" s="47" t="str">
        <f t="shared" ref="Y42:Y43" si="98">IF(ISNUMBER(X42),U42,"")</f>
        <v/>
      </c>
      <c r="Z42" s="47" t="e">
        <f t="shared" si="12"/>
        <v>#N/A</v>
      </c>
      <c r="AA42" s="47" t="e">
        <f t="shared" si="13"/>
        <v>#N/A</v>
      </c>
      <c r="AB42" s="47" t="str">
        <f t="shared" ref="AB42:AB43" si="99">IF(ISNUMBER(X42),SQRT((X42-Z42)^2+(Y42-AA42)^2),"")</f>
        <v/>
      </c>
      <c r="AC42" s="47" t="str">
        <f ca="1">IF(ISNUMBER(Z42),SQRT(($Z42-OFFSET($Z$20,MATCH(CS_Start,$A$21:$A$48,0),0))^2+($AA42-OFFSET($AA$20,MATCH(CS_Start,$A$21:$A$48,0),0))^2),"")</f>
        <v/>
      </c>
      <c r="AD42" s="47" t="str">
        <f t="shared" ref="AD42:AD43" si="100">IF(ISNUMBER(X42),W42-Min_Z,"")</f>
        <v/>
      </c>
      <c r="AE42" s="47" t="e">
        <f t="shared" ca="1" si="29"/>
        <v>#VALUE!</v>
      </c>
      <c r="AF42" s="47" t="e">
        <f t="shared" si="25"/>
        <v>#VALUE!</v>
      </c>
      <c r="AI42" s="44">
        <f ca="1">OFFSET($AF$22,MATCH(AH42,$AE$23:$AE$56,0),0)</f>
        <v>9.84</v>
      </c>
      <c r="AJ42" s="44" t="str">
        <f t="shared" ca="1" si="26"/>
        <v>,9.84</v>
      </c>
    </row>
    <row r="43" spans="1:36" x14ac:dyDescent="0.25">
      <c r="A43" s="44">
        <v>23</v>
      </c>
      <c r="B43" s="48">
        <v>2.3148148148148147E-5</v>
      </c>
      <c r="C43" s="48">
        <v>3.7605092592592588</v>
      </c>
      <c r="D43" s="44">
        <v>179.86199999999999</v>
      </c>
      <c r="E43" s="44">
        <v>4.9062000000000001</v>
      </c>
      <c r="F43" s="49" t="s">
        <v>69</v>
      </c>
      <c r="G43" s="43">
        <f t="shared" si="83"/>
        <v>90.252222222222215</v>
      </c>
      <c r="H43" s="43">
        <f t="shared" si="84"/>
        <v>1.5751984350193711</v>
      </c>
      <c r="I43" s="43">
        <f t="shared" si="85"/>
        <v>5.5555555555555556E-4</v>
      </c>
      <c r="J43" s="49">
        <f t="shared" si="86"/>
        <v>9.6962736221907197E-6</v>
      </c>
      <c r="K43" s="49">
        <f t="shared" si="87"/>
        <v>179.86025726982092</v>
      </c>
      <c r="L43" s="46">
        <f t="shared" si="88"/>
        <v>-0.79176943223981999</v>
      </c>
      <c r="M43" s="45"/>
      <c r="N43" s="47">
        <f t="shared" si="89"/>
        <v>5.5555555555555556E-4</v>
      </c>
      <c r="O43" s="47">
        <f t="shared" ca="1" si="20"/>
        <v>139.66434371962669</v>
      </c>
      <c r="P43" s="47">
        <f t="shared" ca="1" si="90"/>
        <v>139.66489927518225</v>
      </c>
      <c r="Q43" s="47">
        <f t="shared" ca="1" si="91"/>
        <v>2.4376123418181721</v>
      </c>
      <c r="R43" s="47">
        <f t="shared" ca="1" si="92"/>
        <v>116.41579011388723</v>
      </c>
      <c r="S43" s="47">
        <f t="shared" ca="1" si="93"/>
        <v>-137.10242870688151</v>
      </c>
      <c r="T43" s="45">
        <f t="shared" ca="1" si="94"/>
        <v>3912185.7097901143</v>
      </c>
      <c r="U43" s="45">
        <f t="shared" ca="1" si="95"/>
        <v>1537683.5645712931</v>
      </c>
      <c r="V43" s="47">
        <f t="shared" si="96"/>
        <v>3405.2247305677602</v>
      </c>
      <c r="W43" s="47">
        <f t="shared" ca="1" si="97"/>
        <v>3405.423226624644</v>
      </c>
      <c r="X43" s="47" t="str">
        <f t="shared" si="11"/>
        <v/>
      </c>
      <c r="Y43" s="47" t="str">
        <f t="shared" si="98"/>
        <v/>
      </c>
      <c r="Z43" s="47" t="e">
        <f t="shared" si="12"/>
        <v>#N/A</v>
      </c>
      <c r="AA43" s="47" t="e">
        <f t="shared" si="13"/>
        <v>#N/A</v>
      </c>
      <c r="AB43" s="47" t="str">
        <f t="shared" si="99"/>
        <v/>
      </c>
      <c r="AC43" s="47" t="str">
        <f ca="1">IF(ISNUMBER(Z43),SQRT(($Z43-OFFSET($Z$20,MATCH(CS_Start,$A$21:$A$48,0),0))^2+($AA43-OFFSET($AA$20,MATCH(CS_Start,$A$21:$A$48,0),0))^2),"")</f>
        <v/>
      </c>
      <c r="AD43" s="47" t="str">
        <f t="shared" si="100"/>
        <v/>
      </c>
      <c r="AE43" s="47" t="e">
        <f t="shared" ca="1" si="29"/>
        <v>#VALUE!</v>
      </c>
      <c r="AF43" s="47" t="e">
        <f t="shared" si="25"/>
        <v>#VALUE!</v>
      </c>
      <c r="AI43" s="44">
        <f ca="1">OFFSET($AF$22,MATCH(AH43,$AE$23:$AE$56,0),0)</f>
        <v>9.84</v>
      </c>
      <c r="AJ43" s="44" t="str">
        <f t="shared" ca="1" si="26"/>
        <v>,9.84</v>
      </c>
    </row>
    <row r="44" spans="1:36" x14ac:dyDescent="0.25">
      <c r="A44" s="44"/>
      <c r="B44" s="48"/>
      <c r="C44" s="48"/>
      <c r="D44" s="44"/>
      <c r="E44" s="44"/>
      <c r="F44" s="44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4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4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9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9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4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50"/>
      <c r="D53" s="44"/>
      <c r="E53" s="44"/>
      <c r="F53" s="50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48"/>
      <c r="D56" s="44"/>
      <c r="E56" s="44"/>
      <c r="F56" s="44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9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  <c r="AH57" s="44"/>
      <c r="AI57" s="44"/>
      <c r="AJ57" s="44"/>
    </row>
    <row r="58" spans="1:36" x14ac:dyDescent="0.25">
      <c r="A58" s="44"/>
      <c r="B58" s="48"/>
      <c r="C58" s="48"/>
      <c r="D58" s="44"/>
      <c r="E58" s="44"/>
      <c r="F58" s="49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  <c r="AH58" s="44"/>
      <c r="AI58" s="44"/>
      <c r="AJ58" s="44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V59" s="2"/>
      <c r="W59" s="13"/>
      <c r="X59" s="2"/>
      <c r="Y59" s="2"/>
      <c r="Z59" s="2"/>
      <c r="AH59" s="44"/>
      <c r="AI59" s="44"/>
      <c r="AJ59" s="44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V60" s="2"/>
      <c r="W60" s="13"/>
      <c r="X60" s="2"/>
      <c r="Y60" s="2"/>
      <c r="Z60" s="2"/>
      <c r="AH60" s="44"/>
      <c r="AI60" s="44"/>
      <c r="AJ60" s="44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V61" s="2"/>
      <c r="W61" s="13"/>
      <c r="X61" s="2"/>
      <c r="Y61" s="2"/>
      <c r="Z61" s="2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</row>
    <row r="65" spans="1:27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A65" s="2"/>
    </row>
    <row r="66" spans="1:27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A66" s="2"/>
    </row>
    <row r="67" spans="1:27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  <c r="AA67" s="2"/>
    </row>
    <row r="68" spans="1:27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W68" s="2"/>
      <c r="X68" s="13"/>
      <c r="Y68" s="2"/>
      <c r="Z68" s="2"/>
      <c r="AA68" s="2"/>
    </row>
    <row r="69" spans="1:27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W69" s="2"/>
      <c r="X69" s="13"/>
      <c r="Y69" s="2"/>
      <c r="Z69" s="2"/>
      <c r="AA69" s="2"/>
    </row>
    <row r="70" spans="1:27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W70" s="2"/>
      <c r="X70" s="13"/>
      <c r="Y70" s="2"/>
      <c r="Z70" s="2"/>
      <c r="AA70" s="2"/>
    </row>
    <row r="71" spans="1:27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  <row r="74" spans="1:27" x14ac:dyDescent="0.25">
      <c r="A74" s="17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27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27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27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27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27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27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</sheetData>
  <sortState ref="AH23:AH39">
    <sortCondition ref="AH23"/>
  </sortState>
  <mergeCells count="20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  <mergeCell ref="A1:B1"/>
    <mergeCell ref="A6:B6"/>
    <mergeCell ref="A7:B7"/>
    <mergeCell ref="A4:B4"/>
    <mergeCell ref="A3:B3"/>
    <mergeCell ref="A2:B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3912069.2940000002</v>
      </c>
      <c r="C2" s="33">
        <f>IF(ISNUMBER(Calculations!O4),CONVERT(Calculations!O4,Units_In,Units_Out),"")</f>
        <v>1537820.6669999999</v>
      </c>
      <c r="D2" s="33" t="s">
        <v>60</v>
      </c>
      <c r="E2" s="10" t="str">
        <f>CONCATENATE("0503 ",B2,"EUSft ",C2,"NUSft")</f>
        <v>0503 3912069.294EUSft 1537820.667NUSft</v>
      </c>
      <c r="F2" s="34">
        <v>98</v>
      </c>
      <c r="G2" s="10" t="str">
        <f>IF(F2=98,"Lime",IF(F2=94,"Yellow",""))</f>
        <v>Lime</v>
      </c>
      <c r="H2" s="10" t="str">
        <f>Calculations!$A$1</f>
        <v>DSS9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3912198.5279999999</v>
      </c>
      <c r="C3" s="33">
        <f>IF(ISNUMBER(Calculations!O5),CONVERT(Calculations!O5,Units_In,Units_Out),"")</f>
        <v>1537694.6410000001</v>
      </c>
      <c r="D3" s="33" t="s">
        <v>60</v>
      </c>
      <c r="E3" s="10" t="str">
        <f t="shared" ref="E3:E4" si="0">CONCATENATE("0503 ",B3,"EUSft ",C3,"NUSft")</f>
        <v>0503 3912198.528EUSft 1537694.641NUSft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DSS9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3912300.7239999999</v>
      </c>
      <c r="C4" s="33">
        <f>IF(ISNUMBER(Calculations!O6),CONVERT(Calculations!O6,Units_In,Units_Out),"")</f>
        <v>1537663.49</v>
      </c>
      <c r="D4" s="33" t="s">
        <v>60</v>
      </c>
      <c r="E4" s="10" t="str">
        <f t="shared" si="0"/>
        <v>0503 3912300.724EUSft 1537663.49NUSft</v>
      </c>
      <c r="F4" s="34">
        <v>98</v>
      </c>
      <c r="G4" s="10" t="str">
        <f t="shared" si="1"/>
        <v>Lime</v>
      </c>
      <c r="H4" s="10" t="str">
        <f>Calculations!$A$1</f>
        <v>DSS9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3912185.7059288099</v>
      </c>
      <c r="C5" s="33">
        <f ca="1">IF(ISNUMBER(A5),CONVERT(Calculations!U21,Units_In,Units_Out),"")</f>
        <v>1537683.5731601454</v>
      </c>
      <c r="D5" s="33" t="str">
        <f>IF(ISTEXT(Calculations!F21),Calculations!F21,"")</f>
        <v>BS/ZERO</v>
      </c>
      <c r="E5" t="str">
        <f ca="1">IF(ISNUMBER(A5),CONCATENATE("0503 ",B5,"EUSft ",C5,"NUSft"),"")</f>
        <v>0503 3912185.70592881EUSft 1537683.57316015NUSft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DSS9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3912284.3030712958</v>
      </c>
      <c r="C6" s="33">
        <f ca="1">IF(ISNUMBER(A6),CONVERT(Calculations!U22,Units_In,Units_Out),"")</f>
        <v>1537647.2374037344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3912284.3030713EUSft 1537647.23740373NUSft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DSS9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3912087.974090864</v>
      </c>
      <c r="C7" s="33">
        <f ca="1">IF(ISNUMBER(A7),CONVERT(Calculations!U23,Units_In,Units_Out),"")</f>
        <v>1537810.9628214634</v>
      </c>
      <c r="D7" s="33" t="str">
        <f>IF(ISTEXT(Calculations!F23),Calculations!F23,"")</f>
        <v/>
      </c>
      <c r="E7" s="10" t="str">
        <f t="shared" ca="1" si="2"/>
        <v>0503 3912087.97409086EUSft 1537810.96282146NUSft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DSS9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3912084.5382757797</v>
      </c>
      <c r="C8" s="33">
        <f ca="1">IF(ISNUMBER(A8),CONVERT(Calculations!U24,Units_In,Units_Out),"")</f>
        <v>1537798.0610804853</v>
      </c>
      <c r="D8" s="33" t="str">
        <f>IF(ISTEXT(Calculations!F24),Calculations!F24,"")</f>
        <v/>
      </c>
      <c r="E8" s="10" t="str">
        <f t="shared" ca="1" si="2"/>
        <v>0503 3912084.53827578EUSft 1537798.06108049NUSft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DSS9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3912082.6555020199</v>
      </c>
      <c r="C9" s="33">
        <f ca="1">IF(ISNUMBER(A9),CONVERT(Calculations!U25,Units_In,Units_Out),"")</f>
        <v>1537793.9083876992</v>
      </c>
      <c r="D9" s="33" t="str">
        <f>IF(ISTEXT(Calculations!F25),Calculations!F25,"")</f>
        <v/>
      </c>
      <c r="E9" s="10" t="str">
        <f t="shared" ca="1" si="2"/>
        <v>0503 3912082.65550202EUSft 1537793.9083877NUSft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DSS9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3912080.6449403171</v>
      </c>
      <c r="C10" s="33">
        <f ca="1">IF(ISNUMBER(A10),CONVERT(Calculations!U26,Units_In,Units_Out),"")</f>
        <v>1537791.0514636622</v>
      </c>
      <c r="D10" s="33" t="str">
        <f>IF(ISTEXT(Calculations!F26),Calculations!F26,"")</f>
        <v/>
      </c>
      <c r="E10" s="10" t="str">
        <f t="shared" ca="1" si="2"/>
        <v>0503 3912080.64494032EUSft 1537791.05146366NUSft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DSS9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3912079.9861266678</v>
      </c>
      <c r="C11" s="33">
        <f ca="1">IF(ISNUMBER(A11),CONVERT(Calculations!U27,Units_In,Units_Out),"")</f>
        <v>1537788.2047305563</v>
      </c>
      <c r="D11" s="33" t="str">
        <f>IF(ISTEXT(Calculations!F27),Calculations!F27,"")</f>
        <v/>
      </c>
      <c r="E11" s="10" t="str">
        <f t="shared" ca="1" si="2"/>
        <v>0503 3912079.98612667EUSft 1537788.20473056NUSft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DSS9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3912078.4598312154</v>
      </c>
      <c r="C12" s="33">
        <f ca="1">IF(ISNUMBER(A12),CONVERT(Calculations!U28,Units_In,Units_Out),"")</f>
        <v>1537785.2298699399</v>
      </c>
      <c r="D12" s="33" t="str">
        <f>IF(ISTEXT(Calculations!F28),Calculations!F28,"")</f>
        <v>WS</v>
      </c>
      <c r="E12" s="10" t="str">
        <f t="shared" ca="1" si="2"/>
        <v>0503 3912078.45983122EUSft 1537785.22986994NUSft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DSS9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3912078.4015016975</v>
      </c>
      <c r="C13" s="33">
        <f ca="1">IF(ISNUMBER(A13),CONVERT(Calculations!U29,Units_In,Units_Out),"")</f>
        <v>1537782.9004412119</v>
      </c>
      <c r="D13" s="33" t="str">
        <f>IF(ISTEXT(Calculations!F29),Calculations!F29,"")</f>
        <v/>
      </c>
      <c r="E13" s="10" t="str">
        <f t="shared" ca="1" si="2"/>
        <v>0503 3912078.4015017EUSft 1537782.90044121NUSft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DSS9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3912071.7149394425</v>
      </c>
      <c r="C14" s="33">
        <f ca="1">IF(ISNUMBER(A14),CONVERT(Calculations!U30,Units_In,Units_Out),"")</f>
        <v>1537753.6539445836</v>
      </c>
      <c r="D14" s="33" t="str">
        <f>IF(ISTEXT(Calculations!F30),Calculations!F30,"")</f>
        <v/>
      </c>
      <c r="E14" s="10" t="str">
        <f t="shared" ca="1" si="2"/>
        <v>0503 3912071.71493944EUSft 1537753.65394458NUSft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DSS9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3912069.1089380514</v>
      </c>
      <c r="C15" s="33">
        <f ca="1">IF(ISNUMBER(A15),CONVERT(Calculations!U31,Units_In,Units_Out),"")</f>
        <v>1537730.3491187757</v>
      </c>
      <c r="D15" s="33" t="str">
        <f>IF(ISTEXT(Calculations!F31),Calculations!F31,"")</f>
        <v/>
      </c>
      <c r="E15" s="10" t="str">
        <f t="shared" ca="1" si="2"/>
        <v>0503 3912069.10893805EUSft 1537730.34911878NUSft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DSS9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3912069.4236148736</v>
      </c>
      <c r="C16" s="33">
        <f ca="1">IF(ISNUMBER(A16),CONVERT(Calculations!U32,Units_In,Units_Out),"")</f>
        <v>1537725.9838903376</v>
      </c>
      <c r="D16" s="33" t="str">
        <f>IF(ISTEXT(Calculations!F32),Calculations!F32,"")</f>
        <v>WS</v>
      </c>
      <c r="E16" s="10" t="str">
        <f t="shared" ca="1" si="2"/>
        <v>0503 3912069.42361487EUSft 1537725.98389034NUSft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DSS9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3912068.9295648611</v>
      </c>
      <c r="C17" s="33">
        <f ca="1">IF(ISNUMBER(A17),CONVERT(Calculations!U33,Units_In,Units_Out),"")</f>
        <v>1537719.7187830263</v>
      </c>
      <c r="D17" s="33" t="str">
        <f>IF(ISTEXT(Calculations!F33),Calculations!F33,"")</f>
        <v/>
      </c>
      <c r="E17" s="10" t="str">
        <f t="shared" ca="1" si="2"/>
        <v>0503 3912068.92956486EUSft 1537719.71878303NUSft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DSS9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3912062.6587751275</v>
      </c>
      <c r="C18" s="33">
        <f ca="1">IF(ISNUMBER(A18),CONVERT(Calculations!U34,Units_In,Units_Out),"")</f>
        <v>1537682.6499974567</v>
      </c>
      <c r="D18" s="33" t="str">
        <f>IF(ISTEXT(Calculations!F34),Calculations!F34,"")</f>
        <v/>
      </c>
      <c r="E18" s="10" t="str">
        <f t="shared" ca="1" si="2"/>
        <v>0503 3912062.65877513EUSft 1537682.64999746NUSft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DSS9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3912047.2686444293</v>
      </c>
      <c r="C19" s="33">
        <f ca="1">IF(ISNUMBER(A19),CONVERT(Calculations!U35,Units_In,Units_Out),"")</f>
        <v>1537614.2640771589</v>
      </c>
      <c r="D19" s="33" t="str">
        <f>IF(ISTEXT(Calculations!F35),Calculations!F35,"")</f>
        <v/>
      </c>
      <c r="E19" s="10" t="str">
        <f t="shared" ca="1" si="2"/>
        <v>0503 3912047.26864443EUSft 1537614.26407716NUSft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DSS9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3912042.9965050947</v>
      </c>
      <c r="C20" s="33">
        <f ca="1">IF(ISNUMBER(A20),CONVERT(Calculations!U36,Units_In,Units_Out),"")</f>
        <v>1537599.1122404202</v>
      </c>
      <c r="D20" s="33" t="str">
        <f>IF(ISTEXT(Calculations!F36),Calculations!F36,"")</f>
        <v/>
      </c>
      <c r="E20" s="10" t="str">
        <f t="shared" ca="1" si="2"/>
        <v>0503 3912042.99650509EUSft 1537599.11224042NUSft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DSS9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3912039.4937551897</v>
      </c>
      <c r="C21" s="33">
        <f ca="1">IF(ISNUMBER(A21),CONVERT(Calculations!U37,Units_In,Units_Out),"")</f>
        <v>1537584.0601235088</v>
      </c>
      <c r="D21" s="33" t="str">
        <f>IF(ISTEXT(Calculations!F37),Calculations!F37,"")</f>
        <v/>
      </c>
      <c r="E21" s="10" t="str">
        <f t="shared" ca="1" si="2"/>
        <v>0503 3912039.49375519EUSft 1537584.06012351NUSft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DSS9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3912034.5779443141</v>
      </c>
      <c r="C22" s="33">
        <f ca="1">IF(ISNUMBER(A22),CONVERT(Calculations!U38,Units_In,Units_Out),"")</f>
        <v>1537549.4429146873</v>
      </c>
      <c r="D22" s="33" t="str">
        <f>IF(ISTEXT(Calculations!F38),Calculations!F38,"")</f>
        <v/>
      </c>
      <c r="E22" s="10" t="str">
        <f t="shared" ca="1" si="2"/>
        <v>0503 3912034.57794431EUSft 1537549.44291469NUSft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DSS9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3912039.8168611024</v>
      </c>
      <c r="C23" s="33">
        <f ca="1">IF(ISNUMBER(A23),CONVERT(Calculations!U39,Units_In,Units_Out),"")</f>
        <v>1537525.0343440368</v>
      </c>
      <c r="D23" s="33" t="str">
        <f>IF(ISTEXT(Calculations!F39),Calculations!F39,"")</f>
        <v/>
      </c>
      <c r="E23" s="10" t="str">
        <f t="shared" ca="1" si="2"/>
        <v>0503 3912039.8168611EUSft 1537525.03434404NUSft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DSS9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3912135.4184202072</v>
      </c>
      <c r="C24" s="33">
        <f ca="1">IF(ISNUMBER(A24),CONVERT(Calculations!U40,Units_In,Units_Out),"")</f>
        <v>1537597.4083171375</v>
      </c>
      <c r="D24" s="33" t="str">
        <f>IF(ISTEXT(Calculations!F40),Calculations!F40,"")</f>
        <v>DAM</v>
      </c>
      <c r="E24" s="10" t="str">
        <f t="shared" ca="1" si="2"/>
        <v>0503 3912135.41842021EUSft 1537597.40831714NUSft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DSS9</v>
      </c>
    </row>
    <row r="25" spans="1:8" x14ac:dyDescent="0.25">
      <c r="A25" s="10">
        <f>IF(ISNUMBER(Calculations!A41),Calculations!A41,"")</f>
        <v>21</v>
      </c>
      <c r="B25" s="33">
        <f ca="1">IF(ISNUMBER(A25),CONVERT(Calculations!T41,Units_In,Units_Out),"")</f>
        <v>3912185.2377489298</v>
      </c>
      <c r="C25" s="33">
        <f ca="1">IF(ISNUMBER(A25),CONVERT(Calculations!U41,Units_In,Units_Out),"")</f>
        <v>1537682.6284402024</v>
      </c>
      <c r="D25" s="33" t="str">
        <f>IF(ISTEXT(Calculations!F41),Calculations!F41,"")</f>
        <v>DAM</v>
      </c>
      <c r="E25" s="10" t="str">
        <f t="shared" ca="1" si="2"/>
        <v>0503 3912185.23774893EUSft 1537682.6284402NUSft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DSS9</v>
      </c>
    </row>
    <row r="26" spans="1:8" x14ac:dyDescent="0.25">
      <c r="A26" s="10">
        <f>IF(ISNUMBER(Calculations!A42),Calculations!A42,"")</f>
        <v>22</v>
      </c>
      <c r="B26" s="33">
        <f ca="1">IF(ISNUMBER(A26),CONVERT(Calculations!T42,Units_In,Units_Out),"")</f>
        <v>3912284.3543489934</v>
      </c>
      <c r="C26" s="33">
        <f ca="1">IF(ISNUMBER(A26),CONVERT(Calculations!U42,Units_In,Units_Out),"")</f>
        <v>1537647.1306340997</v>
      </c>
      <c r="D26" s="33" t="str">
        <f>IF(ISTEXT(Calculations!F42),Calculations!F42,"")</f>
        <v>PT2</v>
      </c>
      <c r="E26" s="10" t="str">
        <f t="shared" ca="1" si="2"/>
        <v>0503 3912284.35434899EUSft 1537647.1306341NUSft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DSS9</v>
      </c>
    </row>
    <row r="27" spans="1:8" x14ac:dyDescent="0.25">
      <c r="A27" s="10">
        <f>IF(ISNUMBER(Calculations!A43),Calculations!A43,"")</f>
        <v>23</v>
      </c>
      <c r="B27" s="33">
        <f ca="1">IF(ISNUMBER(A27),CONVERT(Calculations!T43,Units_In,Units_Out),"")</f>
        <v>3912185.7097901143</v>
      </c>
      <c r="C27" s="33">
        <f ca="1">IF(ISNUMBER(A27),CONVERT(Calculations!U43,Units_In,Units_Out),"")</f>
        <v>1537683.5645712931</v>
      </c>
      <c r="D27" s="33" t="str">
        <f>IF(ISTEXT(Calculations!F43),Calculations!F43,"")</f>
        <v>PT1</v>
      </c>
      <c r="E27" s="10" t="str">
        <f t="shared" ca="1" si="2"/>
        <v>0503 3912185.70979011EUSft 1537683.56457129NUSft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DSS9</v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IF(ISNUMBER(Calculations!A44),Calculations!A44,"")</f>
        <v/>
      </c>
      <c r="B31" s="33" t="str">
        <f>IF(ISNUMBER(A31),CONVERT(Calculations!T44,Units_In,Units_Out),"")</f>
        <v/>
      </c>
      <c r="C31" s="33" t="str">
        <f>IF(ISNUMBER(A31),CONVERT(Calculations!U44,Units_In,Units_Out),"")</f>
        <v/>
      </c>
      <c r="D31" s="33" t="str">
        <f>IF(ISTEXT(Calculations!F44),Calculations!F44,"")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IF(ISNUMBER(Calculations!A45),Calculations!A45,"")</f>
        <v/>
      </c>
      <c r="B32" s="33" t="str">
        <f>IF(ISNUMBER(A32),CONVERT(Calculations!T45,Units_In,Units_Out),"")</f>
        <v/>
      </c>
      <c r="C32" s="33" t="str">
        <f>IF(ISNUMBER(A32),CONVERT(Calculations!U45,Units_In,Units_Out),"")</f>
        <v/>
      </c>
      <c r="D32" s="33" t="str">
        <f>IF(ISTEXT(Calculations!F45),Calculations!F45,"")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IF(ISNUMBER(Calculations!A46),Calculations!A46,"")</f>
        <v/>
      </c>
      <c r="B33" s="33" t="str">
        <f>IF(ISNUMBER(A33),CONVERT(Calculations!T46,Units_In,Units_Out),"")</f>
        <v/>
      </c>
      <c r="C33" s="33" t="str">
        <f>IF(ISNUMBER(A33),CONVERT(Calculations!U46,Units_In,Units_Out),"")</f>
        <v/>
      </c>
      <c r="D33" s="33" t="str">
        <f>IF(ISTEXT(Calculations!F46),Calculations!F46,"")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IF(ISNUMBER(Calculations!A47),Calculations!A47,"")</f>
        <v/>
      </c>
      <c r="B34" s="33" t="str">
        <f>IF(ISNUMBER(A34),CONVERT(Calculations!T47,Units_In,Units_Out),"")</f>
        <v/>
      </c>
      <c r="C34" s="33" t="str">
        <f>IF(ISNUMBER(A34),CONVERT(Calculations!U47,Units_In,Units_Out),"")</f>
        <v/>
      </c>
      <c r="D34" s="33" t="str">
        <f>IF(ISTEXT(Calculations!F47),Calculations!F47,"")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IF(ISNUMBER(Calculations!A48),Calculations!A48,"")</f>
        <v/>
      </c>
      <c r="B35" s="33" t="str">
        <f>IF(ISNUMBER(A35),CONVERT(Calculations!T48,Units_In,Units_Out),"")</f>
        <v/>
      </c>
      <c r="C35" s="33" t="str">
        <f>IF(ISNUMBER(A35),CONVERT(Calculations!U48,Units_In,Units_Out),"")</f>
        <v/>
      </c>
      <c r="D35" s="33" t="str">
        <f>IF(ISTEXT(Calculations!F48),Calculations!F48,"")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IF(ISNUMBER(Calculations!A49),Calculations!A49,"")</f>
        <v/>
      </c>
      <c r="B36" s="33" t="str">
        <f>IF(ISNUMBER(A36),CONVERT(Calculations!U49,Units_In,Units_Out),"")</f>
        <v/>
      </c>
      <c r="C36" s="33" t="str">
        <f>IF(ISNUMBER(A36),CONVERT(Calculations!V49,Units_In,Units_Out),"")</f>
        <v/>
      </c>
      <c r="D36" s="33" t="str">
        <f>IF(ISTEXT(Calculations!F49),Calculations!F49,"")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IF(ISNUMBER(Calculations!A50),Calculations!A50,"")</f>
        <v/>
      </c>
      <c r="B37" s="33" t="str">
        <f>IF(ISNUMBER(A37),CONVERT(Calculations!U50,Units_In,Units_Out),"")</f>
        <v/>
      </c>
      <c r="C37" s="33" t="str">
        <f>IF(ISNUMBER(A37),CONVERT(Calculations!V50,Units_In,Units_Out),"")</f>
        <v/>
      </c>
      <c r="D37" s="33" t="str">
        <f>IF(ISTEXT(Calculations!F50),Calculations!F50,"")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2013-09-16T18:32:53Z</dcterms:modified>
</cp:coreProperties>
</file>