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G37" i="1" l="1"/>
  <c r="H37" i="1"/>
  <c r="K37" i="1" s="1"/>
  <c r="I37" i="1"/>
  <c r="J37" i="1"/>
  <c r="L37" i="1"/>
  <c r="N37" i="1"/>
  <c r="V37" i="1"/>
  <c r="X37" i="1"/>
  <c r="Y37" i="1" s="1"/>
  <c r="Z37" i="1"/>
  <c r="AA37" i="1" s="1"/>
  <c r="AB37" i="1"/>
  <c r="AD37" i="1"/>
  <c r="AF37" i="1"/>
  <c r="G38" i="1"/>
  <c r="H38" i="1"/>
  <c r="K38" i="1" s="1"/>
  <c r="I38" i="1"/>
  <c r="J38" i="1"/>
  <c r="L38" i="1"/>
  <c r="V38" i="1" s="1"/>
  <c r="N38" i="1"/>
  <c r="X38" i="1"/>
  <c r="Y38" i="1"/>
  <c r="Z38" i="1"/>
  <c r="AA38" i="1"/>
  <c r="AB38" i="1"/>
  <c r="AC38" i="1"/>
  <c r="AE38" i="1" s="1"/>
  <c r="AD38" i="1"/>
  <c r="AF38" i="1"/>
  <c r="AC37" i="1" l="1"/>
  <c r="AE37" i="1" s="1"/>
  <c r="X39" i="1" l="1"/>
  <c r="Y39" i="1" s="1"/>
  <c r="AD39" i="1" l="1"/>
  <c r="AF39" i="1" s="1"/>
  <c r="AB39" i="1"/>
  <c r="Z39" i="1"/>
  <c r="R12" i="1"/>
  <c r="G35" i="1"/>
  <c r="H35" i="1" s="1"/>
  <c r="I35" i="1"/>
  <c r="J35" i="1" s="1"/>
  <c r="G36" i="1"/>
  <c r="H36" i="1" s="1"/>
  <c r="K36" i="1" s="1"/>
  <c r="I36" i="1"/>
  <c r="J36" i="1" s="1"/>
  <c r="N36" i="1"/>
  <c r="N35" i="1" l="1"/>
  <c r="AA39" i="1"/>
  <c r="AC39" i="1"/>
  <c r="AE39" i="1" s="1"/>
  <c r="L36" i="1"/>
  <c r="K35" i="1"/>
  <c r="L35" i="1"/>
  <c r="X22" i="1" l="1"/>
  <c r="Y22" i="1" s="1"/>
  <c r="X21" i="1"/>
  <c r="P5" i="1" l="1"/>
  <c r="P6" i="1"/>
  <c r="P4" i="1"/>
  <c r="O5" i="1"/>
  <c r="O6" i="1"/>
  <c r="O4" i="1"/>
  <c r="N5" i="1"/>
  <c r="N6" i="1"/>
  <c r="N4" i="1"/>
  <c r="V35" i="1" l="1"/>
  <c r="V36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34" i="1"/>
  <c r="H34" i="1" s="1"/>
  <c r="K34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4" i="1"/>
  <c r="V34" i="1" s="1"/>
  <c r="L30" i="1"/>
  <c r="V30" i="1" s="1"/>
  <c r="K26" i="1"/>
  <c r="J33" i="1"/>
  <c r="N34" i="1"/>
  <c r="N33" i="1"/>
  <c r="N25" i="1"/>
  <c r="N21" i="1"/>
  <c r="N28" i="1"/>
  <c r="N27" i="1"/>
  <c r="N26" i="1"/>
  <c r="J24" i="1"/>
  <c r="N29" i="1"/>
  <c r="J32" i="1"/>
  <c r="J28" i="1"/>
  <c r="N32" i="1"/>
  <c r="N24" i="1"/>
  <c r="J27" i="1"/>
  <c r="N31" i="1"/>
  <c r="N23" i="1"/>
  <c r="J25" i="1"/>
  <c r="N30" i="1"/>
  <c r="N22" i="1"/>
  <c r="R11" i="1" s="1"/>
  <c r="J34" i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8" i="1" l="1"/>
  <c r="P38" i="1" s="1"/>
  <c r="Q38" i="1" s="1"/>
  <c r="O37" i="1"/>
  <c r="P37" i="1" s="1"/>
  <c r="Q37" i="1" s="1"/>
  <c r="O36" i="1"/>
  <c r="P36" i="1" s="1"/>
  <c r="Q36" i="1" s="1"/>
  <c r="R36" i="1" s="1"/>
  <c r="T36" i="1" s="1"/>
  <c r="O35" i="1"/>
  <c r="P35" i="1" s="1"/>
  <c r="Q35" i="1" s="1"/>
  <c r="S35" i="1" s="1"/>
  <c r="U35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37" i="1" l="1"/>
  <c r="U37" i="1" s="1"/>
  <c r="R37" i="1"/>
  <c r="T37" i="1" s="1"/>
  <c r="R38" i="1"/>
  <c r="T38" i="1" s="1"/>
  <c r="S38" i="1"/>
  <c r="U38" i="1" s="1"/>
  <c r="S36" i="1"/>
  <c r="U36" i="1" s="1"/>
  <c r="R35" i="1"/>
  <c r="T35" i="1" s="1"/>
  <c r="W39" i="1"/>
  <c r="X36" i="1"/>
  <c r="X35" i="1"/>
  <c r="E36" i="2"/>
  <c r="E37" i="2"/>
  <c r="X4" i="1"/>
  <c r="Y4" i="1"/>
  <c r="Y35" i="1" l="1"/>
  <c r="Y36" i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34" i="1"/>
  <c r="O23" i="1"/>
  <c r="O25" i="1"/>
  <c r="O27" i="1"/>
  <c r="O29" i="1"/>
  <c r="O31" i="1"/>
  <c r="O33" i="1"/>
  <c r="P23" i="1" l="1"/>
  <c r="P34" i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8" i="1" l="1"/>
  <c r="W37" i="1"/>
  <c r="W36" i="1"/>
  <c r="W35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C5" i="2"/>
  <c r="B5" i="2"/>
  <c r="W21" i="1"/>
  <c r="B7" i="2" l="1"/>
  <c r="X23" i="1"/>
  <c r="B16" i="2"/>
  <c r="X32" i="1"/>
  <c r="B8" i="2"/>
  <c r="X24" i="1"/>
  <c r="W34" i="1"/>
  <c r="X34" i="1"/>
  <c r="B12" i="2"/>
  <c r="X28" i="1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S34" i="1"/>
  <c r="U34" i="1" s="1"/>
  <c r="C18" i="2" s="1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Y21" i="1"/>
  <c r="Z21" i="1"/>
  <c r="AB21" i="1"/>
  <c r="AD22" i="1"/>
  <c r="E20" i="2" l="1"/>
  <c r="E12" i="2"/>
  <c r="E16" i="2"/>
  <c r="Y27" i="1"/>
  <c r="Y31" i="1"/>
  <c r="Y29" i="1"/>
  <c r="B17" i="2"/>
  <c r="E17" i="2" s="1"/>
  <c r="X33" i="1"/>
  <c r="Y28" i="1"/>
  <c r="Y34" i="1"/>
  <c r="Y24" i="1"/>
  <c r="Y32" i="1"/>
  <c r="Y23" i="1"/>
  <c r="Y26" i="1"/>
  <c r="Y30" i="1"/>
  <c r="Y25" i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X13" i="1"/>
  <c r="AD35" i="1" l="1"/>
  <c r="AF35" i="1" s="1"/>
  <c r="AD36" i="1"/>
  <c r="AF36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4" i="1"/>
  <c r="AF34" i="1" s="1"/>
  <c r="AD30" i="1"/>
  <c r="AF30" i="1" s="1"/>
  <c r="AD29" i="1"/>
  <c r="AF29" i="1" s="1"/>
  <c r="AD31" i="1"/>
  <c r="AF31" i="1" s="1"/>
  <c r="AD23" i="1"/>
  <c r="AF23" i="1" s="1"/>
  <c r="Z22" i="1" l="1"/>
  <c r="AA22" i="1" s="1"/>
  <c r="AC22" i="1" l="1"/>
  <c r="AC4" i="1"/>
  <c r="AC3" i="1"/>
  <c r="AC6" i="1" s="1"/>
  <c r="Z36" i="1" l="1"/>
  <c r="Z35" i="1"/>
  <c r="Z25" i="1"/>
  <c r="Z27" i="1"/>
  <c r="Z31" i="1"/>
  <c r="Z29" i="1"/>
  <c r="Z26" i="1"/>
  <c r="Z30" i="1"/>
  <c r="Z28" i="1"/>
  <c r="Z34" i="1"/>
  <c r="Z24" i="1"/>
  <c r="Z32" i="1"/>
  <c r="Z33" i="1"/>
  <c r="Z23" i="1"/>
  <c r="AA23" i="1" s="1"/>
  <c r="AA35" i="1" l="1"/>
  <c r="AC35" i="1" s="1"/>
  <c r="AE35" i="1" s="1"/>
  <c r="AA36" i="1"/>
  <c r="AC36" i="1" s="1"/>
  <c r="AE36" i="1" s="1"/>
  <c r="AA33" i="1"/>
  <c r="AC33" i="1" s="1"/>
  <c r="AE33" i="1" s="1"/>
  <c r="AA24" i="1"/>
  <c r="AC24" i="1" s="1"/>
  <c r="AE24" i="1" s="1"/>
  <c r="AA28" i="1"/>
  <c r="AC28" i="1" s="1"/>
  <c r="AE28" i="1" s="1"/>
  <c r="AA30" i="1"/>
  <c r="AC30" i="1" s="1"/>
  <c r="AE30" i="1" s="1"/>
  <c r="AA26" i="1"/>
  <c r="AC26" i="1" s="1"/>
  <c r="AE26" i="1" s="1"/>
  <c r="AA29" i="1"/>
  <c r="AC29" i="1" s="1"/>
  <c r="AE29" i="1" s="1"/>
  <c r="AA25" i="1"/>
  <c r="AC25" i="1" s="1"/>
  <c r="AE25" i="1" s="1"/>
  <c r="AA32" i="1"/>
  <c r="AC32" i="1" s="1"/>
  <c r="AE32" i="1" s="1"/>
  <c r="AA34" i="1"/>
  <c r="AC34" i="1" s="1"/>
  <c r="AE34" i="1" s="1"/>
  <c r="AA31" i="1"/>
  <c r="AC31" i="1" s="1"/>
  <c r="AE31" i="1" s="1"/>
  <c r="AA27" i="1"/>
  <c r="AC27" i="1" s="1"/>
  <c r="AE27" i="1" s="1"/>
  <c r="AC23" i="1"/>
  <c r="AE23" i="1" s="1"/>
  <c r="AB23" i="1"/>
  <c r="AI36" i="1" l="1"/>
  <c r="AJ36" i="1" s="1"/>
  <c r="AI35" i="1"/>
  <c r="AJ35" i="1" s="1"/>
  <c r="AB36" i="1"/>
  <c r="AI33" i="1"/>
  <c r="AJ33" i="1" s="1"/>
  <c r="AI32" i="1"/>
  <c r="AJ32" i="1" s="1"/>
  <c r="AI34" i="1"/>
  <c r="AJ34" i="1" s="1"/>
  <c r="AB32" i="1"/>
  <c r="AB35" i="1"/>
  <c r="AB33" i="1"/>
  <c r="AB28" i="1"/>
  <c r="AB27" i="1"/>
  <c r="AB29" i="1"/>
  <c r="AB26" i="1"/>
  <c r="AB24" i="1"/>
  <c r="AB31" i="1"/>
  <c r="AB34" i="1"/>
  <c r="AB25" i="1"/>
  <c r="AB30" i="1"/>
  <c r="AI23" i="1"/>
  <c r="AI26" i="1" l="1"/>
  <c r="AJ26" i="1" s="1"/>
  <c r="AI25" i="1"/>
  <c r="AJ25" i="1" s="1"/>
  <c r="AI24" i="1"/>
  <c r="AJ24" i="1" s="1"/>
  <c r="AI28" i="1"/>
  <c r="AJ28" i="1" s="1"/>
  <c r="AI29" i="1"/>
  <c r="AJ29" i="1" s="1"/>
  <c r="AI30" i="1"/>
  <c r="AJ30" i="1" s="1"/>
  <c r="AI31" i="1"/>
  <c r="AJ31" i="1" s="1"/>
  <c r="AI27" i="1"/>
  <c r="AJ27" i="1" s="1"/>
  <c r="AC9" i="1"/>
  <c r="AJ23" i="1"/>
  <c r="AC10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<sst xmlns="http://schemas.openxmlformats.org/spreadsheetml/2006/main" count="103" uniqueCount="91">
  <si>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</si>
  <si>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</si>
  <si>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</si>
  <si>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</si>
  <si>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</si>
  <si>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</si>
  <si>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</si>
  <si>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</si>
  <si>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</si>
  <si>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</si>
  <si>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</si>
  <si>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</si>
  <si>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</si>
  <si>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</si>
  <si>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</si>
  <si>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</si>
  <si>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</si>
  <si>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</si>
  <si>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</si>
  <si>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</si>
  <si>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</si>
  <si>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</si>
  <si>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</si>
  <si>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</si>
  <si>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</si>
  <si>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</si>
  <si>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</si>
  <si>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</si>
  <si>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</si>
  <si>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</si>
  <si>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</si>
  <si>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</si>
  <si>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</si>
  <si>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</si>
  <si>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</si>
  <si>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</si>
  <si>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</si>
  <si>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</si>
  <si>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</si>
  <si>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</si>
  <si>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</si>
  <si>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</si>
  <si>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</si>
  <si>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</si>
  <si>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</si>
  <si>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</si>
  <si>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</si>
  <si>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</si>
  <si>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</si>
  <si>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</si>
  <si>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</si>
  <si>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</si>
  <si>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</si>
  <si>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</si>
  <si>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</si>
  <si>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</si>
  <si>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</si>
  <si>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</si>
  <si>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</si>
  <si>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</si>
  <si>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</si>
  <si>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</si>
  <si>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</si>
  <si>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</si>
  <si>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</si>
  <si>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</si>
  <si>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</si>
  <si>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</si>
  <si>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</si>
  <si>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</si>
  <si>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</si>
  <si>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</si>
  <si>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</si>
  <si>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</si>
  <si>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</si>
  <si>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</si>
  <si>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</si>
  <si>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</si>
  <si>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</si>
  <si>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</si>
  <si>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</si>
  <si>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</si>
  <si>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</si>
  <si>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</si>
  <si>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</si>
  <si>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</si>
  <si>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CSS11</t>
  </si>
  <si>
    <t>1,463828.060,1071547.849,1249.196,1249.196,</t>
  </si>
  <si>
    <t>2,463843.178,1071564.211,1249.340,1249.340,</t>
  </si>
  <si>
    <t>3,463817.640,1071557.704,1247.889,1247.889,</t>
  </si>
  <si>
    <t>BS/ZERO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</si>
</sst>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1.57</c:v>
                </c:pt>
                <c:pt idx="2">
                  <c:v>9.5399999999999991</c:v>
                </c:pt>
                <c:pt idx="3">
                  <c:v>10.23</c:v>
                </c:pt>
                <c:pt idx="4">
                  <c:v>11.94</c:v>
                </c:pt>
                <c:pt idx="5">
                  <c:v>56.35</c:v>
                </c:pt>
                <c:pt idx="6">
                  <c:v>62.77</c:v>
                </c:pt>
                <c:pt idx="7">
                  <c:v>134.16</c:v>
                </c:pt>
                <c:pt idx="8">
                  <c:v>194.61</c:v>
                </c:pt>
                <c:pt idx="9">
                  <c:v>237.52</c:v>
                </c:pt>
                <c:pt idx="10">
                  <c:v>240.98</c:v>
                </c:pt>
                <c:pt idx="11">
                  <c:v>242.55</c:v>
                </c:pt>
                <c:pt idx="12">
                  <c:v>243.48</c:v>
                </c:pt>
                <c:pt idx="13">
                  <c:v>246.63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11.73</c:v>
                </c:pt>
                <c:pt idx="1">
                  <c:v>10.76</c:v>
                </c:pt>
                <c:pt idx="2">
                  <c:v>9.44</c:v>
                </c:pt>
                <c:pt idx="3">
                  <c:v>6.65</c:v>
                </c:pt>
                <c:pt idx="4">
                  <c:v>4.58</c:v>
                </c:pt>
                <c:pt idx="5">
                  <c:v>4.45</c:v>
                </c:pt>
                <c:pt idx="6">
                  <c:v>4.1100000000000003</c:v>
                </c:pt>
                <c:pt idx="7">
                  <c:v>3.75</c:v>
                </c:pt>
                <c:pt idx="8">
                  <c:v>3.32</c:v>
                </c:pt>
                <c:pt idx="9">
                  <c:v>3.43</c:v>
                </c:pt>
                <c:pt idx="10">
                  <c:v>0</c:v>
                </c:pt>
                <c:pt idx="11">
                  <c:v>5.2</c:v>
                </c:pt>
                <c:pt idx="12">
                  <c:v>6.18</c:v>
                </c:pt>
                <c:pt idx="13">
                  <c:v>7.54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Calculations!$R$23:$R$36</c:f>
              <c:numCache>
                <c:formatCode>0.00</c:formatCode>
                <c:ptCount val="14"/>
                <c:pt idx="0">
                  <c:v>-15.843922251145152</c:v>
                </c:pt>
                <c:pt idx="1">
                  <c:v>-15.712662472454745</c:v>
                </c:pt>
                <c:pt idx="2">
                  <c:v>-14.085329121746835</c:v>
                </c:pt>
                <c:pt idx="3">
                  <c:v>-14.443884188892897</c:v>
                </c:pt>
                <c:pt idx="4">
                  <c:v>-14.336108333646974</c:v>
                </c:pt>
                <c:pt idx="5">
                  <c:v>-13.273289700140189</c:v>
                </c:pt>
                <c:pt idx="6">
                  <c:v>-13.267261501684651</c:v>
                </c:pt>
                <c:pt idx="7">
                  <c:v>-7.1858816540090986</c:v>
                </c:pt>
                <c:pt idx="8">
                  <c:v>-3.7060134988806905</c:v>
                </c:pt>
                <c:pt idx="9">
                  <c:v>-3.1952918914696498</c:v>
                </c:pt>
                <c:pt idx="10">
                  <c:v>-2.9044904088401737</c:v>
                </c:pt>
                <c:pt idx="11">
                  <c:v>-2.8960756136580099</c:v>
                </c:pt>
                <c:pt idx="12">
                  <c:v>-2.9961038460281224</c:v>
                </c:pt>
                <c:pt idx="13">
                  <c:v>-3.2538278610586437</c:v>
                </c:pt>
              </c:numCache>
            </c:numRef>
          </c:xVal>
          <c:yVal>
            <c:numRef>
              <c:f>Calculations!$S$23:$S$36</c:f>
              <c:numCache>
                <c:formatCode>0.00</c:formatCode>
                <c:ptCount val="14"/>
                <c:pt idx="0">
                  <c:v>5.3542270107010577</c:v>
                </c:pt>
                <c:pt idx="1">
                  <c:v>5.8154955723440231</c:v>
                </c:pt>
                <c:pt idx="2">
                  <c:v>7.9947181636682982</c:v>
                </c:pt>
                <c:pt idx="3">
                  <c:v>8.2718123429157071</c:v>
                </c:pt>
                <c:pt idx="4">
                  <c:v>8.784510148776338</c:v>
                </c:pt>
                <c:pt idx="5">
                  <c:v>22.34119749778343</c:v>
                </c:pt>
                <c:pt idx="6">
                  <c:v>24.329110328319846</c:v>
                </c:pt>
                <c:pt idx="7">
                  <c:v>45.3499622361321</c:v>
                </c:pt>
                <c:pt idx="8">
                  <c:v>63.444376782787835</c:v>
                </c:pt>
                <c:pt idx="9">
                  <c:v>76.637051167683651</c:v>
                </c:pt>
                <c:pt idx="10">
                  <c:v>77.657339681531639</c:v>
                </c:pt>
                <c:pt idx="11">
                  <c:v>78.142378446904573</c:v>
                </c:pt>
                <c:pt idx="12">
                  <c:v>78.446948843082041</c:v>
                </c:pt>
                <c:pt idx="13">
                  <c:v>79.466437703802242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588055</xdr:colOff>
      <xdr:row>40</xdr:row>
      <xdr:rowOff>179779</xdr:rowOff>
    </xdr:from>
    <xdr:to>
      <xdr:col>25</xdr:col>
      <xdr:colOff>100597</xdr:colOff>
      <xdr:row>55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459441</xdr:colOff>
      <xdr:row>40</xdr:row>
      <xdr:rowOff>143458</xdr:rowOff>
    </xdr:from>
    <xdr:to>
      <xdr:col>18</xdr:col>
      <xdr:colOff>407570</xdr:colOff>
      <xdr:row>55</xdr:row>
      <xdr:rowOff>29158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>
        <v>40824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1.355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73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5.6546402740892159</v>
      </c>
    </row>
    <row r="4" spans="1:29" ht="18" x14ac:dyDescent="0.35">
      <c r="A4" s="60" t="s">
        <v>67</v>
      </c>
      <c r="B4" s="61"/>
      <c r="C4" s="38" t="s">
        <v>72</v>
      </c>
      <c r="D4" s="44"/>
      <c r="E4" s="44"/>
      <c r="F4" s="44"/>
      <c r="M4" s="22">
        <v>0</v>
      </c>
      <c r="N4" s="20">
        <f>VALUE(MID(C10,FIND(",",C10,3)+1,FIND(",",C10,15)-FIND(",",C10,3)-1))</f>
        <v>1071547.8489999999</v>
      </c>
      <c r="O4" s="20">
        <f>VALUE(MID(C10,FIND(",",C10,1)+1,FIND(",",C10,5)-FIND(",",C10,1)-1))</f>
        <v>463828.06</v>
      </c>
      <c r="P4" s="20">
        <f>VALUE(MID(C10,FIND(",",C10,17)+1,FIND(",",C10,27)-FIND(",",C10,17)-1))</f>
        <v>1249.1959999999999</v>
      </c>
      <c r="Q4" s="23"/>
      <c r="R4" s="22"/>
      <c r="W4" s="27"/>
      <c r="X4" s="20">
        <f ca="1">VALUE(OFFSET($P$3,MATCH($O$10,$M$4:$M$6,0),0))</f>
        <v>1249.3399999999999</v>
      </c>
      <c r="Y4" s="20">
        <f ca="1">OFFSET($P$3,MATCH($Q$10,$M$4:$M$6,0),0)</f>
        <v>1247.8889999999999</v>
      </c>
      <c r="Z4" s="2"/>
      <c r="AA4" s="26" t="s">
        <v>41</v>
      </c>
      <c r="AB4" s="26" t="s">
        <v>54</v>
      </c>
      <c r="AC4" s="28">
        <f ca="1">INTERCEPT(yB,xB)</f>
        <v>-5595296.6524869502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1071564.2109999999</v>
      </c>
      <c r="O5" s="20">
        <f t="shared" ref="O5:O6" si="1">VALUE(MID(C11,FIND(",",C11,1)+1,FIND(",",C11,5)-FIND(",",C11,1)-1))</f>
        <v>463843.17800000001</v>
      </c>
      <c r="P5" s="20">
        <f t="shared" ref="P5:P6" si="2">VALUE(MID(C11,FIND(",",C11,17)+1,FIND(",",C11,27)-FIND(",",C11,17)-1))</f>
        <v>1249.3399999999999</v>
      </c>
      <c r="Q5" s="24">
        <f>DEGREES(ATAN2(Old_Y1-Old_Y0,Old_X1-Old_X0))+IF(Old_X1-Old_X0&lt;0,360)</f>
        <v>47.26298865306633</v>
      </c>
      <c r="R5" s="22"/>
      <c r="W5" s="21"/>
      <c r="X5" s="20">
        <f ca="1">VALUE(OFFSET($V$20,MATCH($O11,$A$21:$A$51,0),0))</f>
        <v>1249.83119734656</v>
      </c>
      <c r="Y5" s="20">
        <f ca="1">OFFSET($V$20,MATCH($Q11,$A$21:$A$51,0),0)</f>
        <v>1245.3326067504192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1071557.7039999999</v>
      </c>
      <c r="O6" s="20">
        <f t="shared" si="1"/>
        <v>463817.64</v>
      </c>
      <c r="P6" s="20">
        <f t="shared" si="2"/>
        <v>1247.8889999999999</v>
      </c>
      <c r="Q6" s="24">
        <f>DEGREES(ATAN2(Old_Y2-Old_Y0,Old_X2-Old_X0))+IF(Old_X2-Old_X0&lt;0,360)</f>
        <v>136.59623870255723</v>
      </c>
      <c r="R6" s="22"/>
      <c r="W6" s="21"/>
      <c r="X6" s="20">
        <f ca="1">VALUE(OFFSET($V$20,MATCH($O12,$A$21:$A$61,0),0))</f>
        <v>1249.8310937270562</v>
      </c>
      <c r="Y6" s="20">
        <f ca="1">VALUE(OFFSET($V$20,MATCH($O12,$A$21:$A$61,0),0))</f>
        <v>1249.8310937270562</v>
      </c>
      <c r="Z6" s="5"/>
      <c r="AA6" s="26" t="s">
        <v>42</v>
      </c>
      <c r="AB6" s="21" t="s">
        <v>55</v>
      </c>
      <c r="AC6" s="20">
        <f ca="1">-1/mA</f>
        <v>-0.17684590911683917</v>
      </c>
    </row>
    <row r="7" spans="1:29" x14ac:dyDescent="0.25">
      <c r="A7" s="62" t="s">
        <v>18</v>
      </c>
      <c r="B7" s="62"/>
      <c r="C7" s="38">
        <v>16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0.49119734656005676</v>
      </c>
      <c r="Y8" s="20">
        <f ca="1">Y5-Y4</f>
        <v>-2.5563932495806512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0.49109372705629539</v>
      </c>
      <c r="Y9" s="20">
        <f ca="1">Y6-Y4</f>
        <v>1.9420937270563172</v>
      </c>
      <c r="AA9" s="31" t="s">
        <v>49</v>
      </c>
      <c r="AB9" s="31"/>
      <c r="AC9" s="20">
        <f ca="1">AVERAGE(DfromL)</f>
        <v>0.66491335892921255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47.26298865306633</v>
      </c>
      <c r="Q10" s="32">
        <v>2</v>
      </c>
      <c r="R10" s="20">
        <f ca="1">OFFSET($Q$3,MATCH($O$10,$M$4:$M$6,0),0)</f>
        <v>47.26298865306633</v>
      </c>
      <c r="W10" s="22"/>
      <c r="X10" s="22"/>
      <c r="Y10" s="22"/>
      <c r="AA10" s="31" t="s">
        <v>50</v>
      </c>
      <c r="AB10" s="31"/>
      <c r="AC10" s="20">
        <f ca="1">_xlfn.STDEV.P(DfromL)</f>
        <v>0.38634207824928118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93.160555555555561</v>
      </c>
      <c r="W11" s="21" t="s">
        <v>37</v>
      </c>
      <c r="X11" s="20">
        <f ca="1">AVERAGE(X8:Y9)</f>
        <v>9.199788777300455E-2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18</v>
      </c>
      <c r="P12" s="20">
        <f ca="1">OFFSET($N$20,MATCH($O12,$A$21:$A$61,0),0)</f>
        <v>359.99027777777781</v>
      </c>
      <c r="Q12" s="32">
        <v>17</v>
      </c>
      <c r="R12" s="20">
        <f ca="1">OFFSET($N$20,MATCH($Q12,$A$21:$A$51,0),0)</f>
        <v>93.289166666666674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1241.3220417598995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47.263266430844112</v>
      </c>
      <c r="Q14" s="20"/>
      <c r="R14" s="20">
        <f ca="1">R10-R11+IF(R11&gt;R10,360)</f>
        <v>314.10243309751075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47.27271087528851</v>
      </c>
      <c r="Q15" s="20"/>
      <c r="R15" s="20">
        <f ca="1">R10-R12+IF(R12&gt;R10,360)</f>
        <v>313.97382198639968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180.65305809751078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84</v>
      </c>
      <c r="H20" s="12" t="s">
        <v>78</v>
      </c>
      <c r="I20" s="12" t="s">
        <v>83</v>
      </c>
      <c r="J20" s="12" t="s">
        <v>82</v>
      </c>
      <c r="K20" s="3" t="s">
        <v>76</v>
      </c>
      <c r="L20" s="3" t="s">
        <v>77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81</v>
      </c>
      <c r="R20" s="19" t="s">
        <v>79</v>
      </c>
      <c r="S20" s="19" t="s">
        <v>80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74</v>
      </c>
      <c r="AF20" s="19" t="s">
        <v>75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3.6637847222222226</v>
      </c>
      <c r="D21" s="44">
        <v>21.387</v>
      </c>
      <c r="E21" s="44">
        <v>1.492</v>
      </c>
      <c r="F21" s="49" t="s">
        <v>90</v>
      </c>
      <c r="G21" s="43">
        <f>C21*24</f>
        <v>87.930833333333339</v>
      </c>
      <c r="H21" s="43">
        <f>RADIANS(G21)</f>
        <v>1.5346825556890473</v>
      </c>
      <c r="I21" s="43">
        <f t="shared" ref="I21:I34" si="3">B21*24</f>
        <v>359.9997222222222</v>
      </c>
      <c r="J21" s="39">
        <f>RADIANS(I21)</f>
        <v>6.2831804590427751</v>
      </c>
      <c r="K21" s="39">
        <f>D21*SIN(H21)</f>
        <v>21.373055005262252</v>
      </c>
      <c r="L21" s="15">
        <f>D21*COS(H21)</f>
        <v>0.77219734655994132</v>
      </c>
      <c r="M21" s="13"/>
      <c r="N21" s="16">
        <f t="shared" ref="N21:N34" si="4">I21+M21</f>
        <v>359.9997222222222</v>
      </c>
      <c r="O21" s="16">
        <f ca="1">$O$17</f>
        <v>180.65305809751078</v>
      </c>
      <c r="P21" s="16">
        <f ca="1">SUM(N21,O21)</f>
        <v>540.65278031973298</v>
      </c>
      <c r="Q21" s="16">
        <f ca="1">RADIANS(P21)</f>
        <v>9.4361711266409412</v>
      </c>
      <c r="R21" s="16">
        <f t="shared" ref="R21:R34" ca="1" si="5">K21*SIN(Q21)</f>
        <v>-0.24350149285660877</v>
      </c>
      <c r="S21" s="16">
        <f t="shared" ref="S21:S34" ca="1" si="6">K21*COS(Q21)</f>
        <v>-21.37166786380844</v>
      </c>
      <c r="T21" s="13">
        <f t="shared" ref="T21:T34" ca="1" si="7">Old_X0+R21</f>
        <v>1071547.6054985072</v>
      </c>
      <c r="U21" s="13">
        <f t="shared" ref="U21:U34" ca="1" si="8">Old_Y0+S21</f>
        <v>463806.6883321362</v>
      </c>
      <c r="V21" s="16">
        <f t="shared" ref="V21:V34" si="9">Old_Z0+HI+L21-E21</f>
        <v>1249.83119734656</v>
      </c>
      <c r="W21" s="16">
        <f t="shared" ref="W21:W34" ca="1" si="10">IF(ISNUMBER(T21),V21+dZ,"")</f>
        <v>1249.923195234333</v>
      </c>
      <c r="X21" s="16" t="str">
        <f t="shared" ref="X21:X34" si="11">IF(AND(A21&gt;=CS_Start,A21&lt;=CS_End),IF(OR(LEFT(UPPER(F21))="D"),"",T21),"")</f>
        <v/>
      </c>
      <c r="Y21" s="16" t="str">
        <f t="shared" ref="Y21" si="12">IF(ISNUMBER(X21),U21,"")</f>
        <v/>
      </c>
      <c r="Z21" s="16" t="str">
        <f t="shared" ref="Z21:Z23" si="13">IF(X21="","",VALUE((-mB*X21+Y21-bA)/(mA-mB)))</f>
        <v/>
      </c>
      <c r="AA21" s="16" t="str">
        <f t="shared" ref="AA21:AA23" si="14">IF(Z21="","",VALUE(mA*Z21+bA))</f>
        <v/>
      </c>
      <c r="AB21" s="16" t="str">
        <f>IF(ISNUMBER(X21),SQRT((X21-Z21)^2+(Y21-AA21)^2),"")</f>
        <v/>
      </c>
      <c r="AC21" s="16" t="str">
        <f t="shared" ref="AC21:AC23" ca="1" si="15">IF(ISNUMBER(Z21),SQRT(($Z21-OFFSET($Z$20,MATCH(CS_Start,$A$21:$A$51,0),0))^2+($AA21-OFFSET($AA$20,MATCH(CS_Start,$A$21:$A$51,0),0))^2),"")</f>
        <v/>
      </c>
      <c r="AD21" s="16" t="str">
        <f t="shared" ref="AD21:AD23" si="16">IF(ISNUMBER(X21),W21-Min_Z,"")</f>
        <v/>
      </c>
    </row>
    <row r="22" spans="1:36" x14ac:dyDescent="0.25">
      <c r="A22" s="44">
        <v>2</v>
      </c>
      <c r="B22" s="48">
        <v>3.8816898148148149</v>
      </c>
      <c r="C22" s="48">
        <v>4.2870601851851857</v>
      </c>
      <c r="D22" s="44">
        <v>16.704999999999998</v>
      </c>
      <c r="E22" s="44">
        <v>1.492</v>
      </c>
      <c r="F22" s="49" t="s">
        <v>69</v>
      </c>
      <c r="G22" s="43">
        <f t="shared" ref="G22:G34" si="17">C22*24</f>
        <v>102.88944444444445</v>
      </c>
      <c r="H22" s="43">
        <f t="shared" ref="H22:H34" si="18">RADIANS(G22)</f>
        <v>1.7957595711033436</v>
      </c>
      <c r="I22" s="43">
        <f t="shared" si="3"/>
        <v>93.160555555555561</v>
      </c>
      <c r="J22" s="39">
        <f t="shared" ref="J22:J34" si="19">RADIANS(I22)</f>
        <v>1.6259584274315397</v>
      </c>
      <c r="K22" s="39">
        <f t="shared" ref="K22:K34" si="20">D22*SIN(H22)</f>
        <v>16.284072535747288</v>
      </c>
      <c r="L22" s="15">
        <f t="shared" ref="L22:L34" si="21">D22*COS(H22)</f>
        <v>-3.7263932495807341</v>
      </c>
      <c r="M22" s="13"/>
      <c r="N22" s="16">
        <f t="shared" si="4"/>
        <v>93.160555555555561</v>
      </c>
      <c r="O22" s="16">
        <f t="shared" ref="O22:O39" ca="1" si="22">$O$17</f>
        <v>180.65305809751078</v>
      </c>
      <c r="P22" s="16">
        <f t="shared" ref="P22:P34" ca="1" si="23">SUM(N22,O22)</f>
        <v>273.81361365306634</v>
      </c>
      <c r="Q22" s="16">
        <f t="shared" ref="Q22:Q34" ca="1" si="24">RADIANS(P22)</f>
        <v>4.7789490950297058</v>
      </c>
      <c r="R22" s="16">
        <f t="shared" ca="1" si="5"/>
        <v>-16.248014603924386</v>
      </c>
      <c r="S22" s="16">
        <f t="shared" ca="1" si="6"/>
        <v>1.0830696100154431</v>
      </c>
      <c r="T22" s="13">
        <f t="shared" ca="1" si="7"/>
        <v>1071531.600985396</v>
      </c>
      <c r="U22" s="13">
        <f t="shared" ca="1" si="8"/>
        <v>463829.14306961</v>
      </c>
      <c r="V22" s="16">
        <f t="shared" si="9"/>
        <v>1245.3326067504192</v>
      </c>
      <c r="W22" s="16">
        <f t="shared" ca="1" si="10"/>
        <v>1245.4246046381922</v>
      </c>
      <c r="X22" s="47" t="str">
        <f t="shared" si="11"/>
        <v/>
      </c>
      <c r="Y22" s="47" t="str">
        <f t="shared" ref="Y22:Y34" si="25">IF(ISNUMBER(X22),U22,"")</f>
        <v/>
      </c>
      <c r="Z22" s="16" t="str">
        <f t="shared" si="13"/>
        <v/>
      </c>
      <c r="AA22" s="16" t="str">
        <f t="shared" si="14"/>
        <v/>
      </c>
      <c r="AB22" s="16" t="str">
        <f t="shared" ref="AB22:AB23" si="26">IF(ISNUMBER(X22),SQRT((X22-Z22)^2+(Y22-AA22)^2),"")</f>
        <v/>
      </c>
      <c r="AC22" s="16" t="str">
        <f t="shared" ca="1" si="15"/>
        <v/>
      </c>
      <c r="AD22" s="16" t="str">
        <f t="shared" si="16"/>
        <v/>
      </c>
    </row>
    <row r="23" spans="1:36" x14ac:dyDescent="0.25">
      <c r="A23" s="44">
        <v>3</v>
      </c>
      <c r="B23" s="48">
        <v>4.5007870370370373</v>
      </c>
      <c r="C23" s="48">
        <v>4.3447916666666666</v>
      </c>
      <c r="D23" s="44">
        <v>17.257000000000001</v>
      </c>
      <c r="E23" s="44">
        <v>1.492</v>
      </c>
      <c r="F23" s="44"/>
      <c r="G23" s="43">
        <f t="shared" si="17"/>
        <v>104.27500000000001</v>
      </c>
      <c r="H23" s="43">
        <f t="shared" si="18"/>
        <v>1.8199420775170871</v>
      </c>
      <c r="I23" s="43">
        <f t="shared" si="3"/>
        <v>108.0188888888889</v>
      </c>
      <c r="J23" s="39">
        <f t="shared" si="19"/>
        <v>1.8852852654570305</v>
      </c>
      <c r="K23" s="39">
        <f t="shared" si="20"/>
        <v>16.724162734871161</v>
      </c>
      <c r="L23" s="15">
        <f t="shared" si="21"/>
        <v>-4.2551650752405363</v>
      </c>
      <c r="M23" s="13"/>
      <c r="N23" s="16">
        <f t="shared" si="4"/>
        <v>108.0188888888889</v>
      </c>
      <c r="O23" s="16">
        <f t="shared" ca="1" si="22"/>
        <v>180.65305809751078</v>
      </c>
      <c r="P23" s="16">
        <f t="shared" ca="1" si="23"/>
        <v>288.67194698639969</v>
      </c>
      <c r="Q23" s="16">
        <f t="shared" ca="1" si="24"/>
        <v>5.0382759330551972</v>
      </c>
      <c r="R23" s="16">
        <f t="shared" ca="1" si="5"/>
        <v>-15.843922251145152</v>
      </c>
      <c r="S23" s="16">
        <f t="shared" ca="1" si="6"/>
        <v>5.3542270107010577</v>
      </c>
      <c r="T23" s="13">
        <f t="shared" ca="1" si="7"/>
        <v>1071532.0050777488</v>
      </c>
      <c r="U23" s="13">
        <f t="shared" ca="1" si="8"/>
        <v>463833.41422701068</v>
      </c>
      <c r="V23" s="16">
        <f t="shared" si="9"/>
        <v>1244.8038349247595</v>
      </c>
      <c r="W23" s="16">
        <f t="shared" ca="1" si="10"/>
        <v>1244.8958328125325</v>
      </c>
      <c r="X23" s="47">
        <f t="shared" ca="1" si="11"/>
        <v>1071532.0050777488</v>
      </c>
      <c r="Y23" s="47">
        <f t="shared" ca="1" si="25"/>
        <v>463833.41422701068</v>
      </c>
      <c r="Z23" s="16">
        <f t="shared" ca="1" si="13"/>
        <v>1071532.3541869961</v>
      </c>
      <c r="AA23" s="16">
        <f t="shared" ca="1" si="14"/>
        <v>463833.3524884684</v>
      </c>
      <c r="AB23" s="16">
        <f t="shared" ca="1" si="26"/>
        <v>0.35452632366597892</v>
      </c>
      <c r="AC23" s="16">
        <f t="shared" ca="1" si="15"/>
        <v>0</v>
      </c>
      <c r="AD23" s="16">
        <f t="shared" ca="1" si="16"/>
        <v>3.5737910526329415</v>
      </c>
      <c r="AE23" s="2">
        <f ca="1">ROUND(CONVERT(AC23,"m","ft"),2)</f>
        <v>0</v>
      </c>
      <c r="AF23" s="2">
        <f ca="1">ROUND(CONVERT(AD23,"m","ft"),2)</f>
        <v>11.73</v>
      </c>
      <c r="AH23" s="44">
        <v>0</v>
      </c>
      <c r="AI23" s="2">
        <f ca="1">OFFSET($AF$22,MATCH(AH23,$AE$23:$AE$59,0),0)</f>
        <v>11.73</v>
      </c>
      <c r="AJ23" s="2" t="str">
        <f t="shared" ref="AJ23:AJ31" ca="1" si="27">CONCATENATE(AH23,",",AI23)</f>
        <v>0,11.73</v>
      </c>
    </row>
    <row r="24" spans="1:36" x14ac:dyDescent="0.25">
      <c r="A24" s="44">
        <v>4</v>
      </c>
      <c r="B24" s="48">
        <v>4.569050925925926</v>
      </c>
      <c r="C24" s="48">
        <v>4.382974537037037</v>
      </c>
      <c r="D24" s="44">
        <v>17.361000000000001</v>
      </c>
      <c r="E24" s="44">
        <v>1.492</v>
      </c>
      <c r="F24" s="44"/>
      <c r="G24" s="43">
        <f t="shared" si="17"/>
        <v>105.19138888888889</v>
      </c>
      <c r="H24" s="43">
        <f t="shared" si="18"/>
        <v>1.8359360808568908</v>
      </c>
      <c r="I24" s="43">
        <f t="shared" si="3"/>
        <v>109.65722222222223</v>
      </c>
      <c r="J24" s="39">
        <f t="shared" si="19"/>
        <v>1.913879576368871</v>
      </c>
      <c r="K24" s="39">
        <f t="shared" si="20"/>
        <v>16.754335281509697</v>
      </c>
      <c r="L24" s="15">
        <f t="shared" si="21"/>
        <v>-4.5493483351749857</v>
      </c>
      <c r="M24" s="13"/>
      <c r="N24" s="16">
        <f t="shared" si="4"/>
        <v>109.65722222222223</v>
      </c>
      <c r="O24" s="16">
        <f t="shared" ca="1" si="22"/>
        <v>180.65305809751078</v>
      </c>
      <c r="P24" s="16">
        <f t="shared" ca="1" si="23"/>
        <v>290.31028031973301</v>
      </c>
      <c r="Q24" s="16">
        <f t="shared" ca="1" si="24"/>
        <v>5.0668702439670374</v>
      </c>
      <c r="R24" s="16">
        <f t="shared" ca="1" si="5"/>
        <v>-15.712662472454745</v>
      </c>
      <c r="S24" s="16">
        <f t="shared" ca="1" si="6"/>
        <v>5.8154955723440231</v>
      </c>
      <c r="T24" s="13">
        <f t="shared" ca="1" si="7"/>
        <v>1071532.1363375275</v>
      </c>
      <c r="U24" s="13">
        <f t="shared" ca="1" si="8"/>
        <v>463833.87549557234</v>
      </c>
      <c r="V24" s="16">
        <f t="shared" si="9"/>
        <v>1244.509651664825</v>
      </c>
      <c r="W24" s="16">
        <f t="shared" ca="1" si="10"/>
        <v>1244.601649552598</v>
      </c>
      <c r="X24" s="47">
        <f t="shared" ca="1" si="11"/>
        <v>1071532.1363375275</v>
      </c>
      <c r="Y24" s="47">
        <f t="shared" ca="1" si="25"/>
        <v>463833.87549557234</v>
      </c>
      <c r="Z24" s="47">
        <f t="shared" ref="Z24:Z34" ca="1" si="28">IF(X24="","",VALUE((-mB*X24+Y24-bA)/(mA-mB)))</f>
        <v>1071532.4372672439</v>
      </c>
      <c r="AA24" s="47">
        <f t="shared" ref="AA24:AA34" ca="1" si="29">IF(Z24="","",VALUE(mA*Z24+bA))</f>
        <v>463833.82227738295</v>
      </c>
      <c r="AB24" s="47">
        <f t="shared" ref="AB24:AB34" ca="1" si="30">IF(ISNUMBER(X24),SQRT((X24-Z24)^2+(Y24-AA24)^2),"")</f>
        <v>0.30559919804929059</v>
      </c>
      <c r="AC24" s="47">
        <f t="shared" ref="AC24:AC34" ca="1" si="31">IF(ISNUMBER(Z24),SQRT(($Z24-OFFSET($Z$20,MATCH(CS_Start,$A$21:$A$51,0),0))^2+($AA24-OFFSET($AA$20,MATCH(CS_Start,$A$21:$A$51,0),0))^2),"")</f>
        <v>0.47707855935443633</v>
      </c>
      <c r="AD24" s="47">
        <f t="shared" ref="AD24:AD34" ca="1" si="32">IF(ISNUMBER(X24),W24-Min_Z,"")</f>
        <v>3.2796077926984708</v>
      </c>
      <c r="AE24" s="44">
        <f t="shared" ref="AE24:AE34" ca="1" si="33">ROUND(CONVERT(AC24,"m","ft"),2)</f>
        <v>1.57</v>
      </c>
      <c r="AF24" s="44">
        <f t="shared" ref="AF24:AF34" ca="1" si="34">ROUND(CONVERT(AD24,"m","ft"),2)</f>
        <v>10.76</v>
      </c>
      <c r="AH24" s="44">
        <v>1.57</v>
      </c>
      <c r="AI24" s="44">
        <f t="shared" ref="AI24:AI31" ca="1" si="35">OFFSET($AF$22,MATCH(AH24,$AE$23:$AE$59,0),0)</f>
        <v>10.76</v>
      </c>
      <c r="AJ24" s="2" t="str">
        <f t="shared" ca="1" si="27"/>
        <v>1.57,10.76</v>
      </c>
    </row>
    <row r="25" spans="1:36" x14ac:dyDescent="0.25">
      <c r="A25" s="44">
        <v>5</v>
      </c>
      <c r="B25" s="48">
        <v>4.9552430555555551</v>
      </c>
      <c r="C25" s="48">
        <v>4.4582986111111111</v>
      </c>
      <c r="D25" s="44">
        <v>16.936</v>
      </c>
      <c r="E25" s="44">
        <v>1.492</v>
      </c>
      <c r="F25" s="44"/>
      <c r="G25" s="43">
        <f t="shared" si="17"/>
        <v>106.99916666666667</v>
      </c>
      <c r="H25" s="43">
        <f t="shared" si="18"/>
        <v>1.8674877552234994</v>
      </c>
      <c r="I25" s="43">
        <f t="shared" si="3"/>
        <v>118.92583333333332</v>
      </c>
      <c r="J25" s="39">
        <f t="shared" si="19"/>
        <v>2.0756473573446894</v>
      </c>
      <c r="K25" s="39">
        <f t="shared" si="20"/>
        <v>16.19604936348421</v>
      </c>
      <c r="L25" s="15">
        <f t="shared" si="21"/>
        <v>-4.9513716297186443</v>
      </c>
      <c r="M25" s="13"/>
      <c r="N25" s="16">
        <f t="shared" si="4"/>
        <v>118.92583333333332</v>
      </c>
      <c r="O25" s="16">
        <f t="shared" ca="1" si="22"/>
        <v>180.65305809751078</v>
      </c>
      <c r="P25" s="16">
        <f t="shared" ca="1" si="23"/>
        <v>299.57889143084412</v>
      </c>
      <c r="Q25" s="16">
        <f t="shared" ca="1" si="24"/>
        <v>5.2286380249428568</v>
      </c>
      <c r="R25" s="16">
        <f t="shared" ca="1" si="5"/>
        <v>-14.085329121746835</v>
      </c>
      <c r="S25" s="16">
        <f t="shared" ca="1" si="6"/>
        <v>7.9947181636682982</v>
      </c>
      <c r="T25" s="13">
        <f t="shared" ca="1" si="7"/>
        <v>1071533.7636708783</v>
      </c>
      <c r="U25" s="13">
        <f t="shared" ca="1" si="8"/>
        <v>463836.05471816368</v>
      </c>
      <c r="V25" s="16">
        <f t="shared" si="9"/>
        <v>1244.1076283702814</v>
      </c>
      <c r="W25" s="16">
        <f t="shared" ca="1" si="10"/>
        <v>1244.1996262580544</v>
      </c>
      <c r="X25" s="47">
        <f t="shared" ca="1" si="11"/>
        <v>1071533.7636708783</v>
      </c>
      <c r="Y25" s="47">
        <f t="shared" ca="1" si="25"/>
        <v>463836.05471816368</v>
      </c>
      <c r="Z25" s="47">
        <f t="shared" ca="1" si="28"/>
        <v>1071532.8603171764</v>
      </c>
      <c r="AA25" s="47">
        <f t="shared" ca="1" si="29"/>
        <v>463836.21447256953</v>
      </c>
      <c r="AB25" s="47">
        <f t="shared" ca="1" si="30"/>
        <v>0.91737090686555056</v>
      </c>
      <c r="AC25" s="47">
        <f t="shared" ca="1" si="31"/>
        <v>2.906393083276861</v>
      </c>
      <c r="AD25" s="47">
        <f t="shared" ca="1" si="32"/>
        <v>2.8775844981548744</v>
      </c>
      <c r="AE25" s="44">
        <f t="shared" ca="1" si="33"/>
        <v>9.5399999999999991</v>
      </c>
      <c r="AF25" s="44">
        <f t="shared" ca="1" si="34"/>
        <v>9.44</v>
      </c>
      <c r="AH25" s="44">
        <v>9.5399999999999991</v>
      </c>
      <c r="AI25" s="44">
        <f t="shared" ca="1" si="35"/>
        <v>9.44</v>
      </c>
      <c r="AJ25" s="2" t="str">
        <f t="shared" ca="1" si="27"/>
        <v>9.54,9.44</v>
      </c>
    </row>
    <row r="26" spans="1:36" x14ac:dyDescent="0.25">
      <c r="A26" s="44">
        <v>6</v>
      </c>
      <c r="B26" s="48">
        <v>4.9644212962962966</v>
      </c>
      <c r="C26" s="48">
        <v>4.5507175925925925</v>
      </c>
      <c r="D26" s="44">
        <v>17.626999999999999</v>
      </c>
      <c r="E26" s="44">
        <v>1.492</v>
      </c>
      <c r="F26" s="44"/>
      <c r="G26" s="43">
        <f t="shared" si="17"/>
        <v>109.21722222222222</v>
      </c>
      <c r="H26" s="43">
        <f t="shared" si="18"/>
        <v>1.9062001276600957</v>
      </c>
      <c r="I26" s="43">
        <f t="shared" si="3"/>
        <v>119.14611111111111</v>
      </c>
      <c r="J26" s="39">
        <f t="shared" si="19"/>
        <v>2.0794919298358883</v>
      </c>
      <c r="K26" s="39">
        <f t="shared" si="20"/>
        <v>16.644779058268178</v>
      </c>
      <c r="L26" s="15">
        <f t="shared" si="21"/>
        <v>-5.8019358063871298</v>
      </c>
      <c r="M26" s="13"/>
      <c r="N26" s="16">
        <f t="shared" si="4"/>
        <v>119.14611111111111</v>
      </c>
      <c r="O26" s="16">
        <f t="shared" ca="1" si="22"/>
        <v>180.65305809751078</v>
      </c>
      <c r="P26" s="16">
        <f t="shared" ca="1" si="23"/>
        <v>299.79916920862189</v>
      </c>
      <c r="Q26" s="16">
        <f t="shared" ca="1" si="24"/>
        <v>5.2324825974340552</v>
      </c>
      <c r="R26" s="16">
        <f t="shared" ca="1" si="5"/>
        <v>-14.443884188892897</v>
      </c>
      <c r="S26" s="16">
        <f t="shared" ca="1" si="6"/>
        <v>8.2718123429157071</v>
      </c>
      <c r="T26" s="13">
        <f t="shared" ca="1" si="7"/>
        <v>1071533.4051158109</v>
      </c>
      <c r="U26" s="13">
        <f t="shared" ca="1" si="8"/>
        <v>463836.33181234292</v>
      </c>
      <c r="V26" s="16">
        <f t="shared" si="9"/>
        <v>1243.2570641936129</v>
      </c>
      <c r="W26" s="16">
        <f t="shared" ca="1" si="10"/>
        <v>1243.3490620813859</v>
      </c>
      <c r="X26" s="47">
        <f t="shared" ca="1" si="11"/>
        <v>1071533.4051158109</v>
      </c>
      <c r="Y26" s="47">
        <f t="shared" ca="1" si="25"/>
        <v>463836.33181234292</v>
      </c>
      <c r="Z26" s="47">
        <f t="shared" ca="1" si="28"/>
        <v>1071532.8969605255</v>
      </c>
      <c r="AA26" s="47">
        <f t="shared" ca="1" si="29"/>
        <v>463836.42167752795</v>
      </c>
      <c r="AB26" s="47">
        <f t="shared" ca="1" si="30"/>
        <v>0.51604025573668189</v>
      </c>
      <c r="AC26" s="47">
        <f t="shared" ca="1" si="31"/>
        <v>3.1168132102341874</v>
      </c>
      <c r="AD26" s="47">
        <f t="shared" ca="1" si="32"/>
        <v>2.0270203214863614</v>
      </c>
      <c r="AE26" s="44">
        <f t="shared" ca="1" si="33"/>
        <v>10.23</v>
      </c>
      <c r="AF26" s="44">
        <f t="shared" ca="1" si="34"/>
        <v>6.65</v>
      </c>
      <c r="AH26" s="44">
        <v>10.23</v>
      </c>
      <c r="AI26" s="44">
        <f t="shared" ca="1" si="35"/>
        <v>6.65</v>
      </c>
      <c r="AJ26" s="2" t="str">
        <f t="shared" ca="1" si="27"/>
        <v>10.23,6.65</v>
      </c>
    </row>
    <row r="27" spans="1:36" x14ac:dyDescent="0.25">
      <c r="A27" s="44">
        <v>7</v>
      </c>
      <c r="B27" s="48">
        <v>5.0352083333333333</v>
      </c>
      <c r="C27" s="48">
        <v>4.6223611111111111</v>
      </c>
      <c r="D27" s="44">
        <v>18.001999999999999</v>
      </c>
      <c r="E27" s="44">
        <v>1.492</v>
      </c>
      <c r="F27" s="44"/>
      <c r="G27" s="43">
        <f t="shared" si="17"/>
        <v>110.93666666666667</v>
      </c>
      <c r="H27" s="43">
        <f t="shared" si="18"/>
        <v>1.9362100945207761</v>
      </c>
      <c r="I27" s="43">
        <f t="shared" si="3"/>
        <v>120.845</v>
      </c>
      <c r="J27" s="39">
        <f t="shared" si="19"/>
        <v>2.1091431345725473</v>
      </c>
      <c r="K27" s="39">
        <f t="shared" si="20"/>
        <v>16.813435719924012</v>
      </c>
      <c r="L27" s="15">
        <f t="shared" si="21"/>
        <v>-6.4327586066930342</v>
      </c>
      <c r="M27" s="13"/>
      <c r="N27" s="16">
        <f t="shared" si="4"/>
        <v>120.845</v>
      </c>
      <c r="O27" s="16">
        <f t="shared" ca="1" si="22"/>
        <v>180.65305809751078</v>
      </c>
      <c r="P27" s="16">
        <f t="shared" ca="1" si="23"/>
        <v>301.49805809751081</v>
      </c>
      <c r="Q27" s="16">
        <f t="shared" ca="1" si="24"/>
        <v>5.2621338021707142</v>
      </c>
      <c r="R27" s="16">
        <f t="shared" ca="1" si="5"/>
        <v>-14.336108333646974</v>
      </c>
      <c r="S27" s="16">
        <f t="shared" ca="1" si="6"/>
        <v>8.784510148776338</v>
      </c>
      <c r="T27" s="13">
        <f t="shared" ca="1" si="7"/>
        <v>1071533.5128916663</v>
      </c>
      <c r="U27" s="13">
        <f t="shared" ca="1" si="8"/>
        <v>463836.84451014875</v>
      </c>
      <c r="V27" s="16">
        <f t="shared" si="9"/>
        <v>1242.6262413933068</v>
      </c>
      <c r="W27" s="16">
        <f t="shared" ca="1" si="10"/>
        <v>1242.7182392810798</v>
      </c>
      <c r="X27" s="47">
        <f t="shared" ca="1" si="11"/>
        <v>1071533.5128916663</v>
      </c>
      <c r="Y27" s="47">
        <f t="shared" ca="1" si="25"/>
        <v>463836.84451014875</v>
      </c>
      <c r="Z27" s="47">
        <f t="shared" ca="1" si="28"/>
        <v>1071532.9881478332</v>
      </c>
      <c r="AA27" s="47">
        <f t="shared" ca="1" si="29"/>
        <v>463836.93730894942</v>
      </c>
      <c r="AB27" s="47">
        <f t="shared" ca="1" si="30"/>
        <v>0.53288620529810882</v>
      </c>
      <c r="AC27" s="47">
        <f t="shared" ca="1" si="31"/>
        <v>3.6404456078908458</v>
      </c>
      <c r="AD27" s="47">
        <f t="shared" ca="1" si="32"/>
        <v>1.3961975211802837</v>
      </c>
      <c r="AE27" s="44">
        <f t="shared" ca="1" si="33"/>
        <v>11.94</v>
      </c>
      <c r="AF27" s="44">
        <f t="shared" ca="1" si="34"/>
        <v>4.58</v>
      </c>
      <c r="AH27" s="44">
        <v>11.94</v>
      </c>
      <c r="AI27" s="44">
        <f t="shared" ca="1" si="35"/>
        <v>4.58</v>
      </c>
      <c r="AJ27" s="2" t="str">
        <f t="shared" ca="1" si="27"/>
        <v>11.94,4.58</v>
      </c>
    </row>
    <row r="28" spans="1:36" x14ac:dyDescent="0.25">
      <c r="A28" s="44">
        <v>8</v>
      </c>
      <c r="B28" s="48">
        <v>6.1929861111111109</v>
      </c>
      <c r="C28" s="48">
        <v>4.332881944444444</v>
      </c>
      <c r="D28" s="44">
        <v>26.780999999999999</v>
      </c>
      <c r="E28" s="44">
        <v>1.492</v>
      </c>
      <c r="F28" s="49" t="s">
        <v>85</v>
      </c>
      <c r="G28" s="43">
        <f t="shared" si="17"/>
        <v>103.98916666666665</v>
      </c>
      <c r="H28" s="43">
        <f t="shared" si="18"/>
        <v>1.8149533447384696</v>
      </c>
      <c r="I28" s="43">
        <f t="shared" si="3"/>
        <v>148.63166666666666</v>
      </c>
      <c r="J28" s="39">
        <f t="shared" si="19"/>
        <v>2.5941119560600385</v>
      </c>
      <c r="K28" s="39">
        <f t="shared" si="20"/>
        <v>25.986714395991122</v>
      </c>
      <c r="L28" s="15">
        <f t="shared" si="21"/>
        <v>-6.473996903087591</v>
      </c>
      <c r="M28" s="13"/>
      <c r="N28" s="16">
        <f t="shared" si="4"/>
        <v>148.63166666666666</v>
      </c>
      <c r="O28" s="16">
        <f t="shared" ca="1" si="22"/>
        <v>180.65305809751078</v>
      </c>
      <c r="P28" s="16">
        <f t="shared" ca="1" si="23"/>
        <v>329.28472476417744</v>
      </c>
      <c r="Q28" s="16">
        <f t="shared" ca="1" si="24"/>
        <v>5.747102623658205</v>
      </c>
      <c r="R28" s="16">
        <f t="shared" ca="1" si="5"/>
        <v>-13.273289700140189</v>
      </c>
      <c r="S28" s="16">
        <f t="shared" ca="1" si="6"/>
        <v>22.34119749778343</v>
      </c>
      <c r="T28" s="13">
        <f t="shared" ca="1" si="7"/>
        <v>1071534.5757102999</v>
      </c>
      <c r="U28" s="13">
        <f t="shared" ca="1" si="8"/>
        <v>463850.40119749779</v>
      </c>
      <c r="V28" s="16">
        <f t="shared" si="9"/>
        <v>1242.5850030969125</v>
      </c>
      <c r="W28" s="16">
        <f t="shared" ca="1" si="10"/>
        <v>1242.6770009846855</v>
      </c>
      <c r="X28" s="47">
        <f t="shared" ca="1" si="11"/>
        <v>1071534.5757102999</v>
      </c>
      <c r="Y28" s="47">
        <f t="shared" ca="1" si="25"/>
        <v>463850.40119749779</v>
      </c>
      <c r="Z28" s="47">
        <f t="shared" ca="1" si="28"/>
        <v>1071535.3451186025</v>
      </c>
      <c r="AA28" s="47">
        <f t="shared" ca="1" si="29"/>
        <v>463850.26513078716</v>
      </c>
      <c r="AB28" s="47">
        <f t="shared" ca="1" si="30"/>
        <v>0.78134709692619897</v>
      </c>
      <c r="AC28" s="47">
        <f t="shared" ca="1" si="31"/>
        <v>17.175073277172167</v>
      </c>
      <c r="AD28" s="47">
        <f t="shared" ca="1" si="32"/>
        <v>1.3549592247859437</v>
      </c>
      <c r="AE28" s="44">
        <f t="shared" ca="1" si="33"/>
        <v>56.35</v>
      </c>
      <c r="AF28" s="44">
        <f t="shared" ca="1" si="34"/>
        <v>4.45</v>
      </c>
      <c r="AH28" s="44">
        <v>56.35</v>
      </c>
      <c r="AI28" s="44">
        <f t="shared" ca="1" si="35"/>
        <v>4.45</v>
      </c>
      <c r="AJ28" s="2" t="str">
        <f t="shared" ca="1" si="27"/>
        <v>56.35,4.45</v>
      </c>
    </row>
    <row r="29" spans="1:36" x14ac:dyDescent="0.25">
      <c r="A29" s="44">
        <v>9</v>
      </c>
      <c r="B29" s="48">
        <v>6.2809259259259251</v>
      </c>
      <c r="C29" s="48">
        <v>4.3062152777777776</v>
      </c>
      <c r="D29" s="44">
        <v>28.481000000000002</v>
      </c>
      <c r="E29" s="44">
        <v>1.492</v>
      </c>
      <c r="F29" s="44"/>
      <c r="G29" s="43">
        <f t="shared" si="17"/>
        <v>103.34916666666666</v>
      </c>
      <c r="H29" s="43">
        <f t="shared" si="18"/>
        <v>1.8037832375257061</v>
      </c>
      <c r="I29" s="43">
        <f t="shared" si="3"/>
        <v>150.74222222222221</v>
      </c>
      <c r="J29" s="39">
        <f t="shared" si="19"/>
        <v>2.630948099550741</v>
      </c>
      <c r="K29" s="39">
        <f t="shared" si="20"/>
        <v>27.711474827616861</v>
      </c>
      <c r="L29" s="15">
        <f t="shared" si="21"/>
        <v>-6.5758287598109755</v>
      </c>
      <c r="M29" s="13"/>
      <c r="N29" s="16">
        <f t="shared" si="4"/>
        <v>150.74222222222221</v>
      </c>
      <c r="O29" s="16">
        <f t="shared" ca="1" si="22"/>
        <v>180.65305809751078</v>
      </c>
      <c r="P29" s="16">
        <f t="shared" ca="1" si="23"/>
        <v>331.39528031973299</v>
      </c>
      <c r="Q29" s="16">
        <f t="shared" ca="1" si="24"/>
        <v>5.7839387671489071</v>
      </c>
      <c r="R29" s="16">
        <f t="shared" ca="1" si="5"/>
        <v>-13.267261501684651</v>
      </c>
      <c r="S29" s="16">
        <f t="shared" ca="1" si="6"/>
        <v>24.329110328319846</v>
      </c>
      <c r="T29" s="13">
        <f t="shared" ca="1" si="7"/>
        <v>1071534.5817384983</v>
      </c>
      <c r="U29" s="13">
        <f t="shared" ca="1" si="8"/>
        <v>463852.38911032834</v>
      </c>
      <c r="V29" s="16">
        <f t="shared" si="9"/>
        <v>1242.483171240189</v>
      </c>
      <c r="W29" s="16">
        <f t="shared" ca="1" si="10"/>
        <v>1242.575169127962</v>
      </c>
      <c r="X29" s="47">
        <f t="shared" ca="1" si="11"/>
        <v>1071534.5817384983</v>
      </c>
      <c r="Y29" s="47">
        <f t="shared" ca="1" si="25"/>
        <v>463852.38911032834</v>
      </c>
      <c r="Z29" s="47">
        <f t="shared" ca="1" si="28"/>
        <v>1071535.6861944159</v>
      </c>
      <c r="AA29" s="47">
        <f t="shared" ca="1" si="29"/>
        <v>463852.19379181787</v>
      </c>
      <c r="AB29" s="47">
        <f t="shared" ca="1" si="30"/>
        <v>1.1215935959470902</v>
      </c>
      <c r="AC29" s="47">
        <f t="shared" ca="1" si="31"/>
        <v>19.133661054600601</v>
      </c>
      <c r="AD29" s="47">
        <f t="shared" ca="1" si="32"/>
        <v>1.2531273680624508</v>
      </c>
      <c r="AE29" s="44">
        <f t="shared" ca="1" si="33"/>
        <v>62.77</v>
      </c>
      <c r="AF29" s="44">
        <f t="shared" ca="1" si="34"/>
        <v>4.1100000000000003</v>
      </c>
      <c r="AH29" s="44">
        <v>62.77</v>
      </c>
      <c r="AI29" s="44">
        <f t="shared" ca="1" si="35"/>
        <v>4.1100000000000003</v>
      </c>
      <c r="AJ29" s="2" t="str">
        <f t="shared" ca="1" si="27"/>
        <v>62.77,4.11</v>
      </c>
    </row>
    <row r="30" spans="1:36" x14ac:dyDescent="0.25">
      <c r="A30" s="44">
        <v>10</v>
      </c>
      <c r="B30" s="48">
        <v>7.0976273148148152</v>
      </c>
      <c r="C30" s="48">
        <v>4.0952083333333329</v>
      </c>
      <c r="D30" s="44">
        <v>46.4</v>
      </c>
      <c r="E30" s="44">
        <v>1.492</v>
      </c>
      <c r="F30" s="44"/>
      <c r="G30" s="43">
        <f t="shared" si="17"/>
        <v>98.284999999999997</v>
      </c>
      <c r="H30" s="43">
        <f t="shared" si="18"/>
        <v>1.7153968553226266</v>
      </c>
      <c r="I30" s="43">
        <f t="shared" si="3"/>
        <v>170.34305555555557</v>
      </c>
      <c r="J30" s="39">
        <f t="shared" si="19"/>
        <v>2.973047177352063</v>
      </c>
      <c r="K30" s="39">
        <f t="shared" si="20"/>
        <v>45.915748605070483</v>
      </c>
      <c r="L30" s="15">
        <f t="shared" si="21"/>
        <v>-6.6861072408365985</v>
      </c>
      <c r="M30" s="13"/>
      <c r="N30" s="16">
        <f t="shared" si="4"/>
        <v>170.34305555555557</v>
      </c>
      <c r="O30" s="16">
        <f t="shared" ca="1" si="22"/>
        <v>180.65305809751078</v>
      </c>
      <c r="P30" s="16">
        <f t="shared" ca="1" si="23"/>
        <v>350.99611365306635</v>
      </c>
      <c r="Q30" s="16">
        <f t="shared" ca="1" si="24"/>
        <v>6.12603784495023</v>
      </c>
      <c r="R30" s="16">
        <f t="shared" ca="1" si="5"/>
        <v>-7.1858816540090986</v>
      </c>
      <c r="S30" s="16">
        <f t="shared" ca="1" si="6"/>
        <v>45.3499622361321</v>
      </c>
      <c r="T30" s="13">
        <f t="shared" ca="1" si="7"/>
        <v>1071540.6631183459</v>
      </c>
      <c r="U30" s="13">
        <f t="shared" ca="1" si="8"/>
        <v>463873.40996223612</v>
      </c>
      <c r="V30" s="16">
        <f t="shared" si="9"/>
        <v>1242.3728927591633</v>
      </c>
      <c r="W30" s="16">
        <f t="shared" ca="1" si="10"/>
        <v>1242.4648906469363</v>
      </c>
      <c r="X30" s="47">
        <f t="shared" ca="1" si="11"/>
        <v>1071540.6631183459</v>
      </c>
      <c r="Y30" s="47">
        <f t="shared" ca="1" si="25"/>
        <v>463873.40996223612</v>
      </c>
      <c r="Z30" s="47">
        <f t="shared" ca="1" si="28"/>
        <v>1071539.475334673</v>
      </c>
      <c r="AA30" s="47">
        <f t="shared" ca="1" si="29"/>
        <v>463873.62001691945</v>
      </c>
      <c r="AB30" s="47">
        <f t="shared" ca="1" si="30"/>
        <v>1.2062143357170498</v>
      </c>
      <c r="AC30" s="47">
        <f t="shared" ca="1" si="31"/>
        <v>40.892353708135509</v>
      </c>
      <c r="AD30" s="47">
        <f t="shared" ca="1" si="32"/>
        <v>1.1428488870367346</v>
      </c>
      <c r="AE30" s="44">
        <f t="shared" ca="1" si="33"/>
        <v>134.16</v>
      </c>
      <c r="AF30" s="44">
        <f t="shared" ca="1" si="34"/>
        <v>3.75</v>
      </c>
      <c r="AH30" s="44">
        <v>134.16</v>
      </c>
      <c r="AI30" s="44">
        <f t="shared" ca="1" si="35"/>
        <v>3.75</v>
      </c>
      <c r="AJ30" s="2" t="str">
        <f t="shared" ca="1" si="27"/>
        <v>134.16,3.75</v>
      </c>
    </row>
    <row r="31" spans="1:36" x14ac:dyDescent="0.25">
      <c r="A31" s="44">
        <v>11</v>
      </c>
      <c r="B31" s="48">
        <v>7.3334953703703709</v>
      </c>
      <c r="C31" s="48">
        <v>4.0050694444444446</v>
      </c>
      <c r="D31" s="44">
        <v>63.917000000000002</v>
      </c>
      <c r="E31" s="44">
        <v>1.492</v>
      </c>
      <c r="F31" s="44"/>
      <c r="G31" s="43">
        <f t="shared" si="17"/>
        <v>96.12166666666667</v>
      </c>
      <c r="H31" s="43">
        <f t="shared" si="18"/>
        <v>1.6776395658378163</v>
      </c>
      <c r="I31" s="43">
        <f t="shared" si="3"/>
        <v>176.00388888888889</v>
      </c>
      <c r="J31" s="39">
        <f t="shared" si="19"/>
        <v>3.0718473574253755</v>
      </c>
      <c r="K31" s="39">
        <f t="shared" si="20"/>
        <v>63.552525373978916</v>
      </c>
      <c r="L31" s="15">
        <f t="shared" si="21"/>
        <v>-6.816113818721516</v>
      </c>
      <c r="M31" s="13"/>
      <c r="N31" s="16">
        <f t="shared" si="4"/>
        <v>176.00388888888889</v>
      </c>
      <c r="O31" s="16">
        <f t="shared" ca="1" si="22"/>
        <v>180.65305809751078</v>
      </c>
      <c r="P31" s="16">
        <f t="shared" ca="1" si="23"/>
        <v>356.6569469863997</v>
      </c>
      <c r="Q31" s="16">
        <f t="shared" ca="1" si="24"/>
        <v>6.2248380250235424</v>
      </c>
      <c r="R31" s="16">
        <f t="shared" ca="1" si="5"/>
        <v>-3.7060134988806905</v>
      </c>
      <c r="S31" s="16">
        <f t="shared" ca="1" si="6"/>
        <v>63.444376782787835</v>
      </c>
      <c r="T31" s="13">
        <f t="shared" ca="1" si="7"/>
        <v>1071544.1429865011</v>
      </c>
      <c r="U31" s="13">
        <f t="shared" ca="1" si="8"/>
        <v>463891.5043767828</v>
      </c>
      <c r="V31" s="16">
        <f t="shared" si="9"/>
        <v>1242.2428861812784</v>
      </c>
      <c r="W31" s="16">
        <f t="shared" ca="1" si="10"/>
        <v>1242.3348840690514</v>
      </c>
      <c r="X31" s="47">
        <f t="shared" ca="1" si="11"/>
        <v>1071544.1429865011</v>
      </c>
      <c r="Y31" s="47">
        <f t="shared" ca="1" si="25"/>
        <v>463891.5043767828</v>
      </c>
      <c r="Z31" s="47">
        <f t="shared" ca="1" si="28"/>
        <v>1071542.6837474869</v>
      </c>
      <c r="AA31" s="47">
        <f t="shared" ca="1" si="29"/>
        <v>463891.76243723277</v>
      </c>
      <c r="AB31" s="47">
        <f t="shared" ca="1" si="30"/>
        <v>1.4818818091791224</v>
      </c>
      <c r="AC31" s="47">
        <f t="shared" ca="1" si="31"/>
        <v>59.316287262345618</v>
      </c>
      <c r="AD31" s="47">
        <f t="shared" ca="1" si="32"/>
        <v>1.0128423091518926</v>
      </c>
      <c r="AE31" s="44">
        <f t="shared" ca="1" si="33"/>
        <v>194.61</v>
      </c>
      <c r="AF31" s="44">
        <f t="shared" ca="1" si="34"/>
        <v>3.32</v>
      </c>
      <c r="AH31" s="44">
        <v>194.61</v>
      </c>
      <c r="AI31" s="44">
        <f t="shared" ca="1" si="35"/>
        <v>3.32</v>
      </c>
      <c r="AJ31" s="2" t="str">
        <f t="shared" ca="1" si="27"/>
        <v>194.61,3.32</v>
      </c>
    </row>
    <row r="32" spans="1:36" x14ac:dyDescent="0.25">
      <c r="A32" s="44">
        <v>12</v>
      </c>
      <c r="B32" s="48">
        <v>7.3733101851851854</v>
      </c>
      <c r="C32" s="48">
        <v>3.9605787037037037</v>
      </c>
      <c r="D32" s="49">
        <v>77.003</v>
      </c>
      <c r="E32" s="44">
        <v>1.492</v>
      </c>
      <c r="F32" s="44"/>
      <c r="G32" s="43">
        <f t="shared" si="17"/>
        <v>95.053888888888892</v>
      </c>
      <c r="H32" s="43">
        <f t="shared" si="18"/>
        <v>1.6590033279359657</v>
      </c>
      <c r="I32" s="43">
        <f t="shared" si="3"/>
        <v>176.95944444444444</v>
      </c>
      <c r="J32" s="39">
        <f t="shared" si="19"/>
        <v>3.0885249480555435</v>
      </c>
      <c r="K32" s="39">
        <f t="shared" si="20"/>
        <v>76.703634216051682</v>
      </c>
      <c r="L32" s="15">
        <f t="shared" si="21"/>
        <v>-6.7833993727440953</v>
      </c>
      <c r="M32" s="13"/>
      <c r="N32" s="16">
        <f t="shared" si="4"/>
        <v>176.95944444444444</v>
      </c>
      <c r="O32" s="16">
        <f t="shared" ca="1" si="22"/>
        <v>180.65305809751078</v>
      </c>
      <c r="P32" s="16">
        <f t="shared" ca="1" si="23"/>
        <v>357.61250254195522</v>
      </c>
      <c r="Q32" s="16">
        <f t="shared" ca="1" si="24"/>
        <v>6.2415156156537099</v>
      </c>
      <c r="R32" s="16">
        <f t="shared" ca="1" si="5"/>
        <v>-3.1952918914696498</v>
      </c>
      <c r="S32" s="16">
        <f t="shared" ca="1" si="6"/>
        <v>76.637051167683651</v>
      </c>
      <c r="T32" s="13">
        <f t="shared" ca="1" si="7"/>
        <v>1071544.6537081085</v>
      </c>
      <c r="U32" s="13">
        <f t="shared" ca="1" si="8"/>
        <v>463904.69705116766</v>
      </c>
      <c r="V32" s="16">
        <f t="shared" si="9"/>
        <v>1242.2756006272559</v>
      </c>
      <c r="W32" s="16">
        <f t="shared" ca="1" si="10"/>
        <v>1242.3675985150289</v>
      </c>
      <c r="X32" s="47">
        <f t="shared" ca="1" si="11"/>
        <v>1071544.6537081085</v>
      </c>
      <c r="Y32" s="47">
        <f t="shared" ca="1" si="25"/>
        <v>463904.69705116766</v>
      </c>
      <c r="Z32" s="47">
        <f t="shared" ca="1" si="28"/>
        <v>1071544.9615533489</v>
      </c>
      <c r="AA32" s="47">
        <f t="shared" ca="1" si="29"/>
        <v>463904.64260999672</v>
      </c>
      <c r="AB32" s="47">
        <f t="shared" ca="1" si="30"/>
        <v>0.31262202924082988</v>
      </c>
      <c r="AC32" s="47">
        <f t="shared" ca="1" si="31"/>
        <v>72.396319753676323</v>
      </c>
      <c r="AD32" s="47">
        <f t="shared" ca="1" si="32"/>
        <v>1.0455567551293825</v>
      </c>
      <c r="AE32" s="44">
        <f t="shared" ca="1" si="33"/>
        <v>237.52</v>
      </c>
      <c r="AF32" s="44">
        <f t="shared" ca="1" si="34"/>
        <v>3.43</v>
      </c>
      <c r="AH32" s="44">
        <v>237.52</v>
      </c>
      <c r="AI32" s="44">
        <f t="shared" ref="AI32:AI36" ca="1" si="36">OFFSET($AF$22,MATCH(AH32,$AE$23:$AE$59,0),0)</f>
        <v>3.43</v>
      </c>
      <c r="AJ32" s="44" t="str">
        <f t="shared" ref="AJ32:AJ36" ca="1" si="37">CONCATENATE(AH32,",",AI32)</f>
        <v>237.52,3.43</v>
      </c>
    </row>
    <row r="33" spans="1:36" x14ac:dyDescent="0.25">
      <c r="A33" s="44">
        <v>13</v>
      </c>
      <c r="B33" s="48">
        <v>7.3835416666666669</v>
      </c>
      <c r="C33" s="48">
        <v>3.9896990740740743</v>
      </c>
      <c r="D33" s="44">
        <v>78.105000000000004</v>
      </c>
      <c r="E33" s="44">
        <v>1.492</v>
      </c>
      <c r="F33" s="49" t="s">
        <v>85</v>
      </c>
      <c r="G33" s="43">
        <f t="shared" si="17"/>
        <v>95.75277777777778</v>
      </c>
      <c r="H33" s="43">
        <f t="shared" si="18"/>
        <v>1.6712012401526815</v>
      </c>
      <c r="I33" s="43">
        <f t="shared" si="3"/>
        <v>177.20500000000001</v>
      </c>
      <c r="J33" s="39">
        <f t="shared" si="19"/>
        <v>3.092810700996552</v>
      </c>
      <c r="K33" s="39">
        <f t="shared" si="20"/>
        <v>77.711636650812039</v>
      </c>
      <c r="L33" s="15">
        <f t="shared" si="21"/>
        <v>-7.8289561278734681</v>
      </c>
      <c r="M33" s="13"/>
      <c r="N33" s="16">
        <f t="shared" si="4"/>
        <v>177.20500000000001</v>
      </c>
      <c r="O33" s="16">
        <f t="shared" ca="1" si="22"/>
        <v>180.65305809751078</v>
      </c>
      <c r="P33" s="16">
        <f t="shared" ca="1" si="23"/>
        <v>357.85805809751082</v>
      </c>
      <c r="Q33" s="16">
        <f t="shared" ca="1" si="24"/>
        <v>6.2458013685947185</v>
      </c>
      <c r="R33" s="16">
        <f t="shared" ca="1" si="5"/>
        <v>-2.9044904088401737</v>
      </c>
      <c r="S33" s="16">
        <f t="shared" ca="1" si="6"/>
        <v>77.657339681531639</v>
      </c>
      <c r="T33" s="13">
        <f t="shared" ca="1" si="7"/>
        <v>1071544.944509591</v>
      </c>
      <c r="U33" s="13">
        <f t="shared" ca="1" si="8"/>
        <v>463905.71733968152</v>
      </c>
      <c r="V33" s="16">
        <f t="shared" si="9"/>
        <v>1241.2300438721265</v>
      </c>
      <c r="W33" s="16">
        <f t="shared" ca="1" si="10"/>
        <v>1241.3220417598995</v>
      </c>
      <c r="X33" s="47">
        <f t="shared" ca="1" si="11"/>
        <v>1071544.944509591</v>
      </c>
      <c r="Y33" s="47">
        <f t="shared" ca="1" si="25"/>
        <v>463905.71733968152</v>
      </c>
      <c r="Z33" s="47">
        <f t="shared" ca="1" si="28"/>
        <v>1071545.1453342123</v>
      </c>
      <c r="AA33" s="47">
        <f t="shared" ca="1" si="29"/>
        <v>463905.68182466924</v>
      </c>
      <c r="AB33" s="47">
        <f t="shared" ca="1" si="30"/>
        <v>0.20394078710258462</v>
      </c>
      <c r="AC33" s="47">
        <f t="shared" ca="1" si="31"/>
        <v>73.451659765871526</v>
      </c>
      <c r="AD33" s="47">
        <f t="shared" ca="1" si="32"/>
        <v>0</v>
      </c>
      <c r="AE33" s="44">
        <f t="shared" ca="1" si="33"/>
        <v>240.98</v>
      </c>
      <c r="AF33" s="44">
        <f t="shared" ca="1" si="34"/>
        <v>0</v>
      </c>
      <c r="AH33" s="44">
        <v>240.98</v>
      </c>
      <c r="AI33" s="44">
        <f t="shared" ca="1" si="36"/>
        <v>0</v>
      </c>
      <c r="AJ33" s="44" t="str">
        <f t="shared" ca="1" si="37"/>
        <v>240.98,0</v>
      </c>
    </row>
    <row r="34" spans="1:36" x14ac:dyDescent="0.25">
      <c r="A34" s="44">
        <v>14</v>
      </c>
      <c r="B34" s="48">
        <v>7.3843518518518527</v>
      </c>
      <c r="C34" s="48">
        <v>3.9402546296296297</v>
      </c>
      <c r="D34" s="44">
        <v>78.444999999999993</v>
      </c>
      <c r="E34" s="44">
        <v>1.492</v>
      </c>
      <c r="F34" s="44"/>
      <c r="G34" s="43">
        <f t="shared" si="17"/>
        <v>94.566111111111113</v>
      </c>
      <c r="H34" s="43">
        <f t="shared" si="18"/>
        <v>1.6504899996956821</v>
      </c>
      <c r="I34" s="43">
        <f t="shared" si="3"/>
        <v>177.22444444444446</v>
      </c>
      <c r="J34" s="39">
        <f t="shared" si="19"/>
        <v>3.0931500705733286</v>
      </c>
      <c r="K34" s="39">
        <f t="shared" si="20"/>
        <v>78.196026518610779</v>
      </c>
      <c r="L34" s="15">
        <f t="shared" si="21"/>
        <v>-6.244954899814525</v>
      </c>
      <c r="M34" s="13"/>
      <c r="N34" s="16">
        <f t="shared" si="4"/>
        <v>177.22444444444446</v>
      </c>
      <c r="O34" s="16">
        <f t="shared" ca="1" si="22"/>
        <v>180.65305809751078</v>
      </c>
      <c r="P34" s="16">
        <f t="shared" ca="1" si="23"/>
        <v>357.87750254195521</v>
      </c>
      <c r="Q34" s="16">
        <f t="shared" ca="1" si="24"/>
        <v>6.2461407381714942</v>
      </c>
      <c r="R34" s="16">
        <f t="shared" ca="1" si="5"/>
        <v>-2.8960756136580099</v>
      </c>
      <c r="S34" s="16">
        <f t="shared" ca="1" si="6"/>
        <v>78.142378446904573</v>
      </c>
      <c r="T34" s="13">
        <f t="shared" ca="1" si="7"/>
        <v>1071544.9529243864</v>
      </c>
      <c r="U34" s="13">
        <f t="shared" ca="1" si="8"/>
        <v>463906.20237844688</v>
      </c>
      <c r="V34" s="16">
        <f t="shared" si="9"/>
        <v>1242.8140451001855</v>
      </c>
      <c r="W34" s="16">
        <f t="shared" ca="1" si="10"/>
        <v>1242.9060429879585</v>
      </c>
      <c r="X34" s="47">
        <f t="shared" ca="1" si="11"/>
        <v>1071544.9529243864</v>
      </c>
      <c r="Y34" s="47">
        <f t="shared" ca="1" si="25"/>
        <v>463906.20237844688</v>
      </c>
      <c r="Z34" s="47">
        <f t="shared" ca="1" si="28"/>
        <v>1071545.2287652404</v>
      </c>
      <c r="AA34" s="47">
        <f t="shared" ca="1" si="29"/>
        <v>463906.1535971202</v>
      </c>
      <c r="AB34" s="47">
        <f t="shared" ca="1" si="30"/>
        <v>0.28012103560772422</v>
      </c>
      <c r="AC34" s="47">
        <f t="shared" ca="1" si="31"/>
        <v>73.930752639876602</v>
      </c>
      <c r="AD34" s="47">
        <f t="shared" ca="1" si="32"/>
        <v>1.5840012280589235</v>
      </c>
      <c r="AE34" s="44">
        <f t="shared" ca="1" si="33"/>
        <v>242.55</v>
      </c>
      <c r="AF34" s="44">
        <f t="shared" ca="1" si="34"/>
        <v>5.2</v>
      </c>
      <c r="AH34" s="44">
        <v>242.55</v>
      </c>
      <c r="AI34" s="44">
        <f t="shared" ca="1" si="36"/>
        <v>5.2</v>
      </c>
      <c r="AJ34" s="44" t="str">
        <f t="shared" ca="1" si="37"/>
        <v>242.55,5.2</v>
      </c>
    </row>
    <row r="35" spans="1:36" x14ac:dyDescent="0.25">
      <c r="A35" s="44">
        <v>15</v>
      </c>
      <c r="B35" s="48">
        <v>7.3816550925925926</v>
      </c>
      <c r="C35" s="48">
        <v>3.9304745370370373</v>
      </c>
      <c r="D35" s="44">
        <v>78.728999999999999</v>
      </c>
      <c r="E35" s="44">
        <v>1.492</v>
      </c>
      <c r="F35" s="44"/>
      <c r="G35" s="43">
        <f t="shared" ref="G35:G39" si="38">C35*24</f>
        <v>94.331388888888895</v>
      </c>
      <c r="H35" s="43">
        <f t="shared" ref="H35:H39" si="39">RADIANS(G35)</f>
        <v>1.6463933240903066</v>
      </c>
      <c r="I35" s="43">
        <f t="shared" ref="I35:I39" si="40">B35*24</f>
        <v>177.15972222222223</v>
      </c>
      <c r="J35" s="49">
        <f t="shared" ref="J35:J39" si="41">RADIANS(I35)</f>
        <v>3.0920204546963435</v>
      </c>
      <c r="K35" s="49">
        <f t="shared" ref="K35:K39" si="42">D35*SIN(H35)</f>
        <v>78.504142699893961</v>
      </c>
      <c r="L35" s="46">
        <f t="shared" ref="L35:L39" si="43">D35*COS(H35)</f>
        <v>-5.946008741557999</v>
      </c>
      <c r="M35" s="45"/>
      <c r="N35" s="47">
        <f t="shared" ref="N35:N39" si="44">I35+M35</f>
        <v>177.15972222222223</v>
      </c>
      <c r="O35" s="47">
        <f t="shared" ca="1" si="22"/>
        <v>180.65305809751078</v>
      </c>
      <c r="P35" s="47">
        <f t="shared" ref="P35:P39" ca="1" si="45">SUM(N35,O35)</f>
        <v>357.81278031973301</v>
      </c>
      <c r="Q35" s="47">
        <f t="shared" ref="Q35:Q39" ca="1" si="46">RADIANS(P35)</f>
        <v>6.2450111222945095</v>
      </c>
      <c r="R35" s="47">
        <f t="shared" ref="R35:R39" ca="1" si="47">K35*SIN(Q35)</f>
        <v>-2.9961038460281224</v>
      </c>
      <c r="S35" s="47">
        <f t="shared" ref="S35:S39" ca="1" si="48">K35*COS(Q35)</f>
        <v>78.446948843082041</v>
      </c>
      <c r="T35" s="45">
        <f t="shared" ref="T35:T39" ca="1" si="49">Old_X0+R35</f>
        <v>1071544.8528961539</v>
      </c>
      <c r="U35" s="45">
        <f t="shared" ref="U35:U39" ca="1" si="50">Old_Y0+S35</f>
        <v>463906.50694884307</v>
      </c>
      <c r="V35" s="47">
        <f t="shared" ref="V35:V39" si="51">Old_Z0+HI+L35-E35</f>
        <v>1243.112991258442</v>
      </c>
      <c r="W35" s="47">
        <f t="shared" ref="W35:W39" ca="1" si="52">IF(ISNUMBER(T35),V35+dZ,"")</f>
        <v>1243.204989146215</v>
      </c>
      <c r="X35" s="47">
        <f t="shared" ref="X35:X39" ca="1" si="53">IF(AND(A35&gt;=CS_Start,A35&lt;=CS_End),IF(OR(LEFT(UPPER(F35))="D"),"",T35),"")</f>
        <v>1071544.8528961539</v>
      </c>
      <c r="Y35" s="47">
        <f t="shared" ref="Y35:Y39" ca="1" si="54">IF(ISNUMBER(X35),U35,"")</f>
        <v>463906.50694884307</v>
      </c>
      <c r="Z35" s="47">
        <f t="shared" ref="Z35:Z39" ca="1" si="55">IF(X35="","",VALUE((-mB*X35+Y35-bA)/(mA-mB)))</f>
        <v>1071545.2779603861</v>
      </c>
      <c r="AA35" s="47">
        <f t="shared" ref="AA35:AA39" ca="1" si="56">IF(Z35="","",VALUE(mA*Z35+bA))</f>
        <v>463906.43177797273</v>
      </c>
      <c r="AB35" s="47">
        <f t="shared" ref="AB35:AB39" ca="1" si="57">IF(ISNUMBER(X35),SQRT((X35-Z35)^2+(Y35-AA35)^2),"")</f>
        <v>0.43165989070650262</v>
      </c>
      <c r="AC35" s="47">
        <f t="shared" ref="AC35:AC39" ca="1" si="58">IF(ISNUMBER(Z35),SQRT(($Z35-OFFSET($Z$20,MATCH(CS_Start,$A$21:$A$51,0),0))^2+($AA35-OFFSET($AA$20,MATCH(CS_Start,$A$21:$A$51,0),0))^2),"")</f>
        <v>74.213249983365529</v>
      </c>
      <c r="AD35" s="47">
        <f t="shared" ref="AD35:AD39" ca="1" si="59">IF(ISNUMBER(X35),W35-Min_Z,"")</f>
        <v>1.8829473863154362</v>
      </c>
      <c r="AE35" s="44">
        <f t="shared" ref="AE35:AE39" ca="1" si="60">ROUND(CONVERT(AC35,"m","ft"),2)</f>
        <v>243.48</v>
      </c>
      <c r="AF35" s="44">
        <f t="shared" ref="AF35:AF39" ca="1" si="61">ROUND(CONVERT(AD35,"m","ft"),2)</f>
        <v>6.18</v>
      </c>
      <c r="AH35" s="44">
        <v>243.48</v>
      </c>
      <c r="AI35" s="44">
        <f t="shared" ca="1" si="36"/>
        <v>6.18</v>
      </c>
      <c r="AJ35" s="44" t="str">
        <f t="shared" ca="1" si="37"/>
        <v>243.48,6.18</v>
      </c>
    </row>
    <row r="36" spans="1:36" x14ac:dyDescent="0.25">
      <c r="A36" s="44">
        <v>16</v>
      </c>
      <c r="B36" s="48">
        <v>7.3750925925925932</v>
      </c>
      <c r="C36" s="48">
        <v>3.9157060185185184</v>
      </c>
      <c r="D36" s="44">
        <v>79.724999999999994</v>
      </c>
      <c r="E36" s="44">
        <v>1.492</v>
      </c>
      <c r="F36" s="44"/>
      <c r="G36" s="43">
        <f t="shared" si="38"/>
        <v>93.976944444444442</v>
      </c>
      <c r="H36" s="43">
        <f t="shared" si="39"/>
        <v>1.6402071015193489</v>
      </c>
      <c r="I36" s="43">
        <f t="shared" si="40"/>
        <v>177.00222222222223</v>
      </c>
      <c r="J36" s="49">
        <f t="shared" si="41"/>
        <v>3.0892715611244523</v>
      </c>
      <c r="K36" s="49">
        <f t="shared" si="42"/>
        <v>79.533025323331472</v>
      </c>
      <c r="L36" s="46">
        <f t="shared" si="43"/>
        <v>-5.5293315977896151</v>
      </c>
      <c r="M36" s="45"/>
      <c r="N36" s="47">
        <f t="shared" si="44"/>
        <v>177.00222222222223</v>
      </c>
      <c r="O36" s="47">
        <f t="shared" ca="1" si="22"/>
        <v>180.65305809751078</v>
      </c>
      <c r="P36" s="47">
        <f t="shared" ca="1" si="45"/>
        <v>357.65528031973304</v>
      </c>
      <c r="Q36" s="47">
        <f t="shared" ca="1" si="46"/>
        <v>6.2422622287226188</v>
      </c>
      <c r="R36" s="47">
        <f t="shared" ca="1" si="47"/>
        <v>-3.2538278610586437</v>
      </c>
      <c r="S36" s="47">
        <f t="shared" ca="1" si="48"/>
        <v>79.466437703802242</v>
      </c>
      <c r="T36" s="45">
        <f t="shared" ca="1" si="49"/>
        <v>1071544.5951721389</v>
      </c>
      <c r="U36" s="45">
        <f t="shared" ca="1" si="50"/>
        <v>463907.52643770381</v>
      </c>
      <c r="V36" s="47">
        <f t="shared" si="51"/>
        <v>1243.5296684022103</v>
      </c>
      <c r="W36" s="47">
        <f t="shared" ca="1" si="52"/>
        <v>1243.6216662899833</v>
      </c>
      <c r="X36" s="47">
        <f t="shared" ca="1" si="53"/>
        <v>1071544.5951721389</v>
      </c>
      <c r="Y36" s="47">
        <f t="shared" ca="1" si="54"/>
        <v>463907.52643770381</v>
      </c>
      <c r="Z36" s="47">
        <f t="shared" ca="1" si="55"/>
        <v>1071545.4449695142</v>
      </c>
      <c r="AA36" s="47">
        <f t="shared" ca="1" si="56"/>
        <v>463907.37615451403</v>
      </c>
      <c r="AB36" s="47">
        <f t="shared" ca="1" si="57"/>
        <v>0.862983554966263</v>
      </c>
      <c r="AC36" s="47">
        <f t="shared" ca="1" si="58"/>
        <v>75.172280275173037</v>
      </c>
      <c r="AD36" s="47">
        <f t="shared" ca="1" si="59"/>
        <v>2.2996245300837472</v>
      </c>
      <c r="AE36" s="44">
        <f t="shared" ca="1" si="60"/>
        <v>246.63</v>
      </c>
      <c r="AF36" s="44">
        <f t="shared" ca="1" si="61"/>
        <v>7.54</v>
      </c>
      <c r="AH36" s="44">
        <v>246.63</v>
      </c>
      <c r="AI36" s="44">
        <f t="shared" ca="1" si="36"/>
        <v>7.54</v>
      </c>
      <c r="AJ36" s="44" t="str">
        <f t="shared" ca="1" si="37"/>
        <v>246.63,7.54</v>
      </c>
    </row>
    <row r="37" spans="1:36" x14ac:dyDescent="0.25">
      <c r="A37" s="44">
        <v>17</v>
      </c>
      <c r="B37" s="48">
        <v>3.8870486111111116</v>
      </c>
      <c r="C37" s="48">
        <v>4.288414351851852</v>
      </c>
      <c r="D37" s="44">
        <v>16.670999999999999</v>
      </c>
      <c r="E37" s="44">
        <v>1.492</v>
      </c>
      <c r="F37" s="49" t="s">
        <v>70</v>
      </c>
      <c r="G37" s="43">
        <f t="shared" ref="G37:G38" si="62">C37*24</f>
        <v>102.92194444444445</v>
      </c>
      <c r="H37" s="43">
        <f t="shared" ref="H37:H38" si="63">RADIANS(G37)</f>
        <v>1.7963268031102417</v>
      </c>
      <c r="I37" s="43">
        <f t="shared" ref="I37:I38" si="64">B37*24</f>
        <v>93.289166666666674</v>
      </c>
      <c r="J37" s="49">
        <f t="shared" ref="J37:J38" si="65">RADIANS(I37)</f>
        <v>1.6282031147750768</v>
      </c>
      <c r="K37" s="49">
        <f t="shared" ref="K37:K38" si="66">D37*SIN(H37)</f>
        <v>16.248817215634148</v>
      </c>
      <c r="L37" s="46">
        <f t="shared" ref="L37:L38" si="67">D37*COS(H37)</f>
        <v>-3.7280262999221607</v>
      </c>
      <c r="M37" s="45"/>
      <c r="N37" s="47">
        <f t="shared" ref="N37:N38" si="68">I37+M37</f>
        <v>93.289166666666674</v>
      </c>
      <c r="O37" s="47">
        <f t="shared" ca="1" si="22"/>
        <v>180.65305809751078</v>
      </c>
      <c r="P37" s="47">
        <f t="shared" ref="P37:P38" ca="1" si="69">SUM(N37,O37)</f>
        <v>273.94222476417747</v>
      </c>
      <c r="Q37" s="47">
        <f t="shared" ref="Q37:Q38" ca="1" si="70">RADIANS(P37)</f>
        <v>4.7811937823732436</v>
      </c>
      <c r="R37" s="47">
        <f t="shared" ref="R37:R38" ca="1" si="71">K37*SIN(Q37)</f>
        <v>-16.21037061763047</v>
      </c>
      <c r="S37" s="47">
        <f t="shared" ref="S37:S38" ca="1" si="72">K37*COS(Q37)</f>
        <v>1.1171147417124903</v>
      </c>
      <c r="T37" s="45">
        <f t="shared" ref="T37:T38" ca="1" si="73">Old_X0+R37</f>
        <v>1071531.6386293822</v>
      </c>
      <c r="U37" s="45">
        <f t="shared" ref="U37:U38" ca="1" si="74">Old_Y0+S37</f>
        <v>463829.1771147417</v>
      </c>
      <c r="V37" s="47">
        <f t="shared" ref="V37:V38" si="75">Old_Z0+HI+L37-E37</f>
        <v>1245.3309737000777</v>
      </c>
      <c r="W37" s="47">
        <f t="shared" ref="W37:W38" ca="1" si="76">IF(ISNUMBER(T37),V37+dZ,"")</f>
        <v>1245.4229715878507</v>
      </c>
      <c r="X37" s="47" t="str">
        <f t="shared" ref="X37:X38" si="77">IF(AND(A37&gt;=CS_Start,A37&lt;=CS_End),IF(OR(LEFT(UPPER(F37))="D"),"",T37),"")</f>
        <v/>
      </c>
      <c r="Y37" s="47" t="str">
        <f t="shared" ref="Y37:Y38" si="78">IF(ISNUMBER(X37),U37,"")</f>
        <v/>
      </c>
      <c r="Z37" s="47" t="str">
        <f t="shared" ref="Z37:Z38" si="79">IF(X37="","",VALUE((-mB*X37+Y37-bA)/(mA-mB)))</f>
        <v/>
      </c>
      <c r="AA37" s="47" t="str">
        <f t="shared" ref="AA37:AA38" si="80">IF(Z37="","",VALUE(mA*Z37+bA))</f>
        <v/>
      </c>
      <c r="AB37" s="47" t="str">
        <f t="shared" ref="AB37:AB38" si="81">IF(ISNUMBER(X37),SQRT((X37-Z37)^2+(Y37-AA37)^2),"")</f>
        <v/>
      </c>
      <c r="AC37" s="47" t="str">
        <f t="shared" ref="AC37:AC38" ca="1" si="82">IF(ISNUMBER(Z37),SQRT(($Z37-OFFSET($Z$20,MATCH(CS_Start,$A$21:$A$51,0),0))^2+($AA37-OFFSET($AA$20,MATCH(CS_Start,$A$21:$A$51,0),0))^2),"")</f>
        <v/>
      </c>
      <c r="AD37" s="47" t="str">
        <f t="shared" ref="AD37:AD38" si="83">IF(ISNUMBER(X37),W37-Min_Z,"")</f>
        <v/>
      </c>
      <c r="AE37" s="44" t="e">
        <f t="shared" ref="AE37:AE38" ca="1" si="84">ROUND(CONVERT(AC37,"m","ft"),2)</f>
        <v>#VALUE!</v>
      </c>
      <c r="AF37" s="44" t="e">
        <f t="shared" ref="AF37:AF38" si="85">ROUND(CONVERT(AD37,"m","ft"),2)</f>
        <v>#VALUE!</v>
      </c>
      <c r="AH37" s="44"/>
      <c r="AI37" s="44"/>
      <c r="AJ37" s="44"/>
    </row>
    <row r="38" spans="1:36" x14ac:dyDescent="0.25">
      <c r="A38" s="44">
        <v>18</v>
      </c>
      <c r="B38" s="48">
        <v>14.999594907407408</v>
      </c>
      <c r="C38" s="48">
        <v>3.663796296296296</v>
      </c>
      <c r="D38" s="44">
        <v>21.387</v>
      </c>
      <c r="E38" s="44">
        <v>1.492</v>
      </c>
      <c r="F38" s="49" t="s">
        <v>71</v>
      </c>
      <c r="G38" s="43">
        <f t="shared" si="62"/>
        <v>87.931111111111107</v>
      </c>
      <c r="H38" s="43">
        <f t="shared" si="63"/>
        <v>1.5346874038258582</v>
      </c>
      <c r="I38" s="43">
        <f t="shared" si="64"/>
        <v>359.99027777777781</v>
      </c>
      <c r="J38" s="49">
        <f t="shared" si="65"/>
        <v>6.2830156223911988</v>
      </c>
      <c r="K38" s="49">
        <f t="shared" si="66"/>
        <v>21.373058748729452</v>
      </c>
      <c r="L38" s="46">
        <f t="shared" si="67"/>
        <v>0.77209372705613433</v>
      </c>
      <c r="M38" s="45"/>
      <c r="N38" s="47">
        <f t="shared" si="68"/>
        <v>359.99027777777781</v>
      </c>
      <c r="O38" s="47">
        <f t="shared" ca="1" si="22"/>
        <v>180.65305809751078</v>
      </c>
      <c r="P38" s="47">
        <f t="shared" ca="1" si="69"/>
        <v>540.64333587528859</v>
      </c>
      <c r="Q38" s="47">
        <f t="shared" ca="1" si="70"/>
        <v>9.4360062899893649</v>
      </c>
      <c r="R38" s="47">
        <f t="shared" ca="1" si="71"/>
        <v>-0.23997869742718569</v>
      </c>
      <c r="S38" s="47">
        <f t="shared" ca="1" si="72"/>
        <v>-21.371711454664123</v>
      </c>
      <c r="T38" s="45">
        <f t="shared" ca="1" si="73"/>
        <v>1071547.6090213025</v>
      </c>
      <c r="U38" s="45">
        <f t="shared" ca="1" si="74"/>
        <v>463806.68828854535</v>
      </c>
      <c r="V38" s="47">
        <f t="shared" si="75"/>
        <v>1249.8310937270562</v>
      </c>
      <c r="W38" s="47">
        <f t="shared" ca="1" si="76"/>
        <v>1249.9230916148292</v>
      </c>
      <c r="X38" s="47" t="str">
        <f t="shared" si="77"/>
        <v/>
      </c>
      <c r="Y38" s="47" t="str">
        <f t="shared" si="78"/>
        <v/>
      </c>
      <c r="Z38" s="47" t="str">
        <f t="shared" si="79"/>
        <v/>
      </c>
      <c r="AA38" s="47" t="str">
        <f t="shared" si="80"/>
        <v/>
      </c>
      <c r="AB38" s="47" t="str">
        <f t="shared" si="81"/>
        <v/>
      </c>
      <c r="AC38" s="47" t="str">
        <f t="shared" ca="1" si="82"/>
        <v/>
      </c>
      <c r="AD38" s="47" t="str">
        <f t="shared" si="83"/>
        <v/>
      </c>
      <c r="AE38" s="44" t="e">
        <f t="shared" ca="1" si="84"/>
        <v>#VALUE!</v>
      </c>
      <c r="AF38" s="44" t="e">
        <f t="shared" si="85"/>
        <v>#VALUE!</v>
      </c>
      <c r="AH38" s="44"/>
      <c r="AI38" s="44"/>
      <c r="AJ38" s="44"/>
    </row>
    <row r="39" spans="1:36" x14ac:dyDescent="0.25">
      <c r="A39" s="44"/>
      <c r="B39" s="48"/>
      <c r="C39" s="48"/>
      <c r="D39" s="44"/>
      <c r="E39" s="44"/>
      <c r="F39" s="49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 t="str">
        <f t="shared" si="52"/>
        <v/>
      </c>
      <c r="X39" s="47" t="str">
        <f t="shared" si="53"/>
        <v/>
      </c>
      <c r="Y39" s="47" t="str">
        <f t="shared" si="54"/>
        <v/>
      </c>
      <c r="Z39" s="47" t="str">
        <f t="shared" si="55"/>
        <v/>
      </c>
      <c r="AA39" s="47" t="str">
        <f t="shared" si="56"/>
        <v/>
      </c>
      <c r="AB39" s="47" t="str">
        <f t="shared" si="57"/>
        <v/>
      </c>
      <c r="AC39" s="47" t="str">
        <f t="shared" ca="1" si="58"/>
        <v/>
      </c>
      <c r="AD39" s="47" t="str">
        <f t="shared" si="59"/>
        <v/>
      </c>
      <c r="AE39" s="44" t="e">
        <f t="shared" ca="1" si="60"/>
        <v>#VALUE!</v>
      </c>
      <c r="AF39" s="44" t="e">
        <f t="shared" si="61"/>
        <v>#VALUE!</v>
      </c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6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3515576.9324146979</v>
      </c>
      <c r="C2" s="33">
        <f>IF(ISNUMBER(Calculations!O4),CONVERT(Calculations!O4,Units_In,Units_Out),"")</f>
        <v>1521745.6036745408</v>
      </c>
      <c r="D2" s="33" t="s">
        <v>60</v>
      </c>
      <c r="E2" s="10" t="str">
        <f>CONCATENATE("0503 ",B2,"EUSft ",C2,"NUSft")</f>
        <v>0503 3515576.9324147EUSft 1521745.60367454NUSft</v>
      </c>
      <c r="F2" s="34">
        <v>98</v>
      </c>
      <c r="G2" s="10" t="str">
        <f>IF(F2=98,"Lime",IF(F2=94,"Yellow",""))</f>
        <v>Lime</v>
      </c>
      <c r="H2" s="10" t="str">
        <f>Calculations!$A$1</f>
        <v>CSS11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3515630.6135170595</v>
      </c>
      <c r="C3" s="33">
        <f>IF(ISNUMBER(Calculations!O5),CONVERT(Calculations!O5,Units_In,Units_Out),"")</f>
        <v>1521795.2034120734</v>
      </c>
      <c r="D3" s="33" t="s">
        <v>60</v>
      </c>
      <c r="E3" s="10" t="str">
        <f t="shared" ref="E3:E4" si="0">CONCATENATE("0503 ",B3,"EUSft ",C3,"NUSft")</f>
        <v>0503 3515630.61351706EUSft 1521795.20341207NUSft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CSS11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3515609.2650918635</v>
      </c>
      <c r="C4" s="33">
        <f>IF(ISNUMBER(Calculations!O6),CONVERT(Calculations!O6,Units_In,Units_Out),"")</f>
        <v>1521711.4173228347</v>
      </c>
      <c r="D4" s="33" t="s">
        <v>60</v>
      </c>
      <c r="E4" s="10" t="str">
        <f t="shared" si="0"/>
        <v>0503 3515609.26509186EUSft 1521711.41732283NUSft</v>
      </c>
      <c r="F4" s="34">
        <v>98</v>
      </c>
      <c r="G4" s="10" t="str">
        <f t="shared" si="1"/>
        <v>Lime</v>
      </c>
      <c r="H4" s="10" t="str">
        <f>Calculations!$A$1</f>
        <v>CSS11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3515576.1335252859</v>
      </c>
      <c r="C5" s="33">
        <f ca="1">IF(ISNUMBER(A5),CONVERT(Calculations!U21,Units_In,Units_Out),"")</f>
        <v>1521675.4866539901</v>
      </c>
      <c r="D5" s="33" t="str">
        <f>IF(ISTEXT(Calculations!F21),Calculations!F21,"")</f>
        <v>BS/ZERO</v>
      </c>
      <c r="E5" t="str">
        <f ca="1">IF(ISNUMBER(A5),CONCATENATE("0503 ",B5,"EUSft ",C5,"NUSft"),"")</f>
        <v>0503 3515576.13352529EUSft 1521675.48665399NUSft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CSS11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3515523.6252801707</v>
      </c>
      <c r="C6" s="33">
        <f ca="1">IF(ISNUMBER(A6),CONVERT(Calculations!U22,Units_In,Units_Out),"")</f>
        <v>1521749.1570525263</v>
      </c>
      <c r="D6" s="33" t="str">
        <f>IF(ISTEXT(Calculations!F22),Calculations!F22,"")</f>
        <v>BS</v>
      </c>
      <c r="E6" s="10" t="str">
        <f t="shared" ref="E6:E65" ca="1" si="2">IF(ISNUMBER(A6),CONCATENATE("0503 ",B6,"EUSft ",C6,"NUSft"),"")</f>
        <v>0503 3515523.62528017EUSft 1521749.15705253NUSft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CSS11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3515524.9510424831</v>
      </c>
      <c r="C7" s="33">
        <f ca="1">IF(ISNUMBER(A7),CONVERT(Calculations!U23,Units_In,Units_Out),"")</f>
        <v>1521763.1700361243</v>
      </c>
      <c r="D7" s="33" t="str">
        <f>IF(ISTEXT(Calculations!F23),Calculations!F23,"")</f>
        <v/>
      </c>
      <c r="E7" s="10" t="str">
        <f t="shared" ca="1" si="2"/>
        <v>0503 3515524.95104248EUSft 1521763.17003612NUSft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CSS11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3515525.381684802</v>
      </c>
      <c r="C8" s="33">
        <f ca="1">IF(ISNUMBER(A8),CONVERT(Calculations!U24,Units_In,Units_Out),"")</f>
        <v>1521764.6833844236</v>
      </c>
      <c r="D8" s="33" t="str">
        <f>IF(ISTEXT(Calculations!F24),Calculations!F24,"")</f>
        <v/>
      </c>
      <c r="E8" s="10" t="str">
        <f t="shared" ca="1" si="2"/>
        <v>0503 3515525.3816848EUSft 1521764.68338442NUSft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CSS11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3515530.7207049811</v>
      </c>
      <c r="C9" s="33">
        <f ca="1">IF(ISNUMBER(A9),CONVERT(Calculations!U25,Units_In,Units_Out),"")</f>
        <v>1521771.8330648416</v>
      </c>
      <c r="D9" s="33" t="str">
        <f>IF(ISTEXT(Calculations!F25),Calculations!F25,"")</f>
        <v/>
      </c>
      <c r="E9" s="10" t="str">
        <f t="shared" ca="1" si="2"/>
        <v>0503 3515530.72070498EUSft 1521771.83306484NUSft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CSS11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3515529.5443432122</v>
      </c>
      <c r="C10" s="33">
        <f ca="1">IF(ISNUMBER(A10),CONVERT(Calculations!U26,Units_In,Units_Out),"")</f>
        <v>1521772.7421664794</v>
      </c>
      <c r="D10" s="33" t="str">
        <f>IF(ISTEXT(Calculations!F26),Calculations!F26,"")</f>
        <v/>
      </c>
      <c r="E10" s="10" t="str">
        <f t="shared" ca="1" si="2"/>
        <v>0503 3515529.54434321EUSft 1521772.74216648NUSft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CSS11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3515529.8979385374</v>
      </c>
      <c r="C11" s="33">
        <f ca="1">IF(ISNUMBER(A11),CONVERT(Calculations!U27,Units_In,Units_Out),"")</f>
        <v>1521774.4242458947</v>
      </c>
      <c r="D11" s="33" t="str">
        <f>IF(ISTEXT(Calculations!F27),Calculations!F27,"")</f>
        <v/>
      </c>
      <c r="E11" s="10" t="str">
        <f t="shared" ca="1" si="2"/>
        <v>0503 3515529.89793854EUSft 1521774.42424589NUSft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CSS11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3515533.3848763118</v>
      </c>
      <c r="C12" s="33">
        <f ca="1">IF(ISNUMBER(A12),CONVERT(Calculations!U28,Units_In,Units_Out),"")</f>
        <v>1521818.9015665939</v>
      </c>
      <c r="D12" s="33" t="str">
        <f>IF(ISTEXT(Calculations!F28),Calculations!F28,"")</f>
        <v>WS</v>
      </c>
      <c r="E12" s="10" t="str">
        <f t="shared" ca="1" si="2"/>
        <v>0503 3515533.38487631EUSft 1521818.90156659NUSft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CSS11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3515533.4046538654</v>
      </c>
      <c r="C13" s="33">
        <f ca="1">IF(ISNUMBER(A13),CONVERT(Calculations!U29,Units_In,Units_Out),"")</f>
        <v>1521825.423590316</v>
      </c>
      <c r="D13" s="33" t="str">
        <f>IF(ISTEXT(Calculations!F29),Calculations!F29,"")</f>
        <v/>
      </c>
      <c r="E13" s="10" t="str">
        <f t="shared" ca="1" si="2"/>
        <v>0503 3515533.40465387EUSft 1521825.42359032NUSft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CSS11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3515553.3566874862</v>
      </c>
      <c r="C14" s="33">
        <f ca="1">IF(ISNUMBER(A14),CONVERT(Calculations!U30,Units_In,Units_Out),"")</f>
        <v>1521894.3896398821</v>
      </c>
      <c r="D14" s="33" t="str">
        <f>IF(ISTEXT(Calculations!F30),Calculations!F30,"")</f>
        <v/>
      </c>
      <c r="E14" s="10" t="str">
        <f t="shared" ca="1" si="2"/>
        <v>0503 3515553.35668749EUSft 1521894.38963988NUSft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CSS11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3515564.77357776</v>
      </c>
      <c r="C15" s="33">
        <f ca="1">IF(ISNUMBER(A15),CONVERT(Calculations!U31,Units_In,Units_Out),"")</f>
        <v>1521953.7545170039</v>
      </c>
      <c r="D15" s="33" t="str">
        <f>IF(ISTEXT(Calculations!F31),Calculations!F31,"")</f>
        <v/>
      </c>
      <c r="E15" s="10" t="str">
        <f t="shared" ca="1" si="2"/>
        <v>0503 3515564.77357776EUSft 1521953.754517NUSft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CSS11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3515566.4491735841</v>
      </c>
      <c r="C16" s="33">
        <f ca="1">IF(ISNUMBER(A16),CONVERT(Calculations!U32,Units_In,Units_Out),"")</f>
        <v>1521997.0375694479</v>
      </c>
      <c r="D16" s="33" t="str">
        <f>IF(ISTEXT(Calculations!F32),Calculations!F32,"")</f>
        <v/>
      </c>
      <c r="E16" s="10" t="str">
        <f t="shared" ca="1" si="2"/>
        <v>0503 3515566.44917358EUSft 1521997.03756945NUSft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CSS11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3515567.4032466896</v>
      </c>
      <c r="C17" s="33">
        <f ca="1">IF(ISNUMBER(A17),CONVERT(Calculations!U33,Units_In,Units_Out),"")</f>
        <v>1522000.3849727083</v>
      </c>
      <c r="D17" s="33" t="str">
        <f>IF(ISTEXT(Calculations!F33),Calculations!F33,"")</f>
        <v>WS</v>
      </c>
      <c r="E17" s="10" t="str">
        <f t="shared" ca="1" si="2"/>
        <v>0503 3515567.40324669EUSft 1522000.38497271NUSft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CSS11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3515567.4308542861</v>
      </c>
      <c r="C18" s="33">
        <f ca="1">IF(ISNUMBER(A18),CONVERT(Calculations!U34,Units_In,Units_Out),"")</f>
        <v>1522001.9763072405</v>
      </c>
      <c r="D18" s="33" t="str">
        <f>IF(ISTEXT(Calculations!F34),Calculations!F34,"")</f>
        <v/>
      </c>
      <c r="E18" s="10" t="str">
        <f t="shared" ca="1" si="2"/>
        <v>0503 3515567.43085429EUSft 1522001.97630724NUSft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CSS11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3515567.1026776708</v>
      </c>
      <c r="C19" s="33">
        <f ca="1">IF(ISNUMBER(A19),CONVERT(Calculations!U35,Units_In,Units_Out),"")</f>
        <v>1522002.9755539473</v>
      </c>
      <c r="D19" s="33" t="str">
        <f>IF(ISTEXT(Calculations!F35),Calculations!F35,"")</f>
        <v/>
      </c>
      <c r="E19" s="10" t="str">
        <f t="shared" ca="1" si="2"/>
        <v>0503 3515567.10267767EUSft 1522002.97555395NUSft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CSS11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3515566.2571264398</v>
      </c>
      <c r="C20" s="33">
        <f ca="1">IF(ISNUMBER(A20),CONVERT(Calculations!U36,Units_In,Units_Out),"")</f>
        <v>1522006.3203336739</v>
      </c>
      <c r="D20" s="33" t="str">
        <f>IF(ISTEXT(Calculations!F36),Calculations!F36,"")</f>
        <v/>
      </c>
      <c r="E20" s="10" t="str">
        <f t="shared" ca="1" si="2"/>
        <v>0503 3515566.25712644EUSft 1522006.32033367NUSft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CSS11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3515523.7487840625</v>
      </c>
      <c r="C21" s="33">
        <f ca="1">IF(ISNUMBER(A21),CONVERT(Calculations!U37,Units_In,Units_Out),"")</f>
        <v>1521749.2687491525</v>
      </c>
      <c r="D21" s="33" t="str">
        <f>IF(ISTEXT(Calculations!F37),Calculations!F37,"")</f>
        <v>PT1</v>
      </c>
      <c r="E21" s="10" t="str">
        <f t="shared" ca="1" si="2"/>
        <v>0503 3515523.74878406EUSft 1521749.26874915NUSft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CSS11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3515576.1450830139</v>
      </c>
      <c r="C22" s="33">
        <f ca="1">IF(ISNUMBER(A22),CONVERT(Calculations!U38,Units_In,Units_Out),"")</f>
        <v>1521675.4865109758</v>
      </c>
      <c r="D22" s="33" t="str">
        <f>IF(ISTEXT(Calculations!F38),Calculations!F38,"")</f>
        <v>PT2</v>
      </c>
      <c r="E22" s="10" t="str">
        <f t="shared" ca="1" si="2"/>
        <v>0503 3515576.14508301EUSft 1521675.48651098NUSft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CSS11</v>
      </c>
    </row>
    <row r="23" spans="1:8" x14ac:dyDescent="0.25">
      <c r="A23" s="10" t="str">
        <f>IF(ISNUMBER(Calculations!A39),Calculations!A39,"")</f>
        <v/>
      </c>
      <c r="B23" s="33" t="str">
        <f>IF(ISNUMBER(A23),CONVERT(Calculations!T39,Units_In,Units_Out),"")</f>
        <v/>
      </c>
      <c r="C23" s="33" t="str">
        <f>IF(ISNUMBER(A23),CONVERT(Calculations!U39,Units_In,Units_Out),"")</f>
        <v/>
      </c>
      <c r="D23" s="33" t="str">
        <f>IF(ISTEXT(Calculations!F39),Calculations!F39,"")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2013-08-28T10:28:16Z</dcterms:modified>
</cp:coreProperties>
</file>