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R12" i="1" l="1"/>
  <c r="G35" i="1"/>
  <c r="H35" i="1" s="1"/>
  <c r="I35" i="1"/>
  <c r="J35" i="1" s="1"/>
  <c r="N35" i="1" l="1"/>
  <c r="K35" i="1"/>
  <c r="L35" i="1"/>
  <c r="X22" i="1" l="1"/>
  <c r="Y22" i="1" s="1"/>
  <c r="X21" i="1"/>
  <c r="P5" i="1" l="1"/>
  <c r="P6" i="1"/>
  <c r="P4" i="1"/>
  <c r="O5" i="1"/>
  <c r="O6" i="1"/>
  <c r="O4" i="1"/>
  <c r="N5" i="1"/>
  <c r="N6" i="1"/>
  <c r="N4" i="1"/>
  <c r="V35" i="1" l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34" i="1"/>
  <c r="H34" i="1" s="1"/>
  <c r="K34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4" i="1"/>
  <c r="V34" i="1" s="1"/>
  <c r="L30" i="1"/>
  <c r="V30" i="1" s="1"/>
  <c r="K26" i="1"/>
  <c r="J33" i="1"/>
  <c r="N34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R11" i="1" s="1"/>
  <c r="J34" i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5" i="1" l="1"/>
  <c r="P35" i="1" s="1"/>
  <c r="Q35" i="1" s="1"/>
  <c r="S35" i="1" s="1"/>
  <c r="U35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35" i="1" l="1"/>
  <c r="T35" i="1" s="1"/>
  <c r="X35" i="1"/>
  <c r="E36" i="2"/>
  <c r="E37" i="2"/>
  <c r="X4" i="1"/>
  <c r="Y4" i="1"/>
  <c r="Y35" i="1" l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23" i="1"/>
  <c r="O25" i="1"/>
  <c r="O27" i="1"/>
  <c r="O29" i="1"/>
  <c r="O31" i="1"/>
  <c r="O33" i="1"/>
  <c r="P23" i="1" l="1"/>
  <c r="P34" i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5" i="1" l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W34" i="1"/>
  <c r="X34" i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S34" i="1"/>
  <c r="U34" i="1" s="1"/>
  <c r="C18" i="2" s="1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20" i="2" l="1"/>
  <c r="E12" i="2"/>
  <c r="E16" i="2"/>
  <c r="Y27" i="1"/>
  <c r="Y31" i="1"/>
  <c r="Y29" i="1"/>
  <c r="B17" i="2"/>
  <c r="E17" i="2" s="1"/>
  <c r="X33" i="1"/>
  <c r="Y28" i="1"/>
  <c r="Y34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5" i="1" l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4" i="1"/>
  <c r="AF34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s="1"/>
  <c r="Z35" i="1" l="1"/>
  <c r="Z25" i="1"/>
  <c r="Z27" i="1"/>
  <c r="Z31" i="1"/>
  <c r="Z29" i="1"/>
  <c r="Z26" i="1"/>
  <c r="Z30" i="1"/>
  <c r="Z28" i="1"/>
  <c r="Z34" i="1"/>
  <c r="Z24" i="1"/>
  <c r="Z32" i="1"/>
  <c r="Z33" i="1"/>
  <c r="Z23" i="1"/>
  <c r="AA23" i="1" s="1"/>
  <c r="AA35" i="1" l="1"/>
  <c r="AC35" i="1" s="1"/>
  <c r="AE35" i="1" s="1"/>
  <c r="AA33" i="1"/>
  <c r="AC33" i="1" s="1"/>
  <c r="AE33" i="1" s="1"/>
  <c r="AA24" i="1"/>
  <c r="AC24" i="1" s="1"/>
  <c r="AE24" i="1" s="1"/>
  <c r="AA28" i="1"/>
  <c r="AC28" i="1" s="1"/>
  <c r="AE28" i="1" s="1"/>
  <c r="AA30" i="1"/>
  <c r="AC30" i="1" s="1"/>
  <c r="AE30" i="1" s="1"/>
  <c r="AA26" i="1"/>
  <c r="AC26" i="1" s="1"/>
  <c r="AE26" i="1" s="1"/>
  <c r="AA29" i="1"/>
  <c r="AC29" i="1" s="1"/>
  <c r="AE29" i="1" s="1"/>
  <c r="AA25" i="1"/>
  <c r="AC25" i="1" s="1"/>
  <c r="AE25" i="1" s="1"/>
  <c r="AA32" i="1"/>
  <c r="AC32" i="1" s="1"/>
  <c r="AE32" i="1" s="1"/>
  <c r="AA34" i="1"/>
  <c r="AC34" i="1" s="1"/>
  <c r="AE34" i="1" s="1"/>
  <c r="AA31" i="1"/>
  <c r="AC31" i="1" s="1"/>
  <c r="AE31" i="1" s="1"/>
  <c r="AA27" i="1"/>
  <c r="AC27" i="1" s="1"/>
  <c r="AE27" i="1" s="1"/>
  <c r="AC23" i="1"/>
  <c r="AE23" i="1" s="1"/>
  <c r="AB23" i="1"/>
  <c r="AI33" i="1" l="1"/>
  <c r="AJ33" i="1" s="1"/>
  <c r="AI32" i="1"/>
  <c r="AJ32" i="1" s="1"/>
  <c r="AB32" i="1"/>
  <c r="AB35" i="1"/>
  <c r="AB33" i="1"/>
  <c r="AB28" i="1"/>
  <c r="AB27" i="1"/>
  <c r="AB29" i="1"/>
  <c r="AB26" i="1"/>
  <c r="AB24" i="1"/>
  <c r="AB31" i="1"/>
  <c r="AB34" i="1"/>
  <c r="AB25" i="1"/>
  <c r="AB30" i="1"/>
  <c r="AI23" i="1"/>
  <c r="AI26" i="1" l="1"/>
  <c r="AJ26" i="1" s="1"/>
  <c r="AI25" i="1"/>
  <c r="AJ25" i="1" s="1"/>
  <c r="AI24" i="1"/>
  <c r="AJ24" i="1" s="1"/>
  <c r="AI28" i="1"/>
  <c r="AJ28" i="1" s="1"/>
  <c r="AI29" i="1"/>
  <c r="AJ29" i="1" s="1"/>
  <c r="AI30" i="1"/>
  <c r="AJ30" i="1" s="1"/>
  <c r="AI31" i="1"/>
  <c r="AJ31" i="1" s="1"/>
  <c r="AI27" i="1"/>
  <c r="AJ27" i="1" s="1"/>
  <c r="AC9" i="1"/>
  <c r="AJ23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<sst xmlns="http://schemas.openxmlformats.org/spreadsheetml/2006/main" count="102" uniqueCount="91">
  <si>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</si>
  <si>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</si>
  <si>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</si>
  <si>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</si>
  <si>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</si>
  <si>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</si>
  <si>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</si>
  <si>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</si>
  <si>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</si>
  <si>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</si>
  <si>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</si>
  <si>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</si>
  <si>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</si>
  <si>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</si>
  <si>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</si>
  <si>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</si>
  <si>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</si>
  <si>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</si>
  <si>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</si>
  <si>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</si>
  <si>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</si>
  <si>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</si>
  <si>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</si>
  <si>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</si>
  <si>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</si>
  <si>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</si>
  <si>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</si>
  <si>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</si>
  <si>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</si>
  <si>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</si>
  <si>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</si>
  <si>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</si>
  <si>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</si>
  <si>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</si>
  <si>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</si>
  <si>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</si>
  <si>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</si>
  <si>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</si>
  <si>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</si>
  <si>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</si>
  <si>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</si>
  <si>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</si>
  <si>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</si>
  <si>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</si>
  <si>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</si>
  <si>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</si>
  <si>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</si>
  <si>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</si>
  <si>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</si>
  <si>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</si>
  <si>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</si>
  <si>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</si>
  <si>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</si>
  <si>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</si>
  <si>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</si>
  <si>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</si>
  <si>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</si>
  <si>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</si>
  <si>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</si>
  <si>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</si>
  <si>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</si>
  <si>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</si>
  <si>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</si>
  <si>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</si>
  <si>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</si>
  <si>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</si>
  <si>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</si>
  <si>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</si>
  <si>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</si>
  <si>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</si>
  <si>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</si>
  <si>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</si>
  <si>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</si>
  <si>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</si>
  <si>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</si>
  <si>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</si>
  <si>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</si>
  <si>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</si>
  <si>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</si>
  <si>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</si>
  <si>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</si>
  <si>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</si>
  <si>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</si>
  <si>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</si>
  <si>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</si>
  <si>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</si>
  <si>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</si>
  <si>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CSS12</t>
  </si>
  <si>
    <t>1,461507.798,1073608.737,1242.296,1242.296,</t>
  </si>
  <si>
    <t>2,461482.053,1073636.172,1243.743,1243.743,</t>
  </si>
  <si>
    <t>3,461483.995,1073615.314,1244.227,1244.227,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</si>
</sst>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5.07</c:v>
                </c:pt>
                <c:pt idx="2">
                  <c:v>26.62</c:v>
                </c:pt>
                <c:pt idx="3">
                  <c:v>28.11</c:v>
                </c:pt>
                <c:pt idx="4">
                  <c:v>28.96</c:v>
                </c:pt>
                <c:pt idx="5">
                  <c:v>30.52</c:v>
                </c:pt>
                <c:pt idx="6">
                  <c:v>136.96</c:v>
                </c:pt>
                <c:pt idx="7">
                  <c:v>304.08</c:v>
                </c:pt>
                <c:pt idx="8">
                  <c:v>306.64999999999998</c:v>
                </c:pt>
                <c:pt idx="9">
                  <c:v>308.75</c:v>
                </c:pt>
                <c:pt idx="10">
                  <c:v>312.48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8.7799999999999994</c:v>
                </c:pt>
                <c:pt idx="1">
                  <c:v>6.93</c:v>
                </c:pt>
                <c:pt idx="2">
                  <c:v>4.46</c:v>
                </c:pt>
                <c:pt idx="3">
                  <c:v>1.84</c:v>
                </c:pt>
                <c:pt idx="4">
                  <c:v>0.81</c:v>
                </c:pt>
                <c:pt idx="5">
                  <c:v>0</c:v>
                </c:pt>
                <c:pt idx="6">
                  <c:v>0.26</c:v>
                </c:pt>
                <c:pt idx="7">
                  <c:v>0.45</c:v>
                </c:pt>
                <c:pt idx="8">
                  <c:v>0.84</c:v>
                </c:pt>
                <c:pt idx="9">
                  <c:v>2.2599999999999998</c:v>
                </c:pt>
                <c:pt idx="10">
                  <c:v>3.52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Calculations!$R$23:$R$33</c:f>
              <c:numCache>
                <c:formatCode>0.00</c:formatCode>
                <c:ptCount val="11"/>
                <c:pt idx="0">
                  <c:v>4.8115895975549314</c:v>
                </c:pt>
                <c:pt idx="1">
                  <c:v>5.4958396055897722</c:v>
                </c:pt>
                <c:pt idx="2">
                  <c:v>8.4405301546626852</c:v>
                </c:pt>
                <c:pt idx="3">
                  <c:v>8.8517423457570956</c:v>
                </c:pt>
                <c:pt idx="4">
                  <c:v>8.9366288342009224</c:v>
                </c:pt>
                <c:pt idx="5">
                  <c:v>9.159352758587838</c:v>
                </c:pt>
                <c:pt idx="6">
                  <c:v>24.209374620010585</c:v>
                </c:pt>
                <c:pt idx="7">
                  <c:v>47.113236656380501</c:v>
                </c:pt>
                <c:pt idx="8">
                  <c:v>47.683472559564592</c:v>
                </c:pt>
                <c:pt idx="9">
                  <c:v>48.040702051866333</c:v>
                </c:pt>
                <c:pt idx="10">
                  <c:v>48.519094456462696</c:v>
                </c:pt>
              </c:numCache>
            </c:numRef>
          </c:xVal>
          <c:yVal>
            <c:numRef>
              <c:f>Calculations!$S$23:$S$33</c:f>
              <c:numCache>
                <c:formatCode>0.00</c:formatCode>
                <c:ptCount val="11"/>
                <c:pt idx="0">
                  <c:v>7.6256545066439099</c:v>
                </c:pt>
                <c:pt idx="1">
                  <c:v>9.0104961425064083</c:v>
                </c:pt>
                <c:pt idx="2">
                  <c:v>14.883531309978814</c:v>
                </c:pt>
                <c:pt idx="3">
                  <c:v>15.1823764870338</c:v>
                </c:pt>
                <c:pt idx="4">
                  <c:v>15.431302661410706</c:v>
                </c:pt>
                <c:pt idx="5">
                  <c:v>15.851311719139121</c:v>
                </c:pt>
                <c:pt idx="6">
                  <c:v>44.59168165674221</c:v>
                </c:pt>
                <c:pt idx="7">
                  <c:v>90.092612482102226</c:v>
                </c:pt>
                <c:pt idx="8">
                  <c:v>90.680345471084692</c:v>
                </c:pt>
                <c:pt idx="9">
                  <c:v>91.216864343866163</c:v>
                </c:pt>
                <c:pt idx="10">
                  <c:v>92.248830582306908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588055</xdr:colOff>
      <xdr:row>40</xdr:row>
      <xdr:rowOff>179779</xdr:rowOff>
    </xdr:from>
    <xdr:to>
      <xdr:col>25</xdr:col>
      <xdr:colOff>100597</xdr:colOff>
      <xdr:row>55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459441</xdr:colOff>
      <xdr:row>40</xdr:row>
      <xdr:rowOff>143458</xdr:rowOff>
    </xdr:from>
    <xdr:to>
      <xdr:col>18</xdr:col>
      <xdr:colOff>407570</xdr:colOff>
      <xdr:row>55</xdr:row>
      <xdr:rowOff>29158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87</v>
      </c>
      <c r="B1" s="61"/>
      <c r="C1" s="51">
        <v>40824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1.393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73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1.9403148101202226</v>
      </c>
    </row>
    <row r="4" spans="1:29" ht="18" x14ac:dyDescent="0.35">
      <c r="A4" s="60" t="s">
        <v>67</v>
      </c>
      <c r="B4" s="61"/>
      <c r="C4" s="38" t="s">
        <v>72</v>
      </c>
      <c r="D4" s="44"/>
      <c r="E4" s="44"/>
      <c r="F4" s="44"/>
      <c r="M4" s="22">
        <v>0</v>
      </c>
      <c r="N4" s="20">
        <f>VALUE(MID(C10,FIND(",",C10,3)+1,FIND(",",C10,15)-FIND(",",C10,3)-1))</f>
        <v>1073608.737</v>
      </c>
      <c r="O4" s="20">
        <f>VALUE(MID(C10,FIND(",",C10,1)+1,FIND(",",C10,5)-FIND(",",C10,1)-1))</f>
        <v>461507.79800000001</v>
      </c>
      <c r="P4" s="20">
        <f>VALUE(MID(C10,FIND(",",C10,17)+1,FIND(",",C10,27)-FIND(",",C10,17)-1))</f>
        <v>1242.296</v>
      </c>
      <c r="Q4" s="23"/>
      <c r="R4" s="22"/>
      <c r="W4" s="27"/>
      <c r="X4" s="20">
        <f ca="1">VALUE(OFFSET($P$3,MATCH($O$10,$M$4:$M$6,0),0))</f>
        <v>1243.7429999999999</v>
      </c>
      <c r="Y4" s="20">
        <f ca="1">OFFSET($P$3,MATCH($Q$10,$M$4:$M$6,0),0)</f>
        <v>1244.2270000000001</v>
      </c>
      <c r="Z4" s="2"/>
      <c r="AA4" s="26" t="s">
        <v>41</v>
      </c>
      <c r="AB4" s="26" t="s">
        <v>54</v>
      </c>
      <c r="AC4" s="28">
        <f ca="1">INTERCEPT(yB,xB)</f>
        <v>-1621632.9632822839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1073636.172</v>
      </c>
      <c r="O5" s="20">
        <f t="shared" ref="O5:O6" si="1">VALUE(MID(C11,FIND(",",C11,1)+1,FIND(",",C11,5)-FIND(",",C11,1)-1))</f>
        <v>461482.05300000001</v>
      </c>
      <c r="P5" s="20">
        <f t="shared" ref="P5:P6" si="2">VALUE(MID(C11,FIND(",",C11,17)+1,FIND(",",C11,27)-FIND(",",C11,17)-1))</f>
        <v>1243.7429999999999</v>
      </c>
      <c r="Q5" s="24">
        <f>DEGREES(ATAN2(Old_Y1-Old_Y0,Old_X1-Old_X0))+IF(Old_X1-Old_X0&lt;0,360)</f>
        <v>133.17981776835924</v>
      </c>
      <c r="R5" s="22"/>
      <c r="W5" s="21"/>
      <c r="X5" s="20">
        <f ca="1">VALUE(OFFSET($V$20,MATCH($O11,$A$21:$A$51,0),0))</f>
        <v>1243.9418823291226</v>
      </c>
      <c r="Y5" s="20">
        <f ca="1">OFFSET($V$20,MATCH($Q11,$A$21:$A$51,0),0)</f>
        <v>1243.1004336202866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1073615.314</v>
      </c>
      <c r="O6" s="20">
        <f t="shared" si="1"/>
        <v>461483.995</v>
      </c>
      <c r="P6" s="20">
        <f t="shared" si="2"/>
        <v>1244.2270000000001</v>
      </c>
      <c r="Q6" s="24">
        <f>DEGREES(ATAN2(Old_Y2-Old_Y0,Old_X2-Old_X0))+IF(Old_X2-Old_X0&lt;0,360)</f>
        <v>164.55400731307139</v>
      </c>
      <c r="R6" s="22"/>
      <c r="W6" s="21"/>
      <c r="X6" s="20">
        <f ca="1">VALUE(OFFSET($V$20,MATCH($O12,$A$21:$A$61,0),0))</f>
        <v>1243.9426842062492</v>
      </c>
      <c r="Y6" s="20">
        <f ca="1">VALUE(OFFSET($V$20,MATCH($O12,$A$21:$A$61,0),0))</f>
        <v>1243.9426842062492</v>
      </c>
      <c r="Z6" s="5"/>
      <c r="AA6" s="26" t="s">
        <v>42</v>
      </c>
      <c r="AB6" s="21" t="s">
        <v>55</v>
      </c>
      <c r="AC6" s="20">
        <f ca="1">-1/mA</f>
        <v>-0.51538028508788203</v>
      </c>
    </row>
    <row r="7" spans="1:29" x14ac:dyDescent="0.25">
      <c r="A7" s="62" t="s">
        <v>18</v>
      </c>
      <c r="B7" s="62"/>
      <c r="C7" s="38">
        <v>13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0.19888232912262538</v>
      </c>
      <c r="Y8" s="20">
        <f ca="1">Y5-Y4</f>
        <v>-1.1265663797134948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0.19968420624923056</v>
      </c>
      <c r="Y9" s="20">
        <f ca="1">Y6-Y4</f>
        <v>-0.28431579375092042</v>
      </c>
      <c r="AA9" s="31" t="s">
        <v>49</v>
      </c>
      <c r="AB9" s="31"/>
      <c r="AC9" s="20">
        <f ca="1">AVERAGE(DfromL)</f>
        <v>9.456101102022009E-2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133.17981776835924</v>
      </c>
      <c r="Q10" s="32">
        <v>2</v>
      </c>
      <c r="R10" s="20">
        <f ca="1">OFFSET($Q$3,MATCH($O$10,$M$4:$M$6,0),0)</f>
        <v>133.17981776835924</v>
      </c>
      <c r="W10" s="22"/>
      <c r="X10" s="22"/>
      <c r="Y10" s="22"/>
      <c r="AA10" s="31" t="s">
        <v>50</v>
      </c>
      <c r="AB10" s="31"/>
      <c r="AC10" s="20">
        <f ca="1">_xlfn.STDEV.P(DfromL)</f>
        <v>7.8863812375151138E-2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31.236111111111107</v>
      </c>
      <c r="W11" s="21" t="s">
        <v>37</v>
      </c>
      <c r="X11" s="20">
        <f ca="1">AVERAGE(X8:Y9)</f>
        <v>-0.25307890952313983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5" t="s">
        <v>30</v>
      </c>
      <c r="N12" s="55"/>
      <c r="O12" s="32">
        <v>14</v>
      </c>
      <c r="P12" s="20">
        <f ca="1">OFFSET($N$20,MATCH($O12,$A$21:$A$61,0),0)</f>
        <v>6.4722222222222223E-2</v>
      </c>
      <c r="Q12" s="32">
        <v>15</v>
      </c>
      <c r="R12" s="20">
        <f ca="1">OFFSET($N$20,MATCH($Q12,$A$21:$A$51,0),0)</f>
        <v>31.260833333333338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1237.7167831903805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133.18009554613704</v>
      </c>
      <c r="Q14" s="20"/>
      <c r="R14" s="20">
        <f ca="1">R10-R11+IF(R11&gt;R10,360)</f>
        <v>101.94370665724813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133.11509554613701</v>
      </c>
      <c r="Q15" s="20"/>
      <c r="R15" s="20">
        <f ca="1">R10-R12+IF(R12&gt;R10,360)</f>
        <v>101.91898443502591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117.53947054613703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84</v>
      </c>
      <c r="H20" s="12" t="s">
        <v>78</v>
      </c>
      <c r="I20" s="12" t="s">
        <v>83</v>
      </c>
      <c r="J20" s="12" t="s">
        <v>82</v>
      </c>
      <c r="K20" s="3" t="s">
        <v>76</v>
      </c>
      <c r="L20" s="3" t="s">
        <v>77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81</v>
      </c>
      <c r="R20" s="19" t="s">
        <v>79</v>
      </c>
      <c r="S20" s="19" t="s">
        <v>80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74</v>
      </c>
      <c r="AF20" s="19" t="s">
        <v>75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3.6354976851851855</v>
      </c>
      <c r="D21" s="44">
        <v>36.393999999999998</v>
      </c>
      <c r="E21" s="44">
        <v>1.492</v>
      </c>
      <c r="F21" s="49" t="s">
        <v>86</v>
      </c>
      <c r="G21" s="43">
        <f>C21*24</f>
        <v>87.251944444444447</v>
      </c>
      <c r="H21" s="43">
        <f>RADIANS(G21)</f>
        <v>1.5228337093227302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36.352147414664735</v>
      </c>
      <c r="L21" s="15">
        <f>D21*COS(H21)</f>
        <v>1.7448823291225304</v>
      </c>
      <c r="M21" s="13"/>
      <c r="N21" s="16">
        <f t="shared" ref="N21:N34" si="4">I21+M21</f>
        <v>359.9997222222222</v>
      </c>
      <c r="O21" s="16">
        <f ca="1">$O$17</f>
        <v>117.53947054613703</v>
      </c>
      <c r="P21" s="16">
        <f ca="1">SUM(N21,O21)</f>
        <v>477.53919276835921</v>
      </c>
      <c r="Q21" s="16">
        <f ca="1">RADIANS(P21)</f>
        <v>8.3346312211237628</v>
      </c>
      <c r="R21" s="16">
        <f t="shared" ref="R21:R34" ca="1" si="5">K21*SIN(Q21)</f>
        <v>32.233258985124039</v>
      </c>
      <c r="S21" s="16">
        <f t="shared" ref="S21:S34" ca="1" si="6">K21*COS(Q21)</f>
        <v>-16.80760651774775</v>
      </c>
      <c r="T21" s="13">
        <f t="shared" ref="T21:T34" ca="1" si="7">Old_X0+R21</f>
        <v>1073640.9702589852</v>
      </c>
      <c r="U21" s="13">
        <f t="shared" ref="U21:U34" ca="1" si="8">Old_Y0+S21</f>
        <v>461490.99039348227</v>
      </c>
      <c r="V21" s="16">
        <f t="shared" ref="V21:V34" si="9">Old_Z0+HI+L21-E21</f>
        <v>1243.9418823291226</v>
      </c>
      <c r="W21" s="16">
        <f t="shared" ref="W21:W34" ca="1" si="10">IF(ISNUMBER(T21),V21+dZ,"")</f>
        <v>1243.6888034195995</v>
      </c>
      <c r="X21" s="16" t="str">
        <f t="shared" ref="X21:X34" si="11">IF(AND(A21&gt;=CS_Start,A21&lt;=CS_End),IF(OR(LEFT(UPPER(F21))="D"),"",T21),"")</f>
        <v/>
      </c>
      <c r="Y21" s="16" t="str">
        <f t="shared" ref="Y21" si="12">IF(ISNUMBER(X21),U21,"")</f>
        <v/>
      </c>
      <c r="Z21" s="16" t="str">
        <f t="shared" ref="Z21:Z23" si="13">IF(X21="","",VALUE((-mB*X21+Y21-bA)/(mA-mB)))</f>
        <v/>
      </c>
      <c r="AA21" s="16" t="str">
        <f t="shared" ref="AA21:AA23" si="14">IF(Z21="","",VALUE(mA*Z21+bA))</f>
        <v/>
      </c>
      <c r="AB21" s="16" t="str">
        <f>IF(ISNUMBER(X21),SQRT((X21-Z21)^2+(Y21-AA21)^2),"")</f>
        <v/>
      </c>
      <c r="AC21" s="16" t="str">
        <f t="shared" ref="AC21:AC23" ca="1" si="15">IF(ISNUMBER(Z21),SQRT(($Z21-OFFSET($Z$20,MATCH(CS_Start,$A$21:$A$51,0),0))^2+($AA21-OFFSET($AA$20,MATCH(CS_Start,$A$21:$A$51,0),0))^2),"")</f>
        <v/>
      </c>
      <c r="AD21" s="16" t="str">
        <f t="shared" ref="AD21:AD23" si="16">IF(ISNUMBER(X21),W21-Min_Z,"")</f>
        <v/>
      </c>
    </row>
    <row r="22" spans="1:36" x14ac:dyDescent="0.25">
      <c r="A22" s="44">
        <v>2</v>
      </c>
      <c r="B22" s="48">
        <v>1.3015046296296295</v>
      </c>
      <c r="C22" s="48">
        <v>3.6622916666666665</v>
      </c>
      <c r="D22" s="44">
        <v>24.596</v>
      </c>
      <c r="E22" s="44">
        <v>1.492</v>
      </c>
      <c r="F22" s="49" t="s">
        <v>69</v>
      </c>
      <c r="G22" s="43">
        <f t="shared" ref="G22:G34" si="17">C22*24</f>
        <v>87.894999999999996</v>
      </c>
      <c r="H22" s="43">
        <f t="shared" ref="H22:H34" si="18">RADIANS(G22)</f>
        <v>1.534057146040416</v>
      </c>
      <c r="I22" s="43">
        <f t="shared" si="3"/>
        <v>31.236111111111107</v>
      </c>
      <c r="J22" s="39">
        <f t="shared" ref="J22:J34" si="19">RADIANS(I22)</f>
        <v>0.54517298440767314</v>
      </c>
      <c r="K22" s="39">
        <f t="shared" ref="K22:K34" si="20">D22*SIN(H22)</f>
        <v>24.57940242751512</v>
      </c>
      <c r="L22" s="15">
        <f t="shared" ref="L22:L34" si="21">D22*COS(H22)</f>
        <v>0.90343362028641994</v>
      </c>
      <c r="M22" s="13"/>
      <c r="N22" s="16">
        <f t="shared" si="4"/>
        <v>31.236111111111107</v>
      </c>
      <c r="O22" s="16">
        <f t="shared" ref="O22:O39" ca="1" si="22">$O$17</f>
        <v>117.53947054613703</v>
      </c>
      <c r="P22" s="16">
        <f t="shared" ref="P22:P34" ca="1" si="23">SUM(N22,O22)</f>
        <v>148.77558165724813</v>
      </c>
      <c r="Q22" s="16">
        <f t="shared" ref="Q22:Q34" ca="1" si="24">RADIANS(P22)</f>
        <v>2.5966237464886617</v>
      </c>
      <c r="R22" s="16">
        <f t="shared" ca="1" si="5"/>
        <v>12.741753339406571</v>
      </c>
      <c r="S22" s="16">
        <f t="shared" ca="1" si="6"/>
        <v>-21.018913995053541</v>
      </c>
      <c r="T22" s="13">
        <f t="shared" ca="1" si="7"/>
        <v>1073621.4787533393</v>
      </c>
      <c r="U22" s="13">
        <f t="shared" ca="1" si="8"/>
        <v>461486.77908600494</v>
      </c>
      <c r="V22" s="16">
        <f t="shared" si="9"/>
        <v>1243.1004336202866</v>
      </c>
      <c r="W22" s="16">
        <f t="shared" ca="1" si="10"/>
        <v>1242.8473547107635</v>
      </c>
      <c r="X22" s="47" t="str">
        <f t="shared" si="11"/>
        <v/>
      </c>
      <c r="Y22" s="47" t="str">
        <f t="shared" ref="Y22:Y34" si="25">IF(ISNUMBER(X22),U22,"")</f>
        <v/>
      </c>
      <c r="Z22" s="16" t="str">
        <f t="shared" si="13"/>
        <v/>
      </c>
      <c r="AA22" s="16" t="str">
        <f t="shared" si="14"/>
        <v/>
      </c>
      <c r="AB22" s="16" t="str">
        <f t="shared" ref="AB22:AB23" si="26">IF(ISNUMBER(X22),SQRT((X22-Z22)^2+(Y22-AA22)^2),"")</f>
        <v/>
      </c>
      <c r="AC22" s="16" t="str">
        <f t="shared" ca="1" si="15"/>
        <v/>
      </c>
      <c r="AD22" s="16" t="str">
        <f t="shared" si="16"/>
        <v/>
      </c>
    </row>
    <row r="23" spans="1:36" x14ac:dyDescent="0.25">
      <c r="A23" s="44">
        <v>3</v>
      </c>
      <c r="B23" s="48">
        <v>11.44630787037037</v>
      </c>
      <c r="C23" s="48">
        <v>4.1563888888888885</v>
      </c>
      <c r="D23" s="44">
        <v>9.1489999999999991</v>
      </c>
      <c r="E23" s="44">
        <v>1.492</v>
      </c>
      <c r="F23" s="44"/>
      <c r="G23" s="43">
        <f t="shared" si="17"/>
        <v>99.75333333333333</v>
      </c>
      <c r="H23" s="43">
        <f t="shared" si="18"/>
        <v>1.7410241065060768</v>
      </c>
      <c r="I23" s="43">
        <f t="shared" si="3"/>
        <v>274.71138888888891</v>
      </c>
      <c r="J23" s="39">
        <f t="shared" si="19"/>
        <v>4.7946182288376784</v>
      </c>
      <c r="K23" s="39">
        <f t="shared" si="20"/>
        <v>9.0167622298692898</v>
      </c>
      <c r="L23" s="15">
        <f t="shared" si="21"/>
        <v>-1.5499031872999618</v>
      </c>
      <c r="M23" s="13"/>
      <c r="N23" s="16">
        <f t="shared" si="4"/>
        <v>274.71138888888891</v>
      </c>
      <c r="O23" s="16">
        <f t="shared" ca="1" si="22"/>
        <v>117.53947054613703</v>
      </c>
      <c r="P23" s="16">
        <f t="shared" ca="1" si="23"/>
        <v>392.25085943502592</v>
      </c>
      <c r="Q23" s="16">
        <f t="shared" ca="1" si="24"/>
        <v>6.8460689909186669</v>
      </c>
      <c r="R23" s="16">
        <f t="shared" ca="1" si="5"/>
        <v>4.8115895975549314</v>
      </c>
      <c r="S23" s="16">
        <f t="shared" ca="1" si="6"/>
        <v>7.6256545066439099</v>
      </c>
      <c r="T23" s="13">
        <f t="shared" ca="1" si="7"/>
        <v>1073613.5485895975</v>
      </c>
      <c r="U23" s="13">
        <f t="shared" ca="1" si="8"/>
        <v>461515.42365450668</v>
      </c>
      <c r="V23" s="16">
        <f t="shared" si="9"/>
        <v>1240.6470968127001</v>
      </c>
      <c r="W23" s="16">
        <f t="shared" ca="1" si="10"/>
        <v>1240.394017903177</v>
      </c>
      <c r="X23" s="47">
        <f t="shared" ca="1" si="11"/>
        <v>1073613.5485895975</v>
      </c>
      <c r="Y23" s="47">
        <f t="shared" ca="1" si="25"/>
        <v>461515.42365450668</v>
      </c>
      <c r="Z23" s="16">
        <f t="shared" ca="1" si="13"/>
        <v>1073613.5967481281</v>
      </c>
      <c r="AA23" s="16">
        <f t="shared" ca="1" si="14"/>
        <v>461515.39883454936</v>
      </c>
      <c r="AB23" s="16">
        <f t="shared" ca="1" si="26"/>
        <v>5.4178172286351529E-2</v>
      </c>
      <c r="AC23" s="16">
        <f t="shared" ca="1" si="15"/>
        <v>0</v>
      </c>
      <c r="AD23" s="16">
        <f t="shared" ca="1" si="16"/>
        <v>2.6772347127964622</v>
      </c>
      <c r="AE23" s="2">
        <f ca="1">ROUND(CONVERT(AC23,"m","ft"),2)</f>
        <v>0</v>
      </c>
      <c r="AF23" s="2">
        <f ca="1">ROUND(CONVERT(AD23,"m","ft"),2)</f>
        <v>8.7799999999999994</v>
      </c>
      <c r="AH23" s="44">
        <v>0</v>
      </c>
      <c r="AI23" s="2">
        <f ca="1">OFFSET($AF$22,MATCH(AH23,$AE$23:$AE$59,0),0)</f>
        <v>8.7799999999999994</v>
      </c>
      <c r="AJ23" s="2" t="str">
        <f t="shared" ref="AJ23:AJ31" ca="1" si="27">CONCATENATE(AH23,",",AI23)</f>
        <v>0,8.78</v>
      </c>
    </row>
    <row r="24" spans="1:36" x14ac:dyDescent="0.25">
      <c r="A24" s="44">
        <v>4</v>
      </c>
      <c r="B24" s="48">
        <v>11.410046296296295</v>
      </c>
      <c r="C24" s="48">
        <v>4.2220023148148149</v>
      </c>
      <c r="D24" s="44">
        <v>10.763999999999999</v>
      </c>
      <c r="E24" s="44">
        <v>1.492</v>
      </c>
      <c r="F24" s="44"/>
      <c r="G24" s="43">
        <f t="shared" si="17"/>
        <v>101.32805555555555</v>
      </c>
      <c r="H24" s="43">
        <f t="shared" si="18"/>
        <v>1.7685081940881764</v>
      </c>
      <c r="I24" s="43">
        <f t="shared" si="3"/>
        <v>273.8411111111111</v>
      </c>
      <c r="J24" s="39">
        <f t="shared" si="19"/>
        <v>4.7794290162085167</v>
      </c>
      <c r="K24" s="39">
        <f t="shared" si="20"/>
        <v>10.554302141993663</v>
      </c>
      <c r="L24" s="15">
        <f t="shared" si="21"/>
        <v>-2.1143325886690478</v>
      </c>
      <c r="M24" s="13"/>
      <c r="N24" s="16">
        <f t="shared" si="4"/>
        <v>273.8411111111111</v>
      </c>
      <c r="O24" s="16">
        <f t="shared" ca="1" si="22"/>
        <v>117.53947054613703</v>
      </c>
      <c r="P24" s="16">
        <f t="shared" ca="1" si="23"/>
        <v>391.38058165724811</v>
      </c>
      <c r="Q24" s="16">
        <f t="shared" ca="1" si="24"/>
        <v>6.8308797782895043</v>
      </c>
      <c r="R24" s="16">
        <f t="shared" ca="1" si="5"/>
        <v>5.4958396055897722</v>
      </c>
      <c r="S24" s="16">
        <f t="shared" ca="1" si="6"/>
        <v>9.0104961425064083</v>
      </c>
      <c r="T24" s="13">
        <f t="shared" ca="1" si="7"/>
        <v>1073614.2328396055</v>
      </c>
      <c r="U24" s="13">
        <f t="shared" ca="1" si="8"/>
        <v>461516.8084961425</v>
      </c>
      <c r="V24" s="16">
        <f t="shared" si="9"/>
        <v>1240.0826674113312</v>
      </c>
      <c r="W24" s="16">
        <f t="shared" ca="1" si="10"/>
        <v>1239.8295885018081</v>
      </c>
      <c r="X24" s="47">
        <f t="shared" ca="1" si="11"/>
        <v>1073614.2328396055</v>
      </c>
      <c r="Y24" s="47">
        <f t="shared" ca="1" si="25"/>
        <v>461516.8084961425</v>
      </c>
      <c r="Z24" s="47">
        <f t="shared" ref="Z24:Z34" ca="1" si="28">IF(X24="","",VALUE((-mB*X24+Y24-bA)/(mA-mB)))</f>
        <v>1073614.304283279</v>
      </c>
      <c r="AA24" s="47">
        <f t="shared" ref="AA24:AA34" ca="1" si="29">IF(Z24="","",VALUE(mA*Z24+bA))</f>
        <v>461516.77167548146</v>
      </c>
      <c r="AB24" s="47">
        <f t="shared" ref="AB24:AB34" ca="1" si="30">IF(ISNUMBER(X24),SQRT((X24-Z24)^2+(Y24-AA24)^2),"")</f>
        <v>8.0373873594587267E-2</v>
      </c>
      <c r="AC24" s="47">
        <f t="shared" ref="AC24:AC34" ca="1" si="31">IF(ISNUMBER(Z24),SQRT(($Z24-OFFSET($Z$20,MATCH(CS_Start,$A$21:$A$51,0),0))^2+($AA24-OFFSET($AA$20,MATCH(CS_Start,$A$21:$A$51,0),0))^2),"")</f>
        <v>1.5444410686908296</v>
      </c>
      <c r="AD24" s="47">
        <f t="shared" ref="AD24:AD34" ca="1" si="32">IF(ISNUMBER(X24),W24-Min_Z,"")</f>
        <v>2.1128053114275644</v>
      </c>
      <c r="AE24" s="44">
        <f t="shared" ref="AE24:AE34" ca="1" si="33">ROUND(CONVERT(AC24,"m","ft"),2)</f>
        <v>5.07</v>
      </c>
      <c r="AF24" s="44">
        <f t="shared" ref="AF24:AF34" ca="1" si="34">ROUND(CONVERT(AD24,"m","ft"),2)</f>
        <v>6.93</v>
      </c>
      <c r="AH24" s="44">
        <v>5.07</v>
      </c>
      <c r="AI24" s="44">
        <f t="shared" ref="AI24:AI31" ca="1" si="35">OFFSET($AF$22,MATCH(AH24,$AE$23:$AE$59,0),0)</f>
        <v>6.93</v>
      </c>
      <c r="AJ24" s="2" t="str">
        <f t="shared" ca="1" si="27"/>
        <v>5.07,6.93</v>
      </c>
    </row>
    <row r="25" spans="1:36" x14ac:dyDescent="0.25">
      <c r="A25" s="44">
        <v>5</v>
      </c>
      <c r="B25" s="48">
        <v>11.334097222222221</v>
      </c>
      <c r="C25" s="48">
        <v>4.146481481481481</v>
      </c>
      <c r="D25" s="44">
        <v>17.349</v>
      </c>
      <c r="E25" s="44">
        <v>1.492</v>
      </c>
      <c r="F25" s="44"/>
      <c r="G25" s="43">
        <f t="shared" si="17"/>
        <v>99.515555555555551</v>
      </c>
      <c r="H25" s="43">
        <f t="shared" si="18"/>
        <v>1.7368741013957791</v>
      </c>
      <c r="I25" s="43">
        <f t="shared" si="3"/>
        <v>272.01833333333332</v>
      </c>
      <c r="J25" s="39">
        <f t="shared" si="19"/>
        <v>4.747615542454108</v>
      </c>
      <c r="K25" s="39">
        <f t="shared" si="20"/>
        <v>17.110290866811404</v>
      </c>
      <c r="L25" s="15">
        <f t="shared" si="21"/>
        <v>-2.8680563894578883</v>
      </c>
      <c r="M25" s="13"/>
      <c r="N25" s="16">
        <f t="shared" si="4"/>
        <v>272.01833333333332</v>
      </c>
      <c r="O25" s="16">
        <f t="shared" ca="1" si="22"/>
        <v>117.53947054613703</v>
      </c>
      <c r="P25" s="16">
        <f t="shared" ca="1" si="23"/>
        <v>389.55780387947033</v>
      </c>
      <c r="Q25" s="16">
        <f t="shared" ca="1" si="24"/>
        <v>6.7990663045350965</v>
      </c>
      <c r="R25" s="16">
        <f t="shared" ca="1" si="5"/>
        <v>8.4405301546626852</v>
      </c>
      <c r="S25" s="16">
        <f t="shared" ca="1" si="6"/>
        <v>14.883531309978814</v>
      </c>
      <c r="T25" s="13">
        <f t="shared" ca="1" si="7"/>
        <v>1073617.1775301546</v>
      </c>
      <c r="U25" s="13">
        <f t="shared" ca="1" si="8"/>
        <v>461522.68153130997</v>
      </c>
      <c r="V25" s="16">
        <f t="shared" si="9"/>
        <v>1239.3289436105422</v>
      </c>
      <c r="W25" s="16">
        <f t="shared" ca="1" si="10"/>
        <v>1239.0758647010191</v>
      </c>
      <c r="X25" s="47">
        <f t="shared" ca="1" si="11"/>
        <v>1073617.1775301546</v>
      </c>
      <c r="Y25" s="47">
        <f t="shared" ca="1" si="25"/>
        <v>461522.68153130997</v>
      </c>
      <c r="Z25" s="47">
        <f t="shared" ca="1" si="28"/>
        <v>1073617.3138876215</v>
      </c>
      <c r="AA25" s="47">
        <f t="shared" ca="1" si="29"/>
        <v>461522.61125535984</v>
      </c>
      <c r="AB25" s="47">
        <f t="shared" ca="1" si="30"/>
        <v>0.15340165563718944</v>
      </c>
      <c r="AC25" s="47">
        <f t="shared" ca="1" si="31"/>
        <v>8.1139472490977287</v>
      </c>
      <c r="AD25" s="47">
        <f t="shared" ca="1" si="32"/>
        <v>1.359081510638589</v>
      </c>
      <c r="AE25" s="44">
        <f t="shared" ca="1" si="33"/>
        <v>26.62</v>
      </c>
      <c r="AF25" s="44">
        <f t="shared" ca="1" si="34"/>
        <v>4.46</v>
      </c>
      <c r="AH25" s="44">
        <v>26.62</v>
      </c>
      <c r="AI25" s="44">
        <f t="shared" ca="1" si="35"/>
        <v>4.46</v>
      </c>
      <c r="AJ25" s="2" t="str">
        <f t="shared" ca="1" si="27"/>
        <v>26.62,4.46</v>
      </c>
    </row>
    <row r="26" spans="1:36" x14ac:dyDescent="0.25">
      <c r="A26" s="44">
        <v>6</v>
      </c>
      <c r="B26" s="48">
        <v>11.362662037037039</v>
      </c>
      <c r="C26" s="48">
        <v>4.2411805555555553</v>
      </c>
      <c r="D26" s="44">
        <v>17.952999999999999</v>
      </c>
      <c r="E26" s="44">
        <v>1.492</v>
      </c>
      <c r="F26" s="44"/>
      <c r="G26" s="43">
        <f t="shared" si="17"/>
        <v>101.78833333333333</v>
      </c>
      <c r="H26" s="43">
        <f t="shared" si="18"/>
        <v>1.7765415567841614</v>
      </c>
      <c r="I26" s="43">
        <f t="shared" si="3"/>
        <v>272.70388888888891</v>
      </c>
      <c r="J26" s="39">
        <f t="shared" si="19"/>
        <v>4.759580744103892</v>
      </c>
      <c r="K26" s="39">
        <f t="shared" si="20"/>
        <v>17.574353426220441</v>
      </c>
      <c r="L26" s="15">
        <f t="shared" si="21"/>
        <v>-3.6677391742453223</v>
      </c>
      <c r="M26" s="13"/>
      <c r="N26" s="16">
        <f t="shared" si="4"/>
        <v>272.70388888888891</v>
      </c>
      <c r="O26" s="16">
        <f t="shared" ca="1" si="22"/>
        <v>117.53947054613703</v>
      </c>
      <c r="P26" s="16">
        <f t="shared" ca="1" si="23"/>
        <v>390.24335943502592</v>
      </c>
      <c r="Q26" s="16">
        <f t="shared" ca="1" si="24"/>
        <v>6.8110315061848805</v>
      </c>
      <c r="R26" s="16">
        <f t="shared" ca="1" si="5"/>
        <v>8.8517423457570956</v>
      </c>
      <c r="S26" s="16">
        <f t="shared" ca="1" si="6"/>
        <v>15.1823764870338</v>
      </c>
      <c r="T26" s="13">
        <f t="shared" ca="1" si="7"/>
        <v>1073617.5887423458</v>
      </c>
      <c r="U26" s="13">
        <f t="shared" ca="1" si="8"/>
        <v>461522.98037648702</v>
      </c>
      <c r="V26" s="16">
        <f t="shared" si="9"/>
        <v>1238.5292608257548</v>
      </c>
      <c r="W26" s="16">
        <f t="shared" ca="1" si="10"/>
        <v>1238.2761819162317</v>
      </c>
      <c r="X26" s="47">
        <f t="shared" ca="1" si="11"/>
        <v>1073617.5887423458</v>
      </c>
      <c r="Y26" s="47">
        <f t="shared" ca="1" si="25"/>
        <v>461522.98037648702</v>
      </c>
      <c r="Z26" s="47">
        <f t="shared" ca="1" si="28"/>
        <v>1073617.5218840598</v>
      </c>
      <c r="AA26" s="47">
        <f t="shared" ca="1" si="29"/>
        <v>461523.01483392948</v>
      </c>
      <c r="AB26" s="47">
        <f t="shared" ca="1" si="30"/>
        <v>7.5215329244231147E-2</v>
      </c>
      <c r="AC26" s="47">
        <f t="shared" ca="1" si="31"/>
        <v>8.5679716759802709</v>
      </c>
      <c r="AD26" s="47">
        <f t="shared" ca="1" si="32"/>
        <v>0.5593987258512243</v>
      </c>
      <c r="AE26" s="44">
        <f t="shared" ca="1" si="33"/>
        <v>28.11</v>
      </c>
      <c r="AF26" s="44">
        <f t="shared" ca="1" si="34"/>
        <v>1.84</v>
      </c>
      <c r="AH26" s="44">
        <v>28.11</v>
      </c>
      <c r="AI26" s="44">
        <f t="shared" ca="1" si="35"/>
        <v>1.84</v>
      </c>
      <c r="AJ26" s="2" t="str">
        <f t="shared" ca="1" si="27"/>
        <v>28.11,1.84</v>
      </c>
    </row>
    <row r="27" spans="1:36" x14ac:dyDescent="0.25">
      <c r="A27" s="44">
        <v>7</v>
      </c>
      <c r="B27" s="48">
        <v>11.355694444444445</v>
      </c>
      <c r="C27" s="48">
        <v>4.2742476851851849</v>
      </c>
      <c r="D27" s="44">
        <v>18.271000000000001</v>
      </c>
      <c r="E27" s="44">
        <v>1.492</v>
      </c>
      <c r="F27" s="49" t="s">
        <v>85</v>
      </c>
      <c r="G27" s="43">
        <f t="shared" si="17"/>
        <v>102.58194444444445</v>
      </c>
      <c r="H27" s="43">
        <f t="shared" si="18"/>
        <v>1.7903926836534609</v>
      </c>
      <c r="I27" s="43">
        <f t="shared" si="3"/>
        <v>272.53666666666669</v>
      </c>
      <c r="J27" s="39">
        <f t="shared" si="19"/>
        <v>4.756662165743613</v>
      </c>
      <c r="K27" s="39">
        <f t="shared" si="20"/>
        <v>17.832230279702326</v>
      </c>
      <c r="L27" s="15">
        <f t="shared" si="21"/>
        <v>-3.980075910289588</v>
      </c>
      <c r="M27" s="13"/>
      <c r="N27" s="16">
        <f t="shared" si="4"/>
        <v>272.53666666666669</v>
      </c>
      <c r="O27" s="16">
        <f t="shared" ca="1" si="22"/>
        <v>117.53947054613703</v>
      </c>
      <c r="P27" s="16">
        <f t="shared" ca="1" si="23"/>
        <v>390.0761372128037</v>
      </c>
      <c r="Q27" s="16">
        <f t="shared" ca="1" si="24"/>
        <v>6.8081129278246015</v>
      </c>
      <c r="R27" s="16">
        <f t="shared" ca="1" si="5"/>
        <v>8.9366288342009224</v>
      </c>
      <c r="S27" s="16">
        <f t="shared" ca="1" si="6"/>
        <v>15.431302661410706</v>
      </c>
      <c r="T27" s="13">
        <f t="shared" ca="1" si="7"/>
        <v>1073617.6736288341</v>
      </c>
      <c r="U27" s="13">
        <f t="shared" ca="1" si="8"/>
        <v>461523.22930266144</v>
      </c>
      <c r="V27" s="16">
        <f t="shared" si="9"/>
        <v>1238.2169240897106</v>
      </c>
      <c r="W27" s="16">
        <f t="shared" ca="1" si="10"/>
        <v>1237.9638451801875</v>
      </c>
      <c r="X27" s="47">
        <f t="shared" ca="1" si="11"/>
        <v>1073617.6736288341</v>
      </c>
      <c r="Y27" s="47">
        <f t="shared" ca="1" si="25"/>
        <v>461523.22930266144</v>
      </c>
      <c r="Z27" s="47">
        <f t="shared" ca="1" si="28"/>
        <v>1073617.6410661999</v>
      </c>
      <c r="AA27" s="47">
        <f t="shared" ca="1" si="29"/>
        <v>461523.24608480092</v>
      </c>
      <c r="AB27" s="47">
        <f t="shared" ca="1" si="30"/>
        <v>3.6632845267238721E-2</v>
      </c>
      <c r="AC27" s="47">
        <f t="shared" ca="1" si="31"/>
        <v>8.8281280675221172</v>
      </c>
      <c r="AD27" s="47">
        <f t="shared" ca="1" si="32"/>
        <v>0.24706198980697991</v>
      </c>
      <c r="AE27" s="44">
        <f t="shared" ca="1" si="33"/>
        <v>28.96</v>
      </c>
      <c r="AF27" s="44">
        <f t="shared" ca="1" si="34"/>
        <v>0.81</v>
      </c>
      <c r="AH27" s="44">
        <v>28.96</v>
      </c>
      <c r="AI27" s="44">
        <f t="shared" ca="1" si="35"/>
        <v>0.81</v>
      </c>
      <c r="AJ27" s="2" t="str">
        <f t="shared" ca="1" si="27"/>
        <v>28.96,0.81</v>
      </c>
    </row>
    <row r="28" spans="1:36" x14ac:dyDescent="0.25">
      <c r="A28" s="44">
        <v>8</v>
      </c>
      <c r="B28" s="48">
        <v>11.353379629629629</v>
      </c>
      <c r="C28" s="48">
        <v>4.2917361111111108</v>
      </c>
      <c r="D28" s="44">
        <v>18.789000000000001</v>
      </c>
      <c r="E28" s="44">
        <v>1.492</v>
      </c>
      <c r="F28" s="44"/>
      <c r="G28" s="43">
        <f t="shared" si="17"/>
        <v>103.00166666666667</v>
      </c>
      <c r="H28" s="43">
        <f t="shared" si="18"/>
        <v>1.797718218375026</v>
      </c>
      <c r="I28" s="43">
        <f t="shared" si="3"/>
        <v>272.48111111111109</v>
      </c>
      <c r="J28" s="39">
        <f t="shared" si="19"/>
        <v>4.7556925383813935</v>
      </c>
      <c r="K28" s="39">
        <f t="shared" si="20"/>
        <v>18.307316192538103</v>
      </c>
      <c r="L28" s="15">
        <f t="shared" si="21"/>
        <v>-4.2271379000964933</v>
      </c>
      <c r="M28" s="13"/>
      <c r="N28" s="16">
        <f t="shared" si="4"/>
        <v>272.48111111111109</v>
      </c>
      <c r="O28" s="16">
        <f t="shared" ca="1" si="22"/>
        <v>117.53947054613703</v>
      </c>
      <c r="P28" s="16">
        <f t="shared" ca="1" si="23"/>
        <v>390.0205816572481</v>
      </c>
      <c r="Q28" s="16">
        <f t="shared" ca="1" si="24"/>
        <v>6.8071433004623811</v>
      </c>
      <c r="R28" s="16">
        <f t="shared" ca="1" si="5"/>
        <v>9.159352758587838</v>
      </c>
      <c r="S28" s="16">
        <f t="shared" ca="1" si="6"/>
        <v>15.851311719139121</v>
      </c>
      <c r="T28" s="13">
        <f t="shared" ca="1" si="7"/>
        <v>1073617.8963527586</v>
      </c>
      <c r="U28" s="13">
        <f t="shared" ca="1" si="8"/>
        <v>461523.64931171917</v>
      </c>
      <c r="V28" s="16">
        <f t="shared" si="9"/>
        <v>1237.9698620999036</v>
      </c>
      <c r="W28" s="16">
        <f t="shared" ca="1" si="10"/>
        <v>1237.7167831903805</v>
      </c>
      <c r="X28" s="47">
        <f t="shared" ca="1" si="11"/>
        <v>1073617.8963527586</v>
      </c>
      <c r="Y28" s="47">
        <f t="shared" ca="1" si="25"/>
        <v>461523.64931171917</v>
      </c>
      <c r="Z28" s="47">
        <f t="shared" ca="1" si="28"/>
        <v>1073617.8588442861</v>
      </c>
      <c r="AA28" s="47">
        <f t="shared" ca="1" si="29"/>
        <v>461523.66864284687</v>
      </c>
      <c r="AB28" s="47">
        <f t="shared" ca="1" si="30"/>
        <v>4.2196895766729019E-2</v>
      </c>
      <c r="AC28" s="47">
        <f t="shared" ca="1" si="31"/>
        <v>9.3035043364094285</v>
      </c>
      <c r="AD28" s="47">
        <f t="shared" ca="1" si="32"/>
        <v>0</v>
      </c>
      <c r="AE28" s="44">
        <f t="shared" ca="1" si="33"/>
        <v>30.52</v>
      </c>
      <c r="AF28" s="44">
        <f t="shared" ca="1" si="34"/>
        <v>0</v>
      </c>
      <c r="AH28" s="44">
        <v>30.52</v>
      </c>
      <c r="AI28" s="44">
        <f t="shared" ca="1" si="35"/>
        <v>0</v>
      </c>
      <c r="AJ28" s="2" t="str">
        <f t="shared" ca="1" si="27"/>
        <v>30.52,0</v>
      </c>
    </row>
    <row r="29" spans="1:36" x14ac:dyDescent="0.25">
      <c r="A29" s="44">
        <v>9</v>
      </c>
      <c r="B29" s="48">
        <v>11.28994212962963</v>
      </c>
      <c r="C29" s="48">
        <v>3.9447800925925929</v>
      </c>
      <c r="D29" s="44">
        <v>50.908999999999999</v>
      </c>
      <c r="E29" s="44">
        <v>1.492</v>
      </c>
      <c r="F29" s="44"/>
      <c r="G29" s="43">
        <f t="shared" si="17"/>
        <v>94.674722222222229</v>
      </c>
      <c r="H29" s="43">
        <f t="shared" si="18"/>
        <v>1.6523856211888206</v>
      </c>
      <c r="I29" s="43">
        <f t="shared" si="3"/>
        <v>270.95861111111111</v>
      </c>
      <c r="J29" s="39">
        <f t="shared" si="19"/>
        <v>4.7291199005197795</v>
      </c>
      <c r="K29" s="39">
        <f t="shared" si="20"/>
        <v>50.739648131104069</v>
      </c>
      <c r="L29" s="15">
        <f t="shared" si="21"/>
        <v>-4.1490225995705439</v>
      </c>
      <c r="M29" s="13"/>
      <c r="N29" s="16">
        <f t="shared" si="4"/>
        <v>270.95861111111111</v>
      </c>
      <c r="O29" s="16">
        <f t="shared" ca="1" si="22"/>
        <v>117.53947054613703</v>
      </c>
      <c r="P29" s="16">
        <f t="shared" ca="1" si="23"/>
        <v>388.49808165724812</v>
      </c>
      <c r="Q29" s="16">
        <f t="shared" ca="1" si="24"/>
        <v>6.780570662600768</v>
      </c>
      <c r="R29" s="16">
        <f t="shared" ca="1" si="5"/>
        <v>24.209374620010585</v>
      </c>
      <c r="S29" s="16">
        <f t="shared" ca="1" si="6"/>
        <v>44.59168165674221</v>
      </c>
      <c r="T29" s="13">
        <f t="shared" ca="1" si="7"/>
        <v>1073632.9463746201</v>
      </c>
      <c r="U29" s="13">
        <f t="shared" ca="1" si="8"/>
        <v>461552.38968165673</v>
      </c>
      <c r="V29" s="16">
        <f t="shared" si="9"/>
        <v>1238.0479774004295</v>
      </c>
      <c r="W29" s="16">
        <f t="shared" ca="1" si="10"/>
        <v>1237.7948984909065</v>
      </c>
      <c r="X29" s="47">
        <f t="shared" ca="1" si="11"/>
        <v>1073632.9463746201</v>
      </c>
      <c r="Y29" s="47">
        <f t="shared" ca="1" si="25"/>
        <v>461552.38968165673</v>
      </c>
      <c r="Z29" s="47">
        <f t="shared" ca="1" si="28"/>
        <v>1073632.720972148</v>
      </c>
      <c r="AA29" s="47">
        <f t="shared" ca="1" si="29"/>
        <v>461552.50584964734</v>
      </c>
      <c r="AB29" s="47">
        <f t="shared" ca="1" si="30"/>
        <v>0.25357696358161486</v>
      </c>
      <c r="AC29" s="47">
        <f t="shared" ca="1" si="31"/>
        <v>41.745257381484038</v>
      </c>
      <c r="AD29" s="47">
        <f t="shared" ca="1" si="32"/>
        <v>7.811530052595117E-2</v>
      </c>
      <c r="AE29" s="44">
        <f t="shared" ca="1" si="33"/>
        <v>136.96</v>
      </c>
      <c r="AF29" s="44">
        <f t="shared" ca="1" si="34"/>
        <v>0.26</v>
      </c>
      <c r="AH29" s="44">
        <v>136.96</v>
      </c>
      <c r="AI29" s="44">
        <f t="shared" ca="1" si="35"/>
        <v>0.26</v>
      </c>
      <c r="AJ29" s="2" t="str">
        <f t="shared" ca="1" si="27"/>
        <v>136.96,0.26</v>
      </c>
    </row>
    <row r="30" spans="1:36" x14ac:dyDescent="0.25">
      <c r="A30" s="44">
        <v>10</v>
      </c>
      <c r="B30" s="48">
        <v>11.252812499999999</v>
      </c>
      <c r="C30" s="48">
        <v>3.8459837962962964</v>
      </c>
      <c r="D30" s="44">
        <v>101.75</v>
      </c>
      <c r="E30" s="44">
        <v>1.492</v>
      </c>
      <c r="F30" s="44"/>
      <c r="G30" s="43">
        <f t="shared" si="17"/>
        <v>92.30361111111111</v>
      </c>
      <c r="H30" s="43">
        <f t="shared" si="18"/>
        <v>1.6110019253693104</v>
      </c>
      <c r="I30" s="43">
        <f t="shared" si="3"/>
        <v>270.0675</v>
      </c>
      <c r="J30" s="39">
        <f t="shared" si="19"/>
        <v>4.7135670776297856</v>
      </c>
      <c r="K30" s="39">
        <f t="shared" si="20"/>
        <v>101.66777214088226</v>
      </c>
      <c r="L30" s="15">
        <f t="shared" si="21"/>
        <v>-4.0898175887986321</v>
      </c>
      <c r="M30" s="13"/>
      <c r="N30" s="16">
        <f t="shared" si="4"/>
        <v>270.0675</v>
      </c>
      <c r="O30" s="16">
        <f t="shared" ca="1" si="22"/>
        <v>117.53947054613703</v>
      </c>
      <c r="P30" s="16">
        <f t="shared" ca="1" si="23"/>
        <v>387.60697054613701</v>
      </c>
      <c r="Q30" s="16">
        <f t="shared" ca="1" si="24"/>
        <v>6.7650178397107741</v>
      </c>
      <c r="R30" s="16">
        <f t="shared" ca="1" si="5"/>
        <v>47.113236656380501</v>
      </c>
      <c r="S30" s="16">
        <f t="shared" ca="1" si="6"/>
        <v>90.092612482102226</v>
      </c>
      <c r="T30" s="13">
        <f t="shared" ca="1" si="7"/>
        <v>1073655.8502366564</v>
      </c>
      <c r="U30" s="13">
        <f t="shared" ca="1" si="8"/>
        <v>461597.89061248209</v>
      </c>
      <c r="V30" s="16">
        <f t="shared" si="9"/>
        <v>1238.1071824112014</v>
      </c>
      <c r="W30" s="16">
        <f t="shared" ca="1" si="10"/>
        <v>1237.8541035016783</v>
      </c>
      <c r="X30" s="47">
        <f t="shared" ca="1" si="11"/>
        <v>1073655.8502366564</v>
      </c>
      <c r="Y30" s="47">
        <f t="shared" ca="1" si="25"/>
        <v>461597.89061248209</v>
      </c>
      <c r="Z30" s="47">
        <f t="shared" ca="1" si="28"/>
        <v>1073656.0565767526</v>
      </c>
      <c r="AA30" s="47">
        <f t="shared" ca="1" si="29"/>
        <v>461597.78426886466</v>
      </c>
      <c r="AB30" s="47">
        <f t="shared" ca="1" si="30"/>
        <v>0.23213185965048422</v>
      </c>
      <c r="AC30" s="47">
        <f t="shared" ca="1" si="31"/>
        <v>92.683314755914068</v>
      </c>
      <c r="AD30" s="47">
        <f t="shared" ca="1" si="32"/>
        <v>0.13732031129779898</v>
      </c>
      <c r="AE30" s="44">
        <f t="shared" ca="1" si="33"/>
        <v>304.08</v>
      </c>
      <c r="AF30" s="44">
        <f t="shared" ca="1" si="34"/>
        <v>0.45</v>
      </c>
      <c r="AH30" s="44">
        <v>304.08</v>
      </c>
      <c r="AI30" s="44">
        <f t="shared" ca="1" si="35"/>
        <v>0.45</v>
      </c>
      <c r="AJ30" s="2" t="str">
        <f t="shared" ca="1" si="27"/>
        <v>304.08,0.45</v>
      </c>
    </row>
    <row r="31" spans="1:36" x14ac:dyDescent="0.25">
      <c r="A31" s="44">
        <v>11</v>
      </c>
      <c r="B31" s="48">
        <v>11.258240740740741</v>
      </c>
      <c r="C31" s="48">
        <v>3.8424652777777779</v>
      </c>
      <c r="D31" s="44">
        <v>102.53</v>
      </c>
      <c r="E31" s="44">
        <v>1.492</v>
      </c>
      <c r="F31" s="44"/>
      <c r="G31" s="43">
        <f t="shared" si="17"/>
        <v>92.219166666666666</v>
      </c>
      <c r="H31" s="43">
        <f t="shared" si="18"/>
        <v>1.6095280917787373</v>
      </c>
      <c r="I31" s="43">
        <f t="shared" si="3"/>
        <v>270.19777777777779</v>
      </c>
      <c r="J31" s="39">
        <f t="shared" si="19"/>
        <v>4.71584085379419</v>
      </c>
      <c r="K31" s="39">
        <f t="shared" si="20"/>
        <v>102.4531044434185</v>
      </c>
      <c r="L31" s="15">
        <f t="shared" si="21"/>
        <v>-3.9701750472719626</v>
      </c>
      <c r="M31" s="13"/>
      <c r="N31" s="16">
        <f t="shared" si="4"/>
        <v>270.19777777777779</v>
      </c>
      <c r="O31" s="16">
        <f t="shared" ca="1" si="22"/>
        <v>117.53947054613703</v>
      </c>
      <c r="P31" s="16">
        <f t="shared" ca="1" si="23"/>
        <v>387.7372483239148</v>
      </c>
      <c r="Q31" s="16">
        <f t="shared" ca="1" si="24"/>
        <v>6.7672916158751786</v>
      </c>
      <c r="R31" s="16">
        <f t="shared" ca="1" si="5"/>
        <v>47.683472559564592</v>
      </c>
      <c r="S31" s="16">
        <f t="shared" ca="1" si="6"/>
        <v>90.680345471084692</v>
      </c>
      <c r="T31" s="13">
        <f t="shared" ca="1" si="7"/>
        <v>1073656.4204725595</v>
      </c>
      <c r="U31" s="13">
        <f t="shared" ca="1" si="8"/>
        <v>461598.47834547109</v>
      </c>
      <c r="V31" s="16">
        <f t="shared" si="9"/>
        <v>1238.2268249527281</v>
      </c>
      <c r="W31" s="16">
        <f t="shared" ca="1" si="10"/>
        <v>1237.973746043205</v>
      </c>
      <c r="X31" s="47">
        <f t="shared" ca="1" si="11"/>
        <v>1073656.4204725595</v>
      </c>
      <c r="Y31" s="47">
        <f t="shared" ca="1" si="25"/>
        <v>461598.47834547109</v>
      </c>
      <c r="Z31" s="47">
        <f t="shared" ca="1" si="28"/>
        <v>1073656.4155876627</v>
      </c>
      <c r="AA31" s="47">
        <f t="shared" ca="1" si="29"/>
        <v>461598.48086305079</v>
      </c>
      <c r="AB31" s="47">
        <f t="shared" ca="1" si="30"/>
        <v>5.4954912718704237E-3</v>
      </c>
      <c r="AC31" s="47">
        <f t="shared" ca="1" si="31"/>
        <v>93.466980688408711</v>
      </c>
      <c r="AD31" s="47">
        <f t="shared" ca="1" si="32"/>
        <v>0.25696285282447207</v>
      </c>
      <c r="AE31" s="44">
        <f t="shared" ca="1" si="33"/>
        <v>306.64999999999998</v>
      </c>
      <c r="AF31" s="44">
        <f t="shared" ca="1" si="34"/>
        <v>0.84</v>
      </c>
      <c r="AH31" s="44">
        <v>306.64999999999998</v>
      </c>
      <c r="AI31" s="44">
        <f t="shared" ca="1" si="35"/>
        <v>0.84</v>
      </c>
      <c r="AJ31" s="2" t="str">
        <f t="shared" ca="1" si="27"/>
        <v>306.65,0.84</v>
      </c>
    </row>
    <row r="32" spans="1:36" x14ac:dyDescent="0.25">
      <c r="A32" s="44">
        <v>12</v>
      </c>
      <c r="B32" s="48">
        <v>11.259780092592592</v>
      </c>
      <c r="C32" s="48">
        <v>3.8319328703703701</v>
      </c>
      <c r="D32" s="44">
        <v>103.155</v>
      </c>
      <c r="E32" s="44">
        <v>1.492</v>
      </c>
      <c r="F32" s="44"/>
      <c r="G32" s="43">
        <f t="shared" si="17"/>
        <v>91.966388888888886</v>
      </c>
      <c r="H32" s="43">
        <f t="shared" si="18"/>
        <v>1.6051162872806406</v>
      </c>
      <c r="I32" s="43">
        <f t="shared" si="3"/>
        <v>270.23472222222222</v>
      </c>
      <c r="J32" s="39">
        <f t="shared" si="19"/>
        <v>4.7164856559900654</v>
      </c>
      <c r="K32" s="39">
        <f t="shared" si="20"/>
        <v>103.09425490473984</v>
      </c>
      <c r="L32" s="15">
        <f t="shared" si="21"/>
        <v>-3.539580573532032</v>
      </c>
      <c r="M32" s="13"/>
      <c r="N32" s="16">
        <f t="shared" si="4"/>
        <v>270.23472222222222</v>
      </c>
      <c r="O32" s="16">
        <f t="shared" ca="1" si="22"/>
        <v>117.53947054613703</v>
      </c>
      <c r="P32" s="16">
        <f t="shared" ca="1" si="23"/>
        <v>387.77419276835923</v>
      </c>
      <c r="Q32" s="16">
        <f t="shared" ca="1" si="24"/>
        <v>6.767936418071054</v>
      </c>
      <c r="R32" s="16">
        <f t="shared" ca="1" si="5"/>
        <v>48.040702051866333</v>
      </c>
      <c r="S32" s="16">
        <f t="shared" ca="1" si="6"/>
        <v>91.216864343866163</v>
      </c>
      <c r="T32" s="13">
        <f t="shared" ca="1" si="7"/>
        <v>1073656.7777020519</v>
      </c>
      <c r="U32" s="13">
        <f t="shared" ca="1" si="8"/>
        <v>461599.01486434386</v>
      </c>
      <c r="V32" s="16">
        <f t="shared" si="9"/>
        <v>1238.6574194264681</v>
      </c>
      <c r="W32" s="16">
        <f t="shared" ca="1" si="10"/>
        <v>1238.404340516945</v>
      </c>
      <c r="X32" s="47">
        <f t="shared" ca="1" si="11"/>
        <v>1073656.7777020519</v>
      </c>
      <c r="Y32" s="47">
        <f t="shared" ca="1" si="25"/>
        <v>461599.01486434386</v>
      </c>
      <c r="Z32" s="47">
        <f t="shared" ca="1" si="28"/>
        <v>1073656.7090393668</v>
      </c>
      <c r="AA32" s="47">
        <f t="shared" ca="1" si="29"/>
        <v>461599.05025173817</v>
      </c>
      <c r="AB32" s="47">
        <f t="shared" ca="1" si="30"/>
        <v>7.7245271715723332E-2</v>
      </c>
      <c r="AC32" s="47">
        <f t="shared" ca="1" si="31"/>
        <v>94.107540896308109</v>
      </c>
      <c r="AD32" s="47">
        <f t="shared" ca="1" si="32"/>
        <v>0.68755732656450164</v>
      </c>
      <c r="AE32" s="44">
        <f t="shared" ca="1" si="33"/>
        <v>308.75</v>
      </c>
      <c r="AF32" s="44">
        <f t="shared" ca="1" si="34"/>
        <v>2.2599999999999998</v>
      </c>
      <c r="AH32" s="44">
        <v>308.75</v>
      </c>
      <c r="AI32" s="44">
        <f t="shared" ref="AI32:AI36" ca="1" si="36">OFFSET($AF$22,MATCH(AH32,$AE$23:$AE$59,0),0)</f>
        <v>2.2599999999999998</v>
      </c>
      <c r="AJ32" s="44" t="str">
        <f t="shared" ref="AJ32:AJ36" ca="1" si="37">CONCATENATE(AH32,",",AI32)</f>
        <v>308.75,2.26</v>
      </c>
    </row>
    <row r="33" spans="1:36" x14ac:dyDescent="0.25">
      <c r="A33" s="44">
        <v>13</v>
      </c>
      <c r="B33" s="48">
        <v>11.25846064814815</v>
      </c>
      <c r="C33" s="48">
        <v>3.8222337962962967</v>
      </c>
      <c r="D33" s="44">
        <v>104.27800000000001</v>
      </c>
      <c r="E33" s="44">
        <v>1.492</v>
      </c>
      <c r="F33" s="44"/>
      <c r="G33" s="43">
        <f t="shared" si="17"/>
        <v>91.733611111111117</v>
      </c>
      <c r="H33" s="43">
        <f t="shared" si="18"/>
        <v>1.6010535486329429</v>
      </c>
      <c r="I33" s="43">
        <f t="shared" si="3"/>
        <v>270.20305555555558</v>
      </c>
      <c r="J33" s="39">
        <f t="shared" si="19"/>
        <v>4.7159329683936013</v>
      </c>
      <c r="K33" s="39">
        <f t="shared" si="20"/>
        <v>104.23027041449289</v>
      </c>
      <c r="L33" s="15">
        <f t="shared" si="21"/>
        <v>-3.1546811759179803</v>
      </c>
      <c r="M33" s="13"/>
      <c r="N33" s="16">
        <f t="shared" si="4"/>
        <v>270.20305555555558</v>
      </c>
      <c r="O33" s="16">
        <f t="shared" ca="1" si="22"/>
        <v>117.53947054613703</v>
      </c>
      <c r="P33" s="16">
        <f t="shared" ca="1" si="23"/>
        <v>387.74252610169259</v>
      </c>
      <c r="Q33" s="16">
        <f t="shared" ca="1" si="24"/>
        <v>6.767383730474589</v>
      </c>
      <c r="R33" s="16">
        <f t="shared" ca="1" si="5"/>
        <v>48.519094456462696</v>
      </c>
      <c r="S33" s="16">
        <f t="shared" ca="1" si="6"/>
        <v>92.248830582306908</v>
      </c>
      <c r="T33" s="13">
        <f t="shared" ca="1" si="7"/>
        <v>1073657.2560944564</v>
      </c>
      <c r="U33" s="13">
        <f t="shared" ca="1" si="8"/>
        <v>461600.04683058232</v>
      </c>
      <c r="V33" s="16">
        <f t="shared" si="9"/>
        <v>1239.042318824082</v>
      </c>
      <c r="W33" s="16">
        <f t="shared" ca="1" si="10"/>
        <v>1238.7892399145589</v>
      </c>
      <c r="X33" s="47">
        <f t="shared" ca="1" si="11"/>
        <v>1073657.2560944564</v>
      </c>
      <c r="Y33" s="47">
        <f t="shared" ca="1" si="25"/>
        <v>461600.04683058232</v>
      </c>
      <c r="Z33" s="47">
        <f t="shared" ca="1" si="28"/>
        <v>1073657.2296741372</v>
      </c>
      <c r="AA33" s="47">
        <f t="shared" ca="1" si="29"/>
        <v>461600.0604470938</v>
      </c>
      <c r="AB33" s="47">
        <f t="shared" ca="1" si="30"/>
        <v>2.9722763206400916E-2</v>
      </c>
      <c r="AC33" s="47">
        <f t="shared" ca="1" si="31"/>
        <v>95.244007006967848</v>
      </c>
      <c r="AD33" s="47">
        <f t="shared" ca="1" si="32"/>
        <v>1.0724567241784371</v>
      </c>
      <c r="AE33" s="44">
        <f t="shared" ca="1" si="33"/>
        <v>312.48</v>
      </c>
      <c r="AF33" s="44">
        <f t="shared" ca="1" si="34"/>
        <v>3.52</v>
      </c>
      <c r="AH33" s="44">
        <v>312.48</v>
      </c>
      <c r="AI33" s="44">
        <f t="shared" ca="1" si="36"/>
        <v>3.52</v>
      </c>
      <c r="AJ33" s="44" t="str">
        <f t="shared" ca="1" si="37"/>
        <v>312.48,3.52</v>
      </c>
    </row>
    <row r="34" spans="1:36" x14ac:dyDescent="0.25">
      <c r="A34" s="44">
        <v>14</v>
      </c>
      <c r="B34" s="48">
        <v>2.6967592592592594E-3</v>
      </c>
      <c r="C34" s="48">
        <v>3.6354166666666665</v>
      </c>
      <c r="D34" s="44">
        <v>36.384999999999998</v>
      </c>
      <c r="E34" s="44">
        <v>1.492</v>
      </c>
      <c r="F34" s="49" t="s">
        <v>70</v>
      </c>
      <c r="G34" s="43">
        <f t="shared" si="17"/>
        <v>87.25</v>
      </c>
      <c r="H34" s="43">
        <f t="shared" si="18"/>
        <v>1.5227997723650526</v>
      </c>
      <c r="I34" s="43">
        <f t="shared" si="3"/>
        <v>6.4722222222222223E-2</v>
      </c>
      <c r="J34" s="39">
        <f t="shared" si="19"/>
        <v>1.1296158769852189E-3</v>
      </c>
      <c r="K34" s="39">
        <f t="shared" si="20"/>
        <v>36.343098542254928</v>
      </c>
      <c r="L34" s="15">
        <f t="shared" si="21"/>
        <v>1.745684206249098</v>
      </c>
      <c r="M34" s="13"/>
      <c r="N34" s="16">
        <f t="shared" si="4"/>
        <v>6.4722222222222223E-2</v>
      </c>
      <c r="O34" s="16">
        <f t="shared" ca="1" si="22"/>
        <v>117.53947054613703</v>
      </c>
      <c r="P34" s="16">
        <f t="shared" ca="1" si="23"/>
        <v>117.60419276835924</v>
      </c>
      <c r="Q34" s="16">
        <f t="shared" ca="1" si="24"/>
        <v>2.0525803779579737</v>
      </c>
      <c r="R34" s="16">
        <f t="shared" ca="1" si="5"/>
        <v>32.206151785909995</v>
      </c>
      <c r="S34" s="16">
        <f t="shared" ca="1" si="6"/>
        <v>-16.83997027298382</v>
      </c>
      <c r="T34" s="13">
        <f t="shared" ca="1" si="7"/>
        <v>1073640.9431517858</v>
      </c>
      <c r="U34" s="13">
        <f t="shared" ca="1" si="8"/>
        <v>461490.95802972704</v>
      </c>
      <c r="V34" s="16">
        <f t="shared" si="9"/>
        <v>1243.9426842062492</v>
      </c>
      <c r="W34" s="16">
        <f t="shared" ca="1" si="10"/>
        <v>1243.6896052967261</v>
      </c>
      <c r="X34" s="47" t="str">
        <f t="shared" si="11"/>
        <v/>
      </c>
      <c r="Y34" s="47" t="str">
        <f t="shared" si="25"/>
        <v/>
      </c>
      <c r="Z34" s="47" t="str">
        <f t="shared" si="28"/>
        <v/>
      </c>
      <c r="AA34" s="47" t="str">
        <f t="shared" si="29"/>
        <v/>
      </c>
      <c r="AB34" s="47" t="str">
        <f t="shared" si="30"/>
        <v/>
      </c>
      <c r="AC34" s="47" t="str">
        <f t="shared" ca="1" si="31"/>
        <v/>
      </c>
      <c r="AD34" s="47" t="str">
        <f t="shared" si="32"/>
        <v/>
      </c>
      <c r="AE34" s="44" t="e">
        <f t="shared" ca="1" si="33"/>
        <v>#VALUE!</v>
      </c>
      <c r="AF34" s="44" t="e">
        <f t="shared" si="34"/>
        <v>#VALUE!</v>
      </c>
      <c r="AH34" s="44"/>
      <c r="AI34" s="44"/>
      <c r="AJ34" s="44"/>
    </row>
    <row r="35" spans="1:36" x14ac:dyDescent="0.25">
      <c r="A35" s="44">
        <v>15</v>
      </c>
      <c r="B35" s="48">
        <v>1.3025347222222223</v>
      </c>
      <c r="C35" s="48">
        <v>3.6628472222222221</v>
      </c>
      <c r="D35" s="44">
        <v>24.559000000000001</v>
      </c>
      <c r="E35" s="44">
        <v>1.492</v>
      </c>
      <c r="F35" s="49" t="s">
        <v>71</v>
      </c>
      <c r="G35" s="43">
        <f t="shared" ref="G35:G39" si="38">C35*24</f>
        <v>87.908333333333331</v>
      </c>
      <c r="H35" s="43">
        <f t="shared" ref="H35:H39" si="39">RADIANS(G35)</f>
        <v>1.5342898566073484</v>
      </c>
      <c r="I35" s="43">
        <f t="shared" ref="I35:I39" si="40">B35*24</f>
        <v>31.260833333333338</v>
      </c>
      <c r="J35" s="49">
        <f t="shared" ref="J35:J39" si="41">RADIANS(I35)</f>
        <v>0.5456044685838608</v>
      </c>
      <c r="K35" s="49">
        <f t="shared" ref="K35:K39" si="42">D35*SIN(H35)</f>
        <v>24.54263665314981</v>
      </c>
      <c r="L35" s="46">
        <f t="shared" ref="L35:L39" si="43">D35*COS(H35)</f>
        <v>0.89636326981174907</v>
      </c>
      <c r="M35" s="45"/>
      <c r="N35" s="47">
        <f t="shared" ref="N35:N39" si="44">I35+M35</f>
        <v>31.260833333333338</v>
      </c>
      <c r="O35" s="47">
        <f t="shared" ca="1" si="22"/>
        <v>117.53947054613703</v>
      </c>
      <c r="P35" s="47">
        <f t="shared" ref="P35:P39" ca="1" si="45">SUM(N35,O35)</f>
        <v>148.80030387947036</v>
      </c>
      <c r="Q35" s="47">
        <f t="shared" ref="Q35:Q39" ca="1" si="46">RADIANS(P35)</f>
        <v>2.5970552306648496</v>
      </c>
      <c r="R35" s="47">
        <f t="shared" ref="R35:R39" ca="1" si="47">K35*SIN(Q35)</f>
        <v>12.713637327427506</v>
      </c>
      <c r="S35" s="47">
        <f t="shared" ref="S35:S39" ca="1" si="48">K35*COS(Q35)</f>
        <v>-20.992961672788681</v>
      </c>
      <c r="T35" s="45">
        <f t="shared" ref="T35:T39" ca="1" si="49">Old_X0+R35</f>
        <v>1073621.4506373275</v>
      </c>
      <c r="U35" s="45">
        <f t="shared" ref="U35:U39" ca="1" si="50">Old_Y0+S35</f>
        <v>461486.80503832723</v>
      </c>
      <c r="V35" s="47">
        <f t="shared" ref="V35:V39" si="51">Old_Z0+HI+L35-E35</f>
        <v>1243.0933632698118</v>
      </c>
      <c r="W35" s="47">
        <f t="shared" ref="W35:W39" ca="1" si="52">IF(ISNUMBER(T35),V35+dZ,"")</f>
        <v>1242.8402843602887</v>
      </c>
      <c r="X35" s="47" t="str">
        <f t="shared" ref="X35:X39" si="53">IF(AND(A35&gt;=CS_Start,A35&lt;=CS_End),IF(OR(LEFT(UPPER(F35))="D"),"",T35),"")</f>
        <v/>
      </c>
      <c r="Y35" s="47" t="str">
        <f t="shared" ref="Y35:Y39" si="54">IF(ISNUMBER(X35),U35,"")</f>
        <v/>
      </c>
      <c r="Z35" s="47" t="str">
        <f t="shared" ref="Z35:Z39" si="55">IF(X35="","",VALUE((-mB*X35+Y35-bA)/(mA-mB)))</f>
        <v/>
      </c>
      <c r="AA35" s="47" t="str">
        <f t="shared" ref="AA35:AA39" si="56">IF(Z35="","",VALUE(mA*Z35+bA))</f>
        <v/>
      </c>
      <c r="AB35" s="47" t="str">
        <f t="shared" ref="AB35:AB39" si="57">IF(ISNUMBER(X35),SQRT((X35-Z35)^2+(Y35-AA35)^2),"")</f>
        <v/>
      </c>
      <c r="AC35" s="47" t="str">
        <f t="shared" ref="AC35:AC39" ca="1" si="58">IF(ISNUMBER(Z35),SQRT(($Z35-OFFSET($Z$20,MATCH(CS_Start,$A$21:$A$51,0),0))^2+($AA35-OFFSET($AA$20,MATCH(CS_Start,$A$21:$A$51,0),0))^2),"")</f>
        <v/>
      </c>
      <c r="AD35" s="47" t="str">
        <f t="shared" ref="AD35:AD39" si="59">IF(ISNUMBER(X35),W35-Min_Z,"")</f>
        <v/>
      </c>
      <c r="AE35" s="44" t="e">
        <f t="shared" ref="AE35:AE39" ca="1" si="60">ROUND(CONVERT(AC35,"m","ft"),2)</f>
        <v>#VALUE!</v>
      </c>
      <c r="AF35" s="44" t="e">
        <f t="shared" ref="AF35:AF39" si="61">ROUND(CONVERT(AD35,"m","ft"),2)</f>
        <v>#VALUE!</v>
      </c>
      <c r="AH35" s="44"/>
      <c r="AI35" s="44"/>
      <c r="AJ35" s="44"/>
    </row>
    <row r="36" spans="1:36" x14ac:dyDescent="0.25">
      <c r="A36" s="44"/>
      <c r="B36" s="48"/>
      <c r="C36" s="48"/>
      <c r="D36" s="44"/>
      <c r="E36" s="44"/>
      <c r="F36" s="44"/>
      <c r="G36" s="43"/>
      <c r="H36" s="43"/>
      <c r="I36" s="43"/>
      <c r="J36" s="49"/>
      <c r="K36" s="49"/>
      <c r="L36" s="46"/>
      <c r="M36" s="45"/>
      <c r="N36" s="47"/>
      <c r="O36" s="47"/>
      <c r="P36" s="47"/>
      <c r="Q36" s="47"/>
      <c r="R36" s="47"/>
      <c r="S36" s="47"/>
      <c r="T36" s="45"/>
      <c r="U36" s="45"/>
      <c r="V36" s="47"/>
      <c r="W36" s="47"/>
      <c r="X36" s="47"/>
      <c r="Y36" s="47"/>
      <c r="Z36" s="47"/>
      <c r="AA36" s="47"/>
      <c r="AB36" s="47"/>
      <c r="AC36" s="47"/>
      <c r="AD36" s="47"/>
      <c r="AE36" s="44"/>
      <c r="AF36" s="44"/>
      <c r="AH36" s="44"/>
      <c r="AI36" s="44"/>
      <c r="AJ36" s="44"/>
    </row>
    <row r="37" spans="1:36" x14ac:dyDescent="0.25">
      <c r="A37" s="44"/>
      <c r="B37" s="48"/>
      <c r="C37" s="48"/>
      <c r="D37" s="44"/>
      <c r="E37" s="44"/>
      <c r="F37" s="49"/>
      <c r="G37" s="43"/>
      <c r="H37" s="43"/>
      <c r="I37" s="43"/>
      <c r="J37" s="49"/>
      <c r="K37" s="49"/>
      <c r="L37" s="46"/>
      <c r="M37" s="45"/>
      <c r="N37" s="47"/>
      <c r="O37" s="47"/>
      <c r="P37" s="47"/>
      <c r="Q37" s="47"/>
      <c r="R37" s="47"/>
      <c r="S37" s="47"/>
      <c r="T37" s="45"/>
      <c r="U37" s="45"/>
      <c r="V37" s="47"/>
      <c r="W37" s="47"/>
      <c r="X37" s="47"/>
      <c r="Y37" s="47"/>
      <c r="Z37" s="47"/>
      <c r="AA37" s="47"/>
      <c r="AB37" s="47"/>
      <c r="AC37" s="47"/>
      <c r="AD37" s="47"/>
      <c r="AE37" s="44"/>
      <c r="AF37" s="44"/>
      <c r="AH37" s="44"/>
      <c r="AI37" s="44"/>
      <c r="AJ37" s="44"/>
    </row>
    <row r="38" spans="1:36" x14ac:dyDescent="0.25">
      <c r="A38" s="44"/>
      <c r="B38" s="48"/>
      <c r="C38" s="48"/>
      <c r="D38" s="44"/>
      <c r="E38" s="44"/>
      <c r="F38" s="49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4"/>
      <c r="AF38" s="44"/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3">
    <sortCondition ref="AH3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3522338.375984252</v>
      </c>
      <c r="C2" s="33">
        <f>IF(ISNUMBER(Calculations!O4),CONVERT(Calculations!O4,Units_In,Units_Out),"")</f>
        <v>1514133.1955380577</v>
      </c>
      <c r="D2" s="33" t="s">
        <v>60</v>
      </c>
      <c r="E2" s="10" t="str">
        <f>CONCATENATE("0503 ",B2,"EUSft ",C2,"NUSft")</f>
        <v>0503 3522338.37598425EUSft 1514133.19553806NUSft</v>
      </c>
      <c r="F2" s="34">
        <v>98</v>
      </c>
      <c r="G2" s="10" t="str">
        <f>IF(F2=98,"Lime",IF(F2=94,"Yellow",""))</f>
        <v>Lime</v>
      </c>
      <c r="H2" s="10" t="str">
        <f>Calculations!$A$1</f>
        <v>CSS12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3522428.3858267716</v>
      </c>
      <c r="C3" s="33">
        <f>IF(ISNUMBER(Calculations!O5),CONVERT(Calculations!O5,Units_In,Units_Out),"")</f>
        <v>1514048.7303149607</v>
      </c>
      <c r="D3" s="33" t="s">
        <v>60</v>
      </c>
      <c r="E3" s="10" t="str">
        <f t="shared" ref="E3:E4" si="0">CONCATENATE("0503 ",B3,"EUSft ",C3,"NUSft")</f>
        <v>0503 3522428.38582677EUSft 1514048.73031496NUSft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CSS12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3522359.9540682416</v>
      </c>
      <c r="C4" s="33">
        <f>IF(ISNUMBER(Calculations!O6),CONVERT(Calculations!O6,Units_In,Units_Out),"")</f>
        <v>1514055.1017060368</v>
      </c>
      <c r="D4" s="33" t="s">
        <v>60</v>
      </c>
      <c r="E4" s="10" t="str">
        <f t="shared" si="0"/>
        <v>0503 3522359.95406824EUSft 1514055.10170604NUSft</v>
      </c>
      <c r="F4" s="34">
        <v>98</v>
      </c>
      <c r="G4" s="10" t="str">
        <f t="shared" si="1"/>
        <v>Lime</v>
      </c>
      <c r="H4" s="10" t="str">
        <f>Calculations!$A$1</f>
        <v>CSS12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3522444.1281462768</v>
      </c>
      <c r="C5" s="33">
        <f ca="1">IF(ISNUMBER(A5),CONVERT(Calculations!U21,Units_In,Units_Out),"")</f>
        <v>1514078.0524720547</v>
      </c>
      <c r="D5" s="33" t="str">
        <f>IF(ISTEXT(Calculations!F21),Calculations!F21,"")</f>
        <v>BS/ZERO</v>
      </c>
      <c r="E5" t="str">
        <f ca="1">IF(ISNUMBER(A5),CONCATENATE("0503 ",B5,"EUSft ",C5,"NUSft"),"")</f>
        <v>0503 3522444.12814628EUSft 1514078.05247205NUSft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CSS12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3522380.1796369394</v>
      </c>
      <c r="C6" s="33">
        <f ca="1">IF(ISNUMBER(A6),CONVERT(Calculations!U22,Units_In,Units_Out),"")</f>
        <v>1514064.2358464727</v>
      </c>
      <c r="D6" s="33" t="str">
        <f>IF(ISTEXT(Calculations!F22),Calculations!F22,"")</f>
        <v>BS</v>
      </c>
      <c r="E6" s="10" t="str">
        <f t="shared" ref="E6:E65" ca="1" si="2">IF(ISNUMBER(A6),CONCATENATE("0503 ",B6,"EUSft ",C6,"NUSft"),"")</f>
        <v>0503 3522380.17963694EUSft 1514064.23584647NUSft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CSS12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3522354.1620393614</v>
      </c>
      <c r="C7" s="33">
        <f ca="1">IF(ISNUMBER(A7),CONVERT(Calculations!U23,Units_In,Units_Out),"")</f>
        <v>1514158.214089589</v>
      </c>
      <c r="D7" s="33" t="str">
        <f>IF(ISTEXT(Calculations!F23),Calculations!F23,"")</f>
        <v/>
      </c>
      <c r="E7" s="10" t="str">
        <f t="shared" ca="1" si="2"/>
        <v>0503 3522354.16203936EUSft 1514158.21408959NUSft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CSS12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3522356.4069540864</v>
      </c>
      <c r="C8" s="33">
        <f ca="1">IF(ISNUMBER(A8),CONVERT(Calculations!U24,Units_In,Units_Out),"")</f>
        <v>1514162.757533276</v>
      </c>
      <c r="D8" s="33" t="str">
        <f>IF(ISTEXT(Calculations!F24),Calculations!F24,"")</f>
        <v/>
      </c>
      <c r="E8" s="10" t="str">
        <f t="shared" ca="1" si="2"/>
        <v>0503 3522356.40695409EUSft 1514162.75753328NUSft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CSS12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3522366.0680123181</v>
      </c>
      <c r="C9" s="33">
        <f ca="1">IF(ISNUMBER(A9),CONVERT(Calculations!U25,Units_In,Units_Out),"")</f>
        <v>1514182.0260213583</v>
      </c>
      <c r="D9" s="33" t="str">
        <f>IF(ISTEXT(Calculations!F25),Calculations!F25,"")</f>
        <v/>
      </c>
      <c r="E9" s="10" t="str">
        <f t="shared" ca="1" si="2"/>
        <v>0503 3522366.06801232EUSft 1514182.02602136NUSft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CSS12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3522367.4171336805</v>
      </c>
      <c r="C10" s="33">
        <f ca="1">IF(ISNUMBER(A10),CONVERT(Calculations!U26,Units_In,Units_Out),"")</f>
        <v>1514183.0064845374</v>
      </c>
      <c r="D10" s="33" t="str">
        <f>IF(ISTEXT(Calculations!F26),Calculations!F26,"")</f>
        <v/>
      </c>
      <c r="E10" s="10" t="str">
        <f t="shared" ca="1" si="2"/>
        <v>0503 3522367.41713368EUSft 1514183.00648454NUSft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CSS12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3522367.6956326575</v>
      </c>
      <c r="C11" s="33">
        <f ca="1">IF(ISNUMBER(A11),CONVERT(Calculations!U27,Units_In,Units_Out),"")</f>
        <v>1514183.8231714612</v>
      </c>
      <c r="D11" s="33" t="str">
        <f>IF(ISTEXT(Calculations!F27),Calculations!F27,"")</f>
        <v>WS</v>
      </c>
      <c r="E11" s="10" t="str">
        <f t="shared" ca="1" si="2"/>
        <v>0503 3522367.69563266EUSft 1514183.82317146NUSft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CSS12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3522368.426354195</v>
      </c>
      <c r="C12" s="33">
        <f ca="1">IF(ISNUMBER(A12),CONVERT(Calculations!U28,Units_In,Units_Out),"")</f>
        <v>1514185.2011539345</v>
      </c>
      <c r="D12" s="33" t="str">
        <f>IF(ISTEXT(Calculations!F28),Calculations!F28,"")</f>
        <v/>
      </c>
      <c r="E12" s="10" t="str">
        <f t="shared" ca="1" si="2"/>
        <v>0503 3522368.42635419EUSft 1514185.20115393NUSft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CSS12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3522417.8030663384</v>
      </c>
      <c r="C13" s="33">
        <f ca="1">IF(ISNUMBER(A13),CONVERT(Calculations!U29,Units_In,Units_Out),"")</f>
        <v>1514279.4937062229</v>
      </c>
      <c r="D13" s="33" t="str">
        <f>IF(ISTEXT(Calculations!F29),Calculations!F29,"")</f>
        <v/>
      </c>
      <c r="E13" s="10" t="str">
        <f t="shared" ca="1" si="2"/>
        <v>0503 3522417.80306634EUSft 1514279.49370622NUSft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CSS12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3522492.9469706574</v>
      </c>
      <c r="C14" s="33">
        <f ca="1">IF(ISNUMBER(A14),CONVERT(Calculations!U30,Units_In,Units_Out),"")</f>
        <v>1514428.774975335</v>
      </c>
      <c r="D14" s="33" t="str">
        <f>IF(ISTEXT(Calculations!F30),Calculations!F30,"")</f>
        <v/>
      </c>
      <c r="E14" s="10" t="str">
        <f t="shared" ca="1" si="2"/>
        <v>0503 3522492.94697066EUSft 1514428.77497533NUSft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CSS12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3522494.8178233583</v>
      </c>
      <c r="C15" s="33">
        <f ca="1">IF(ISNUMBER(A15),CONVERT(Calculations!U31,Units_In,Units_Out),"")</f>
        <v>1514430.7032331729</v>
      </c>
      <c r="D15" s="33" t="str">
        <f>IF(ISTEXT(Calculations!F31),Calculations!F31,"")</f>
        <v/>
      </c>
      <c r="E15" s="10" t="str">
        <f t="shared" ca="1" si="2"/>
        <v>0503 3522494.81782336EUSft 1514430.70323317NUSft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CSS12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3522495.9898361284</v>
      </c>
      <c r="C16" s="33">
        <f ca="1">IF(ISNUMBER(A16),CONVERT(Calculations!U32,Units_In,Units_Out),"")</f>
        <v>1514432.4634656953</v>
      </c>
      <c r="D16" s="33" t="str">
        <f>IF(ISTEXT(Calculations!F32),Calculations!F32,"")</f>
        <v/>
      </c>
      <c r="E16" s="10" t="str">
        <f t="shared" ca="1" si="2"/>
        <v>0503 3522495.98983613EUSft 1514432.4634657NUSft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CSS12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3522497.5593650145</v>
      </c>
      <c r="C17" s="33">
        <f ca="1">IF(ISNUMBER(A17),CONVERT(Calculations!U33,Units_In,Units_Out),"")</f>
        <v>1514435.8491817005</v>
      </c>
      <c r="D17" s="33" t="str">
        <f>IF(ISTEXT(Calculations!F33),Calculations!F33,"")</f>
        <v/>
      </c>
      <c r="E17" s="10" t="str">
        <f t="shared" ca="1" si="2"/>
        <v>0503 3522497.55936501EUSft 1514435.8491817NUSft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CSS12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3522444.0392118958</v>
      </c>
      <c r="C18" s="33">
        <f ca="1">IF(ISNUMBER(A18),CONVERT(Calculations!U34,Units_In,Units_Out),"")</f>
        <v>1514077.9462917552</v>
      </c>
      <c r="D18" s="33" t="str">
        <f>IF(ISTEXT(Calculations!F34),Calculations!F34,"")</f>
        <v>PT1</v>
      </c>
      <c r="E18" s="10" t="str">
        <f t="shared" ca="1" si="2"/>
        <v>0503 3522444.0392119EUSft 1514077.94629176NUSft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CSS12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3522380.087392807</v>
      </c>
      <c r="C19" s="33">
        <f ca="1">IF(ISNUMBER(A19),CONVERT(Calculations!U35,Units_In,Units_Out),"")</f>
        <v>1514064.3209918872</v>
      </c>
      <c r="D19" s="33" t="str">
        <f>IF(ISTEXT(Calculations!F35),Calculations!F35,"")</f>
        <v>PT2</v>
      </c>
      <c r="E19" s="10" t="str">
        <f t="shared" ca="1" si="2"/>
        <v>0503 3522380.08739281EUSft 1514064.32099189NUSft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CSS12</v>
      </c>
    </row>
    <row r="20" spans="1:8" x14ac:dyDescent="0.25">
      <c r="A20" s="10" t="str">
        <f>IF(ISNUMBER(Calculations!A36),Calculations!A36,"")</f>
        <v/>
      </c>
      <c r="B20" s="33" t="str">
        <f>IF(ISNUMBER(A20),CONVERT(Calculations!T36,Units_In,Units_Out),"")</f>
        <v/>
      </c>
      <c r="C20" s="33" t="str">
        <f>IF(ISNUMBER(A20),CONVERT(Calculations!U36,Units_In,Units_Out),"")</f>
        <v/>
      </c>
      <c r="D20" s="33" t="str">
        <f>IF(ISTEXT(Calculations!F36),Calculations!F36,"")</f>
        <v/>
      </c>
      <c r="E20" s="10" t="str">
        <f t="shared" si="2"/>
        <v/>
      </c>
      <c r="F20" s="34" t="str">
        <f t="shared" si="3"/>
        <v/>
      </c>
      <c r="G20" s="10" t="str">
        <f t="shared" si="1"/>
        <v/>
      </c>
      <c r="H20" s="10" t="str">
        <f>IF(ISNUMBER(A20),Calculations!$A$1,"")</f>
        <v/>
      </c>
    </row>
    <row r="21" spans="1:8" x14ac:dyDescent="0.25">
      <c r="A21" s="10" t="str">
        <f>IF(ISNUMBER(Calculations!A37),Calculations!A37,"")</f>
        <v/>
      </c>
      <c r="B21" s="33" t="str">
        <f>IF(ISNUMBER(A21),CONVERT(Calculations!T37,Units_In,Units_Out),"")</f>
        <v/>
      </c>
      <c r="C21" s="33" t="str">
        <f>IF(ISNUMBER(A21),CONVERT(Calculations!U37,Units_In,Units_Out),"")</f>
        <v/>
      </c>
      <c r="D21" s="33" t="str">
        <f>IF(ISTEXT(Calculations!F37),Calculations!F37,"")</f>
        <v/>
      </c>
      <c r="E21" s="10" t="str">
        <f t="shared" si="2"/>
        <v/>
      </c>
      <c r="F21" s="34" t="str">
        <f t="shared" si="3"/>
        <v/>
      </c>
      <c r="G21" s="10" t="str">
        <f t="shared" si="1"/>
        <v/>
      </c>
      <c r="H21" s="10" t="str">
        <f>IF(ISNUMBER(A21),Calculations!$A$1,"")</f>
        <v/>
      </c>
    </row>
    <row r="22" spans="1:8" x14ac:dyDescent="0.25">
      <c r="A22" s="10" t="str">
        <f>IF(ISNUMBER(Calculations!A38),Calculations!A38,"")</f>
        <v/>
      </c>
      <c r="B22" s="33" t="str">
        <f>IF(ISNUMBER(A22),CONVERT(Calculations!T38,Units_In,Units_Out),"")</f>
        <v/>
      </c>
      <c r="C22" s="33" t="str">
        <f>IF(ISNUMBER(A22),CONVERT(Calculations!U38,Units_In,Units_Out),"")</f>
        <v/>
      </c>
      <c r="D22" s="33" t="str">
        <f>IF(ISTEXT(Calculations!F38),Calculations!F38,"")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2013-08-28T10:30:07Z</dcterms:modified>
</cp:coreProperties>
</file>