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R12" i="1" l="1"/>
  <c r="X22" i="1" l="1"/>
  <c r="Y22" i="1" s="1"/>
  <c r="X21" i="1"/>
  <c r="P5" i="1" l="1"/>
  <c r="P6" i="1"/>
  <c r="P4" i="1"/>
  <c r="O5" i="1"/>
  <c r="O6" i="1"/>
  <c r="O4" i="1"/>
  <c r="N5" i="1"/>
  <c r="N6" i="1"/>
  <c r="N4" i="1"/>
  <c r="Q5" i="1" l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E4" i="2" l="1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E36" i="2" l="1"/>
  <c r="E37" i="2"/>
  <c r="X4" i="1"/>
  <c r="Y4" i="1"/>
  <c r="Y5" i="1" l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Q27" i="1" l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20" i="2" l="1"/>
  <c r="E12" i="2"/>
  <c r="E16" i="2"/>
  <c r="Y27" i="1"/>
  <c r="Y31" i="1"/>
  <c r="Y29" i="1"/>
  <c r="B17" i="2"/>
  <c r="E17" i="2" s="1"/>
  <c r="X33" i="1"/>
  <c r="Y28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3" i="1" l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s="1"/>
  <c r="Z25" i="1" l="1"/>
  <c r="Z27" i="1"/>
  <c r="Z31" i="1"/>
  <c r="Z29" i="1"/>
  <c r="Z26" i="1"/>
  <c r="Z30" i="1"/>
  <c r="Z28" i="1"/>
  <c r="Z24" i="1"/>
  <c r="Z32" i="1"/>
  <c r="Z33" i="1"/>
  <c r="Z23" i="1"/>
  <c r="AA23" i="1" s="1"/>
  <c r="AA33" i="1" l="1"/>
  <c r="AC33" i="1" s="1"/>
  <c r="AE33" i="1" s="1"/>
  <c r="AA24" i="1"/>
  <c r="AC24" i="1" s="1"/>
  <c r="AE24" i="1" s="1"/>
  <c r="AA28" i="1"/>
  <c r="AC28" i="1" s="1"/>
  <c r="AE28" i="1" s="1"/>
  <c r="AA30" i="1"/>
  <c r="AC30" i="1" s="1"/>
  <c r="AE30" i="1" s="1"/>
  <c r="AA26" i="1"/>
  <c r="AC26" i="1" s="1"/>
  <c r="AE26" i="1" s="1"/>
  <c r="AA29" i="1"/>
  <c r="AC29" i="1" s="1"/>
  <c r="AE29" i="1" s="1"/>
  <c r="AA25" i="1"/>
  <c r="AC25" i="1" s="1"/>
  <c r="AE25" i="1" s="1"/>
  <c r="AA32" i="1"/>
  <c r="AC32" i="1" s="1"/>
  <c r="AE32" i="1" s="1"/>
  <c r="AA31" i="1"/>
  <c r="AC31" i="1" s="1"/>
  <c r="AE31" i="1" s="1"/>
  <c r="AA27" i="1"/>
  <c r="AC27" i="1" s="1"/>
  <c r="AE27" i="1" s="1"/>
  <c r="AC23" i="1"/>
  <c r="AE23" i="1" s="1"/>
  <c r="AB23" i="1"/>
  <c r="AB32" i="1" l="1"/>
  <c r="AB33" i="1"/>
  <c r="AB28" i="1"/>
  <c r="AB27" i="1"/>
  <c r="AB29" i="1"/>
  <c r="AB26" i="1"/>
  <c r="AB24" i="1"/>
  <c r="AB31" i="1"/>
  <c r="AB25" i="1"/>
  <c r="AB30" i="1"/>
  <c r="AI23" i="1"/>
  <c r="AI26" i="1" l="1"/>
  <c r="AJ26" i="1" s="1"/>
  <c r="AI25" i="1"/>
  <c r="AJ25" i="1" s="1"/>
  <c r="AI24" i="1"/>
  <c r="AJ24" i="1" s="1"/>
  <c r="AI28" i="1"/>
  <c r="AJ28" i="1" s="1"/>
  <c r="AI29" i="1"/>
  <c r="AJ29" i="1" s="1"/>
  <c r="AI30" i="1"/>
  <c r="AJ30" i="1" s="1"/>
  <c r="AI31" i="1"/>
  <c r="AJ31" i="1" s="1"/>
  <c r="AI27" i="1"/>
  <c r="AJ27" i="1" s="1"/>
  <c r="AC9" i="1"/>
  <c r="AJ23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<sst xmlns="http://schemas.openxmlformats.org/spreadsheetml/2006/main" count="101" uniqueCount="90">
  <si>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</si>
  <si>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</si>
  <si>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</si>
  <si>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</si>
  <si>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</si>
  <si>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</si>
  <si>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</si>
  <si>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</si>
  <si>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</si>
  <si>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</si>
  <si>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</si>
  <si>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</si>
  <si>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</si>
  <si>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</si>
  <si>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</si>
  <si>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</si>
  <si>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</si>
  <si>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</si>
  <si>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</si>
  <si>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</si>
  <si>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</si>
  <si>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</si>
  <si>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</si>
  <si>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</si>
  <si>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</si>
  <si>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</si>
  <si>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</si>
  <si>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</si>
  <si>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</si>
  <si>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</si>
  <si>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</si>
  <si>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</si>
  <si>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</si>
  <si>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</si>
  <si>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</si>
  <si>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</si>
  <si>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</si>
  <si>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</si>
  <si>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</si>
  <si>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</si>
  <si>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</si>
  <si>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</si>
  <si>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</si>
  <si>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</si>
  <si>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</si>
  <si>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</si>
  <si>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</si>
  <si>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</si>
  <si>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</si>
  <si>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</si>
  <si>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</si>
  <si>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</si>
  <si>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</si>
  <si>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</si>
  <si>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</si>
  <si>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</si>
  <si>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</si>
  <si>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</si>
  <si>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</si>
  <si>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</si>
  <si>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</si>
  <si>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</si>
  <si>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</si>
  <si>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</si>
  <si>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</si>
  <si>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</si>
  <si>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</si>
  <si>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</si>
  <si>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</si>
  <si>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</si>
  <si>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</si>
  <si>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</si>
  <si>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</si>
  <si>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</si>
  <si>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</si>
  <si>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</si>
  <si>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</si>
  <si>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</si>
  <si>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</si>
  <si>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</si>
  <si>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</si>
  <si>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</si>
  <si>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</si>
  <si>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</si>
  <si>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</si>
  <si>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</si>
  <si>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CSS13</t>
  </si>
  <si>
    <t>1,458153.213,1076511.886,1232.189,1232.189,</t>
  </si>
  <si>
    <t>2,458144.444,1076505.619,1232.513,1232.513,</t>
  </si>
  <si>
    <t>3,458151.088,1076517.357,1232.953,1232.953,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</si>
</sst>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4.04</c:v>
                </c:pt>
                <c:pt idx="2">
                  <c:v>6.46</c:v>
                </c:pt>
                <c:pt idx="3">
                  <c:v>7.29</c:v>
                </c:pt>
                <c:pt idx="4">
                  <c:v>8.39</c:v>
                </c:pt>
                <c:pt idx="5">
                  <c:v>81.31</c:v>
                </c:pt>
                <c:pt idx="6">
                  <c:v>204.49</c:v>
                </c:pt>
                <c:pt idx="7">
                  <c:v>207.12</c:v>
                </c:pt>
                <c:pt idx="8">
                  <c:v>208.3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7.8</c:v>
                </c:pt>
                <c:pt idx="1">
                  <c:v>4.9400000000000004</c:v>
                </c:pt>
                <c:pt idx="2">
                  <c:v>2.44</c:v>
                </c:pt>
                <c:pt idx="3">
                  <c:v>1.39</c:v>
                </c:pt>
                <c:pt idx="4">
                  <c:v>0</c:v>
                </c:pt>
                <c:pt idx="5">
                  <c:v>1.08</c:v>
                </c:pt>
                <c:pt idx="6">
                  <c:v>1.21</c:v>
                </c:pt>
                <c:pt idx="7">
                  <c:v>1.77</c:v>
                </c:pt>
                <c:pt idx="8">
                  <c:v>3.87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Calculations!$R$23:$R$31</c:f>
              <c:numCache>
                <c:formatCode>0.00</c:formatCode>
                <c:ptCount val="9"/>
                <c:pt idx="0">
                  <c:v>1.4482031387283421</c:v>
                </c:pt>
                <c:pt idx="1">
                  <c:v>2.6284106527514428</c:v>
                </c:pt>
                <c:pt idx="2">
                  <c:v>3.3638799642940063</c:v>
                </c:pt>
                <c:pt idx="3">
                  <c:v>3.6050384144518968</c:v>
                </c:pt>
                <c:pt idx="4">
                  <c:v>3.9746300840285951</c:v>
                </c:pt>
                <c:pt idx="5">
                  <c:v>26.24565655769366</c:v>
                </c:pt>
                <c:pt idx="6">
                  <c:v>63.402411068279235</c:v>
                </c:pt>
                <c:pt idx="7">
                  <c:v>64.105356499631156</c:v>
                </c:pt>
                <c:pt idx="8">
                  <c:v>64.432305467756407</c:v>
                </c:pt>
              </c:numCache>
            </c:numRef>
          </c:xVal>
          <c:yVal>
            <c:numRef>
              <c:f>Calculations!$S$23:$S$31</c:f>
              <c:numCache>
                <c:formatCode>0.00</c:formatCode>
                <c:ptCount val="9"/>
                <c:pt idx="0">
                  <c:v>-3.3839066504404802</c:v>
                </c:pt>
                <c:pt idx="1">
                  <c:v>-2.8731652857781689</c:v>
                </c:pt>
                <c:pt idx="2">
                  <c:v>-2.8061699963799644</c:v>
                </c:pt>
                <c:pt idx="3">
                  <c:v>-2.7050803085390789</c:v>
                </c:pt>
                <c:pt idx="4">
                  <c:v>-2.9635957106839972</c:v>
                </c:pt>
                <c:pt idx="5">
                  <c:v>-2.0708633587225158</c:v>
                </c:pt>
                <c:pt idx="6">
                  <c:v>3.4463048621548413</c:v>
                </c:pt>
                <c:pt idx="7">
                  <c:v>4.3420764547589092</c:v>
                </c:pt>
                <c:pt idx="8">
                  <c:v>4.6357459937587606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588055</xdr:colOff>
      <xdr:row>40</xdr:row>
      <xdr:rowOff>179779</xdr:rowOff>
    </xdr:from>
    <xdr:to>
      <xdr:col>25</xdr:col>
      <xdr:colOff>100597</xdr:colOff>
      <xdr:row>55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459441</xdr:colOff>
      <xdr:row>40</xdr:row>
      <xdr:rowOff>143458</xdr:rowOff>
    </xdr:from>
    <xdr:to>
      <xdr:col>18</xdr:col>
      <xdr:colOff>407570</xdr:colOff>
      <xdr:row>55</xdr:row>
      <xdr:rowOff>29158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40824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1.389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0.11628781037767323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1076511.8859999999</v>
      </c>
      <c r="O4" s="20">
        <f>VALUE(MID(C10,FIND(",",C10,1)+1,FIND(",",C10,5)-FIND(",",C10,1)-1))</f>
        <v>458153.21299999999</v>
      </c>
      <c r="P4" s="20">
        <f>VALUE(MID(C10,FIND(",",C10,17)+1,FIND(",",C10,27)-FIND(",",C10,17)-1))</f>
        <v>1232.1890000000001</v>
      </c>
      <c r="Q4" s="23"/>
      <c r="R4" s="22"/>
      <c r="W4" s="27"/>
      <c r="X4" s="20">
        <f ca="1">VALUE(OFFSET($P$3,MATCH($O$10,$M$4:$M$6,0),0))</f>
        <v>1232.5129999999999</v>
      </c>
      <c r="Y4" s="20">
        <f ca="1">OFFSET($P$3,MATCH($Q$10,$M$4:$M$6,0),0)</f>
        <v>1232.953</v>
      </c>
      <c r="Z4" s="2"/>
      <c r="AA4" s="26" t="s">
        <v>41</v>
      </c>
      <c r="AB4" s="26" t="s">
        <v>54</v>
      </c>
      <c r="AC4" s="28">
        <f ca="1">INTERCEPT(yB,xB)</f>
        <v>332964.5031919062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1076505.6189999999</v>
      </c>
      <c r="O5" s="20">
        <f t="shared" ref="O5:O6" si="1">VALUE(MID(C11,FIND(",",C11,1)+1,FIND(",",C11,5)-FIND(",",C11,1)-1))</f>
        <v>458144.44400000002</v>
      </c>
      <c r="P5" s="20">
        <f t="shared" ref="P5:P6" si="2">VALUE(MID(C11,FIND(",",C11,17)+1,FIND(",",C11,27)-FIND(",",C11,17)-1))</f>
        <v>1232.5129999999999</v>
      </c>
      <c r="Q5" s="24">
        <f>DEGREES(ATAN2(Old_Y1-Old_Y0,Old_X1-Old_X0))+IF(Old_X1-Old_X0&lt;0,360)</f>
        <v>215.55250877067203</v>
      </c>
      <c r="R5" s="22"/>
      <c r="W5" s="21"/>
      <c r="X5" s="20">
        <f ca="1">VALUE(OFFSET($V$20,MATCH($O11,$A$21:$A$51,0),0))</f>
        <v>1232.064794122753</v>
      </c>
      <c r="Y5" s="20">
        <f ca="1">OFFSET($V$20,MATCH($Q11,$A$21:$A$51,0),0)</f>
        <v>1232.0062819501736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1076517.3570000001</v>
      </c>
      <c r="O6" s="20">
        <f t="shared" si="1"/>
        <v>458151.08799999999</v>
      </c>
      <c r="P6" s="20">
        <f t="shared" si="2"/>
        <v>1232.953</v>
      </c>
      <c r="Q6" s="24">
        <f>DEGREES(ATAN2(Old_Y2-Old_Y0,Old_X2-Old_X0))+IF(Old_X2-Old_X0&lt;0,360)</f>
        <v>111.22674873371507</v>
      </c>
      <c r="R6" s="22"/>
      <c r="W6" s="21"/>
      <c r="X6" s="20">
        <f ca="1">VALUE(OFFSET($V$20,MATCH($O12,$A$21:$A$61,0),0))</f>
        <v>1232.0631970675238</v>
      </c>
      <c r="Y6" s="20">
        <f ca="1">VALUE(OFFSET($V$20,MATCH($O12,$A$21:$A$61,0),0))</f>
        <v>1232.0631970675238</v>
      </c>
      <c r="Z6" s="5"/>
      <c r="AA6" s="26" t="s">
        <v>42</v>
      </c>
      <c r="AB6" s="21" t="s">
        <v>55</v>
      </c>
      <c r="AC6" s="20">
        <f ca="1">-1/mA</f>
        <v>-8.5993535930572111</v>
      </c>
    </row>
    <row r="7" spans="1:29" x14ac:dyDescent="0.25">
      <c r="A7" s="62" t="s">
        <v>18</v>
      </c>
      <c r="B7" s="62"/>
      <c r="C7" s="38">
        <v>11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-0.44820587724689176</v>
      </c>
      <c r="Y8" s="20">
        <f ca="1">Y5-Y4</f>
        <v>-0.94671804982635877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-0.4498029324761319</v>
      </c>
      <c r="Y9" s="20">
        <f ca="1">Y6-Y4</f>
        <v>-0.88980293247618647</v>
      </c>
      <c r="AA9" s="31" t="s">
        <v>49</v>
      </c>
      <c r="AB9" s="31"/>
      <c r="AC9" s="20">
        <f ca="1">AVERAGE(DfromL)</f>
        <v>0.46412398943395305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215.55250877067203</v>
      </c>
      <c r="Q10" s="32">
        <v>2</v>
      </c>
      <c r="R10" s="20">
        <f ca="1">OFFSET($Q$3,MATCH($O$10,$M$4:$M$6,0),0)</f>
        <v>215.55250877067203</v>
      </c>
      <c r="W10" s="22"/>
      <c r="X10" s="22"/>
      <c r="Y10" s="22"/>
      <c r="AA10" s="31" t="s">
        <v>50</v>
      </c>
      <c r="AB10" s="31"/>
      <c r="AC10" s="20">
        <f ca="1">_xlfn.STDEV.P(DfromL)</f>
        <v>0.43909271379073905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256.09222222222223</v>
      </c>
      <c r="W11" s="21" t="s">
        <v>37</v>
      </c>
      <c r="X11" s="20">
        <f ca="1">AVERAGE(X8:Y9)</f>
        <v>-0.68363244800639222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13</v>
      </c>
      <c r="P12" s="20">
        <f ca="1">OFFSET($N$20,MATCH($O12,$A$21:$A$61,0),0)</f>
        <v>0.11055555555555555</v>
      </c>
      <c r="Q12" s="32">
        <v>12</v>
      </c>
      <c r="R12" s="20">
        <f ca="1">OFFSET($N$20,MATCH($Q12,$A$21:$A$51,0),0)</f>
        <v>256.20694444444445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1228.7793354975288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215.55250877067203</v>
      </c>
      <c r="Q14" s="20"/>
      <c r="R14" s="20">
        <f ca="1">R10-R11+IF(R11&gt;R10,360)</f>
        <v>319.4602865484498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215.44195321511648</v>
      </c>
      <c r="Q15" s="20"/>
      <c r="R15" s="20">
        <f ca="1">R10-R12+IF(R12&gt;R10,360)</f>
        <v>319.34556432622759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267.45007821511649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3.7547106481481483</v>
      </c>
      <c r="D21" s="44">
        <v>10.747</v>
      </c>
      <c r="E21" s="44">
        <v>1.492</v>
      </c>
      <c r="F21" s="49" t="s">
        <v>85</v>
      </c>
      <c r="G21" s="43">
        <f>C21*24</f>
        <v>90.113055555555562</v>
      </c>
      <c r="H21" s="43">
        <f>RADIANS(G21)</f>
        <v>1.5727695184770125</v>
      </c>
      <c r="I21" s="43">
        <f t="shared" ref="I21:I34" si="3">B21*24</f>
        <v>0</v>
      </c>
      <c r="J21" s="39">
        <f>RADIANS(I21)</f>
        <v>0</v>
      </c>
      <c r="K21" s="39">
        <f>D21*SIN(H21)</f>
        <v>10.746979078362914</v>
      </c>
      <c r="L21" s="15">
        <f>D21*COS(H21)</f>
        <v>-2.1205877246897688E-2</v>
      </c>
      <c r="M21" s="13"/>
      <c r="N21" s="16">
        <f t="shared" ref="N21:N34" si="4">I21+M21</f>
        <v>0</v>
      </c>
      <c r="O21" s="16">
        <f ca="1">$O$17</f>
        <v>267.45007821511649</v>
      </c>
      <c r="P21" s="16">
        <f ca="1">SUM(N21,O21)</f>
        <v>267.45007821511649</v>
      </c>
      <c r="Q21" s="16">
        <f ca="1">RADIANS(P21)</f>
        <v>4.6678844495701419</v>
      </c>
      <c r="R21" s="16">
        <f t="shared" ref="R21:R34" ca="1" si="5">K21*SIN(Q21)</f>
        <v>-10.736337815334963</v>
      </c>
      <c r="S21" s="16">
        <f t="shared" ref="S21:S34" ca="1" si="6">K21*COS(Q21)</f>
        <v>-0.47813138966049451</v>
      </c>
      <c r="T21" s="13">
        <f t="shared" ref="T21:T34" ca="1" si="7">Old_X0+R21</f>
        <v>1076501.1496621845</v>
      </c>
      <c r="U21" s="13">
        <f t="shared" ref="U21:U34" ca="1" si="8">Old_Y0+S21</f>
        <v>458152.73486861034</v>
      </c>
      <c r="V21" s="16">
        <f t="shared" ref="V21:V34" si="9">Old_Z0+HI+L21-E21</f>
        <v>1232.064794122753</v>
      </c>
      <c r="W21" s="16">
        <f t="shared" ref="W21:W34" ca="1" si="10">IF(ISNUMBER(T21),V21+dZ,"")</f>
        <v>1231.3811616747466</v>
      </c>
      <c r="X21" s="16" t="str">
        <f t="shared" ref="X21:X34" si="11">IF(AND(A21&gt;=CS_Start,A21&lt;=CS_End),IF(OR(LEFT(UPPER(F21))="D"),"",T21),"")</f>
        <v/>
      </c>
      <c r="Y21" s="16" t="str">
        <f t="shared" ref="Y21" si="12">IF(ISNUMBER(X21),U21,"")</f>
        <v/>
      </c>
      <c r="Z21" s="16" t="str">
        <f t="shared" ref="Z21:Z23" si="13">IF(X21="","",VALUE((-mB*X21+Y21-bA)/(mA-mB)))</f>
        <v/>
      </c>
      <c r="AA21" s="16" t="str">
        <f t="shared" ref="AA21:AA23" si="14">IF(Z21="","",VALUE(mA*Z21+bA))</f>
        <v/>
      </c>
      <c r="AB21" s="16" t="str">
        <f>IF(ISNUMBER(X21),SQRT((X21-Z21)^2+(Y21-AA21)^2),"")</f>
        <v/>
      </c>
      <c r="AC21" s="16" t="str">
        <f t="shared" ref="AC21:AC23" ca="1" si="15">IF(ISNUMBER(Z21),SQRT(($Z21-OFFSET($Z$20,MATCH(CS_Start,$A$21:$A$51,0),0))^2+($AA21-OFFSET($AA$20,MATCH(CS_Start,$A$21:$A$51,0),0))^2),"")</f>
        <v/>
      </c>
      <c r="AD21" s="16" t="str">
        <f t="shared" ref="AD21:AD23" si="16">IF(ISNUMBER(X21),W21-Min_Z,"")</f>
        <v/>
      </c>
    </row>
    <row r="22" spans="1:36" x14ac:dyDescent="0.25">
      <c r="A22" s="44">
        <v>2</v>
      </c>
      <c r="B22" s="48">
        <v>10.67050925925926</v>
      </c>
      <c r="C22" s="48">
        <v>3.780925925925926</v>
      </c>
      <c r="D22" s="44">
        <v>6.1539999999999999</v>
      </c>
      <c r="E22" s="44">
        <v>1.492</v>
      </c>
      <c r="F22" s="44"/>
      <c r="G22" s="43">
        <f t="shared" ref="G22:G34" si="17">C22*24</f>
        <v>90.742222222222225</v>
      </c>
      <c r="H22" s="43">
        <f t="shared" ref="H22:H34" si="18">RADIANS(G22)</f>
        <v>1.5837505483541434</v>
      </c>
      <c r="I22" s="43">
        <f t="shared" si="3"/>
        <v>256.09222222222223</v>
      </c>
      <c r="J22" s="39">
        <f t="shared" ref="J22:J34" si="19">RADIANS(I22)</f>
        <v>4.4696524665267674</v>
      </c>
      <c r="K22" s="39">
        <f t="shared" ref="K22:K34" si="20">D22*SIN(H22)</f>
        <v>6.1534836501393162</v>
      </c>
      <c r="L22" s="15">
        <f t="shared" ref="L22:L34" si="21">D22*COS(H22)</f>
        <v>-7.9718049826300277E-2</v>
      </c>
      <c r="M22" s="13"/>
      <c r="N22" s="16">
        <f t="shared" si="4"/>
        <v>256.09222222222223</v>
      </c>
      <c r="O22" s="16">
        <f t="shared" ref="O22:O39" ca="1" si="22">$O$17</f>
        <v>267.45007821511649</v>
      </c>
      <c r="P22" s="16">
        <f t="shared" ref="P22:P34" ca="1" si="23">SUM(N22,O22)</f>
        <v>523.54230043733878</v>
      </c>
      <c r="Q22" s="16">
        <f t="shared" ref="Q22:Q34" ca="1" si="24">RADIANS(P22)</f>
        <v>9.1375369160969111</v>
      </c>
      <c r="R22" s="16">
        <f t="shared" ca="1" si="5"/>
        <v>1.7433273806589646</v>
      </c>
      <c r="S22" s="16">
        <f t="shared" ca="1" si="6"/>
        <v>-5.9013702371887016</v>
      </c>
      <c r="T22" s="13">
        <f t="shared" ca="1" si="7"/>
        <v>1076513.6293273806</v>
      </c>
      <c r="U22" s="13">
        <f t="shared" ca="1" si="8"/>
        <v>458147.31162976281</v>
      </c>
      <c r="V22" s="16">
        <f t="shared" si="9"/>
        <v>1232.0062819501736</v>
      </c>
      <c r="W22" s="16">
        <f t="shared" ca="1" si="10"/>
        <v>1231.3226495021672</v>
      </c>
      <c r="X22" s="47" t="str">
        <f t="shared" si="11"/>
        <v/>
      </c>
      <c r="Y22" s="47" t="str">
        <f t="shared" ref="Y22:Y34" si="25">IF(ISNUMBER(X22),U22,"")</f>
        <v/>
      </c>
      <c r="Z22" s="16" t="str">
        <f t="shared" si="13"/>
        <v/>
      </c>
      <c r="AA22" s="16" t="str">
        <f t="shared" si="14"/>
        <v/>
      </c>
      <c r="AB22" s="16" t="str">
        <f t="shared" ref="AB22:AB23" si="26">IF(ISNUMBER(X22),SQRT((X22-Z22)^2+(Y22-AA22)^2),"")</f>
        <v/>
      </c>
      <c r="AC22" s="16" t="str">
        <f t="shared" ca="1" si="15"/>
        <v/>
      </c>
      <c r="AD22" s="16" t="str">
        <f t="shared" si="16"/>
        <v/>
      </c>
    </row>
    <row r="23" spans="1:36" x14ac:dyDescent="0.25">
      <c r="A23" s="44">
        <v>3</v>
      </c>
      <c r="B23" s="48">
        <v>10.390856481481482</v>
      </c>
      <c r="C23" s="48">
        <v>3.9094328703703702</v>
      </c>
      <c r="D23" s="44">
        <v>3.6890000000000001</v>
      </c>
      <c r="E23" s="44">
        <v>1.492</v>
      </c>
      <c r="F23" s="44"/>
      <c r="G23" s="43">
        <f t="shared" si="17"/>
        <v>93.826388888888886</v>
      </c>
      <c r="H23" s="43">
        <f t="shared" si="18"/>
        <v>1.6375794113677351</v>
      </c>
      <c r="I23" s="43">
        <f t="shared" si="3"/>
        <v>249.38055555555556</v>
      </c>
      <c r="J23" s="39">
        <f t="shared" si="19"/>
        <v>4.3525117848970813</v>
      </c>
      <c r="K23" s="39">
        <f t="shared" si="20"/>
        <v>3.6807766232030343</v>
      </c>
      <c r="L23" s="15">
        <f t="shared" si="21"/>
        <v>-0.24617971094724098</v>
      </c>
      <c r="M23" s="13"/>
      <c r="N23" s="16">
        <f t="shared" si="4"/>
        <v>249.38055555555556</v>
      </c>
      <c r="O23" s="16">
        <f t="shared" ca="1" si="22"/>
        <v>267.45007821511649</v>
      </c>
      <c r="P23" s="16">
        <f t="shared" ca="1" si="23"/>
        <v>516.83063377067208</v>
      </c>
      <c r="Q23" s="16">
        <f t="shared" ca="1" si="24"/>
        <v>9.0203962344672242</v>
      </c>
      <c r="R23" s="16">
        <f t="shared" ca="1" si="5"/>
        <v>1.4482031387283421</v>
      </c>
      <c r="S23" s="16">
        <f t="shared" ca="1" si="6"/>
        <v>-3.3839066504404802</v>
      </c>
      <c r="T23" s="13">
        <f t="shared" ca="1" si="7"/>
        <v>1076513.3342031387</v>
      </c>
      <c r="U23" s="13">
        <f t="shared" ca="1" si="8"/>
        <v>458149.82909334957</v>
      </c>
      <c r="V23" s="16">
        <f t="shared" si="9"/>
        <v>1231.8398202890528</v>
      </c>
      <c r="W23" s="16">
        <f t="shared" ca="1" si="10"/>
        <v>1231.1561878410464</v>
      </c>
      <c r="X23" s="47">
        <f t="shared" ca="1" si="11"/>
        <v>1076513.3342031387</v>
      </c>
      <c r="Y23" s="47">
        <f t="shared" ca="1" si="25"/>
        <v>458149.82909334957</v>
      </c>
      <c r="Z23" s="16">
        <f t="shared" ca="1" si="13"/>
        <v>1076513.3281708334</v>
      </c>
      <c r="AA23" s="16">
        <f t="shared" ca="1" si="14"/>
        <v>458149.88096727396</v>
      </c>
      <c r="AB23" s="16">
        <f t="shared" ca="1" si="26"/>
        <v>5.2223488378420703E-2</v>
      </c>
      <c r="AC23" s="16">
        <f t="shared" ca="1" si="15"/>
        <v>0</v>
      </c>
      <c r="AD23" s="16">
        <f t="shared" ca="1" si="16"/>
        <v>2.3768523435176121</v>
      </c>
      <c r="AE23" s="2">
        <f ca="1">ROUND(CONVERT(AC23,"m","ft"),2)</f>
        <v>0</v>
      </c>
      <c r="AF23" s="2">
        <f ca="1">ROUND(CONVERT(AD23,"m","ft"),2)</f>
        <v>7.8</v>
      </c>
      <c r="AH23" s="44">
        <v>0</v>
      </c>
      <c r="AI23" s="2">
        <f ca="1">OFFSET($AF$22,MATCH(AH23,$AE$23:$AE$59,0),0)</f>
        <v>7.8</v>
      </c>
      <c r="AJ23" s="2" t="str">
        <f t="shared" ref="AJ23:AJ31" ca="1" si="27">CONCATENATE(AH23,",",AI23)</f>
        <v>0,7.8</v>
      </c>
    </row>
    <row r="24" spans="1:36" x14ac:dyDescent="0.25">
      <c r="A24" s="44">
        <v>4</v>
      </c>
      <c r="B24" s="48">
        <v>9.5873842592592595</v>
      </c>
      <c r="C24" s="48">
        <v>4.4167129629629631</v>
      </c>
      <c r="D24" s="44">
        <v>4.0510000000000002</v>
      </c>
      <c r="E24" s="44">
        <v>1.492</v>
      </c>
      <c r="F24" s="44"/>
      <c r="G24" s="43">
        <f t="shared" si="17"/>
        <v>106.00111111111111</v>
      </c>
      <c r="H24" s="43">
        <f t="shared" si="18"/>
        <v>1.8500683996612337</v>
      </c>
      <c r="I24" s="43">
        <f t="shared" si="3"/>
        <v>230.09722222222223</v>
      </c>
      <c r="J24" s="39">
        <f t="shared" si="19"/>
        <v>4.0159541274708417</v>
      </c>
      <c r="K24" s="39">
        <f t="shared" si="20"/>
        <v>3.8940494756612956</v>
      </c>
      <c r="L24" s="15">
        <f t="shared" si="21"/>
        <v>-1.1166824441630634</v>
      </c>
      <c r="M24" s="13"/>
      <c r="N24" s="16">
        <f t="shared" si="4"/>
        <v>230.09722222222223</v>
      </c>
      <c r="O24" s="16">
        <f t="shared" ca="1" si="22"/>
        <v>267.45007821511649</v>
      </c>
      <c r="P24" s="16">
        <f t="shared" ca="1" si="23"/>
        <v>497.54730043733872</v>
      </c>
      <c r="Q24" s="16">
        <f t="shared" ca="1" si="24"/>
        <v>8.6838385770409836</v>
      </c>
      <c r="R24" s="16">
        <f t="shared" ca="1" si="5"/>
        <v>2.6284106527514428</v>
      </c>
      <c r="S24" s="16">
        <f t="shared" ca="1" si="6"/>
        <v>-2.8731652857781689</v>
      </c>
      <c r="T24" s="13">
        <f t="shared" ca="1" si="7"/>
        <v>1076514.5144106527</v>
      </c>
      <c r="U24" s="13">
        <f t="shared" ca="1" si="8"/>
        <v>458150.33983471419</v>
      </c>
      <c r="V24" s="16">
        <f t="shared" si="9"/>
        <v>1230.9693175558371</v>
      </c>
      <c r="W24" s="16">
        <f t="shared" ca="1" si="10"/>
        <v>1230.2856851078307</v>
      </c>
      <c r="X24" s="47">
        <f t="shared" ca="1" si="11"/>
        <v>1076514.5144106527</v>
      </c>
      <c r="Y24" s="47">
        <f t="shared" ca="1" si="25"/>
        <v>458150.33983471419</v>
      </c>
      <c r="Z24" s="47">
        <f t="shared" ref="Z24:Z34" ca="1" si="28">IF(X24="","",VALUE((-mB*X24+Y24-bA)/(mA-mB)))</f>
        <v>1076514.551232063</v>
      </c>
      <c r="AA24" s="47">
        <f t="shared" ref="AA24:AA34" ca="1" si="29">IF(Z24="","",VALUE(mA*Z24+bA))</f>
        <v>458150.02319438633</v>
      </c>
      <c r="AB24" s="47">
        <f t="shared" ref="AB24:AB34" ca="1" si="30">IF(ISNUMBER(X24),SQRT((X24-Z24)^2+(Y24-AA24)^2),"")</f>
        <v>0.31877407906342087</v>
      </c>
      <c r="AC24" s="47">
        <f t="shared" ref="AC24:AC34" ca="1" si="31">IF(ISNUMBER(Z24),SQRT(($Z24-OFFSET($Z$20,MATCH(CS_Start,$A$21:$A$51,0),0))^2+($AA24-OFFSET($AA$20,MATCH(CS_Start,$A$21:$A$51,0),0))^2),"")</f>
        <v>1.2313030994708478</v>
      </c>
      <c r="AD24" s="47">
        <f t="shared" ref="AD24:AD34" ca="1" si="32">IF(ISNUMBER(X24),W24-Min_Z,"")</f>
        <v>1.5063496103018679</v>
      </c>
      <c r="AE24" s="44">
        <f t="shared" ref="AE24:AE34" ca="1" si="33">ROUND(CONVERT(AC24,"m","ft"),2)</f>
        <v>4.04</v>
      </c>
      <c r="AF24" s="44">
        <f t="shared" ref="AF24:AF34" ca="1" si="34">ROUND(CONVERT(AD24,"m","ft"),2)</f>
        <v>4.9400000000000004</v>
      </c>
      <c r="AH24" s="44">
        <v>4.04</v>
      </c>
      <c r="AI24" s="44">
        <f t="shared" ref="AI24:AI31" ca="1" si="35">OFFSET($AF$22,MATCH(AH24,$AE$23:$AE$59,0),0)</f>
        <v>4.9400000000000004</v>
      </c>
      <c r="AJ24" s="2" t="str">
        <f t="shared" ca="1" si="27"/>
        <v>4.04,4.94</v>
      </c>
    </row>
    <row r="25" spans="1:36" x14ac:dyDescent="0.25">
      <c r="A25" s="44">
        <v>5</v>
      </c>
      <c r="B25" s="48">
        <v>9.2660416666666663</v>
      </c>
      <c r="C25" s="48">
        <v>4.7177430555555553</v>
      </c>
      <c r="D25" s="44">
        <v>4.7670000000000003</v>
      </c>
      <c r="E25" s="44">
        <v>1.492</v>
      </c>
      <c r="F25" s="44"/>
      <c r="G25" s="43">
        <f t="shared" si="17"/>
        <v>113.22583333333333</v>
      </c>
      <c r="H25" s="43">
        <f t="shared" si="18"/>
        <v>1.9761635899810128</v>
      </c>
      <c r="I25" s="43">
        <f t="shared" si="3"/>
        <v>222.38499999999999</v>
      </c>
      <c r="J25" s="39">
        <f t="shared" si="19"/>
        <v>3.8813504570475894</v>
      </c>
      <c r="K25" s="39">
        <f t="shared" si="20"/>
        <v>4.3806710059946044</v>
      </c>
      <c r="L25" s="15">
        <f t="shared" si="21"/>
        <v>-1.879896416624657</v>
      </c>
      <c r="M25" s="13"/>
      <c r="N25" s="16">
        <f t="shared" si="4"/>
        <v>222.38499999999999</v>
      </c>
      <c r="O25" s="16">
        <f t="shared" ca="1" si="22"/>
        <v>267.45007821511649</v>
      </c>
      <c r="P25" s="16">
        <f t="shared" ca="1" si="23"/>
        <v>489.83507821511648</v>
      </c>
      <c r="Q25" s="16">
        <f t="shared" ca="1" si="24"/>
        <v>8.5492349066177322</v>
      </c>
      <c r="R25" s="16">
        <f t="shared" ca="1" si="5"/>
        <v>3.3638799642940063</v>
      </c>
      <c r="S25" s="16">
        <f t="shared" ca="1" si="6"/>
        <v>-2.8061699963799644</v>
      </c>
      <c r="T25" s="13">
        <f t="shared" ca="1" si="7"/>
        <v>1076515.2498799642</v>
      </c>
      <c r="U25" s="13">
        <f t="shared" ca="1" si="8"/>
        <v>458150.4068300036</v>
      </c>
      <c r="V25" s="16">
        <f t="shared" si="9"/>
        <v>1230.2061035833754</v>
      </c>
      <c r="W25" s="16">
        <f t="shared" ca="1" si="10"/>
        <v>1229.522471135369</v>
      </c>
      <c r="X25" s="47">
        <f t="shared" ca="1" si="11"/>
        <v>1076515.2498799642</v>
      </c>
      <c r="Y25" s="47">
        <f t="shared" ca="1" si="25"/>
        <v>458150.4068300036</v>
      </c>
      <c r="Z25" s="47">
        <f t="shared" ca="1" si="28"/>
        <v>1076515.2845752169</v>
      </c>
      <c r="AA25" s="47">
        <f t="shared" ca="1" si="29"/>
        <v>458150.108473256</v>
      </c>
      <c r="AB25" s="47">
        <f t="shared" ca="1" si="30"/>
        <v>0.30036729083910391</v>
      </c>
      <c r="AC25" s="47">
        <f t="shared" ca="1" si="31"/>
        <v>1.9695880492497517</v>
      </c>
      <c r="AD25" s="47">
        <f t="shared" ca="1" si="32"/>
        <v>0.74313563784016878</v>
      </c>
      <c r="AE25" s="44">
        <f t="shared" ca="1" si="33"/>
        <v>6.46</v>
      </c>
      <c r="AF25" s="44">
        <f t="shared" ca="1" si="34"/>
        <v>2.44</v>
      </c>
      <c r="AH25" s="44">
        <v>6.46</v>
      </c>
      <c r="AI25" s="44">
        <f t="shared" ca="1" si="35"/>
        <v>2.44</v>
      </c>
      <c r="AJ25" s="2" t="str">
        <f t="shared" ca="1" si="27"/>
        <v>6.46,2.44</v>
      </c>
    </row>
    <row r="26" spans="1:36" x14ac:dyDescent="0.25">
      <c r="A26" s="44">
        <v>6</v>
      </c>
      <c r="B26" s="48">
        <v>9.1430439814814815</v>
      </c>
      <c r="C26" s="48">
        <v>4.833738425925926</v>
      </c>
      <c r="D26" s="44">
        <v>5.0149999999999997</v>
      </c>
      <c r="E26" s="44">
        <v>1.492</v>
      </c>
      <c r="F26" s="44"/>
      <c r="G26" s="43">
        <f t="shared" si="17"/>
        <v>116.00972222222222</v>
      </c>
      <c r="H26" s="43">
        <f t="shared" si="18"/>
        <v>2.0247516171018107</v>
      </c>
      <c r="I26" s="43">
        <f t="shared" si="3"/>
        <v>219.43305555555554</v>
      </c>
      <c r="J26" s="39">
        <f t="shared" si="19"/>
        <v>3.8298293071560789</v>
      </c>
      <c r="K26" s="39">
        <f t="shared" si="20"/>
        <v>4.5070790369506195</v>
      </c>
      <c r="L26" s="15">
        <f t="shared" si="21"/>
        <v>-2.1991961155568349</v>
      </c>
      <c r="M26" s="13"/>
      <c r="N26" s="16">
        <f t="shared" si="4"/>
        <v>219.43305555555554</v>
      </c>
      <c r="O26" s="16">
        <f t="shared" ca="1" si="22"/>
        <v>267.45007821511649</v>
      </c>
      <c r="P26" s="16">
        <f t="shared" ca="1" si="23"/>
        <v>486.88313377067203</v>
      </c>
      <c r="Q26" s="16">
        <f t="shared" ca="1" si="24"/>
        <v>8.4977137567262204</v>
      </c>
      <c r="R26" s="16">
        <f t="shared" ca="1" si="5"/>
        <v>3.6050384144518968</v>
      </c>
      <c r="S26" s="16">
        <f t="shared" ca="1" si="6"/>
        <v>-2.7050803085390789</v>
      </c>
      <c r="T26" s="13">
        <f t="shared" ca="1" si="7"/>
        <v>1076515.4910384144</v>
      </c>
      <c r="U26" s="13">
        <f t="shared" ca="1" si="8"/>
        <v>458150.50791969144</v>
      </c>
      <c r="V26" s="16">
        <f t="shared" si="9"/>
        <v>1229.8868038844432</v>
      </c>
      <c r="W26" s="16">
        <f t="shared" ca="1" si="10"/>
        <v>1229.2031714364368</v>
      </c>
      <c r="X26" s="47">
        <f t="shared" ca="1" si="11"/>
        <v>1076515.4910384144</v>
      </c>
      <c r="Y26" s="47">
        <f t="shared" ca="1" si="25"/>
        <v>458150.50791969144</v>
      </c>
      <c r="Z26" s="47">
        <f t="shared" ca="1" si="28"/>
        <v>1076515.5341146796</v>
      </c>
      <c r="AA26" s="47">
        <f t="shared" ca="1" si="29"/>
        <v>458150.13749165367</v>
      </c>
      <c r="AB26" s="47">
        <f t="shared" ca="1" si="30"/>
        <v>0.37292424939315022</v>
      </c>
      <c r="AC26" s="47">
        <f t="shared" ca="1" si="31"/>
        <v>2.2208090889870467</v>
      </c>
      <c r="AD26" s="47">
        <f t="shared" ca="1" si="32"/>
        <v>0.4238359389080415</v>
      </c>
      <c r="AE26" s="44">
        <f t="shared" ca="1" si="33"/>
        <v>7.29</v>
      </c>
      <c r="AF26" s="44">
        <f t="shared" ca="1" si="34"/>
        <v>1.39</v>
      </c>
      <c r="AH26" s="44">
        <v>7.29</v>
      </c>
      <c r="AI26" s="44">
        <f t="shared" ca="1" si="35"/>
        <v>1.39</v>
      </c>
      <c r="AJ26" s="2" t="str">
        <f t="shared" ca="1" si="27"/>
        <v>7.29,1.39</v>
      </c>
    </row>
    <row r="27" spans="1:36" x14ac:dyDescent="0.25">
      <c r="A27" s="44">
        <v>7</v>
      </c>
      <c r="B27" s="48">
        <v>9.1357986111111114</v>
      </c>
      <c r="C27" s="48">
        <v>4.9117361111111109</v>
      </c>
      <c r="D27" s="44">
        <v>5.609</v>
      </c>
      <c r="E27" s="44">
        <v>1.492</v>
      </c>
      <c r="F27" s="44"/>
      <c r="G27" s="43">
        <f t="shared" si="17"/>
        <v>117.88166666666666</v>
      </c>
      <c r="H27" s="43">
        <f t="shared" si="18"/>
        <v>2.0574232110717823</v>
      </c>
      <c r="I27" s="43">
        <f t="shared" si="3"/>
        <v>219.25916666666666</v>
      </c>
      <c r="J27" s="39">
        <f t="shared" si="19"/>
        <v>3.8267943735123335</v>
      </c>
      <c r="K27" s="39">
        <f t="shared" si="20"/>
        <v>4.9578809829653778</v>
      </c>
      <c r="L27" s="15">
        <f t="shared" si="21"/>
        <v>-2.6230320544648831</v>
      </c>
      <c r="M27" s="13"/>
      <c r="N27" s="16">
        <f t="shared" si="4"/>
        <v>219.25916666666666</v>
      </c>
      <c r="O27" s="16">
        <f t="shared" ca="1" si="22"/>
        <v>267.45007821511649</v>
      </c>
      <c r="P27" s="16">
        <f t="shared" ca="1" si="23"/>
        <v>486.70924488178315</v>
      </c>
      <c r="Q27" s="16">
        <f t="shared" ca="1" si="24"/>
        <v>8.4946788230824755</v>
      </c>
      <c r="R27" s="16">
        <f t="shared" ca="1" si="5"/>
        <v>3.9746300840285951</v>
      </c>
      <c r="S27" s="16">
        <f t="shared" ca="1" si="6"/>
        <v>-2.9635957106839972</v>
      </c>
      <c r="T27" s="13">
        <f t="shared" ca="1" si="7"/>
        <v>1076515.8606300841</v>
      </c>
      <c r="U27" s="13">
        <f t="shared" ca="1" si="8"/>
        <v>458150.24940428929</v>
      </c>
      <c r="V27" s="16">
        <f t="shared" si="9"/>
        <v>1229.4629679455352</v>
      </c>
      <c r="W27" s="16">
        <f t="shared" ca="1" si="10"/>
        <v>1228.7793354975288</v>
      </c>
      <c r="X27" s="47">
        <f t="shared" ca="1" si="11"/>
        <v>1076515.8606300841</v>
      </c>
      <c r="Y27" s="47">
        <f t="shared" ca="1" si="25"/>
        <v>458150.24940428929</v>
      </c>
      <c r="Z27" s="47">
        <f t="shared" ca="1" si="28"/>
        <v>1076515.8691140118</v>
      </c>
      <c r="AA27" s="47">
        <f t="shared" ca="1" si="29"/>
        <v>458150.1764479925</v>
      </c>
      <c r="AB27" s="47">
        <f t="shared" ca="1" si="30"/>
        <v>7.3447928973298229E-2</v>
      </c>
      <c r="AC27" s="47">
        <f t="shared" ca="1" si="31"/>
        <v>2.5580658886405625</v>
      </c>
      <c r="AD27" s="47">
        <f t="shared" ca="1" si="32"/>
        <v>0</v>
      </c>
      <c r="AE27" s="44">
        <f t="shared" ca="1" si="33"/>
        <v>8.39</v>
      </c>
      <c r="AF27" s="44">
        <f t="shared" ca="1" si="34"/>
        <v>0</v>
      </c>
      <c r="AH27" s="44">
        <v>8.39</v>
      </c>
      <c r="AI27" s="44">
        <f t="shared" ca="1" si="35"/>
        <v>0</v>
      </c>
      <c r="AJ27" s="2" t="str">
        <f t="shared" ca="1" si="27"/>
        <v>8.39,0</v>
      </c>
    </row>
    <row r="28" spans="1:36" x14ac:dyDescent="0.25">
      <c r="A28" s="44">
        <v>8</v>
      </c>
      <c r="B28" s="48">
        <v>7.7942245370370378</v>
      </c>
      <c r="C28" s="48">
        <v>3.9575115740740738</v>
      </c>
      <c r="D28" s="44">
        <v>26.427</v>
      </c>
      <c r="E28" s="44">
        <v>1.492</v>
      </c>
      <c r="F28" s="44"/>
      <c r="G28" s="43">
        <f t="shared" si="17"/>
        <v>94.980277777777772</v>
      </c>
      <c r="H28" s="43">
        <f t="shared" si="18"/>
        <v>1.6577185716810252</v>
      </c>
      <c r="I28" s="43">
        <f t="shared" si="3"/>
        <v>187.0613888888889</v>
      </c>
      <c r="J28" s="39">
        <f t="shared" si="19"/>
        <v>3.2648371394646487</v>
      </c>
      <c r="K28" s="39">
        <f t="shared" si="20"/>
        <v>26.327228551347893</v>
      </c>
      <c r="L28" s="15">
        <f t="shared" si="21"/>
        <v>-2.294202651269527</v>
      </c>
      <c r="M28" s="13"/>
      <c r="N28" s="16">
        <f t="shared" si="4"/>
        <v>187.0613888888889</v>
      </c>
      <c r="O28" s="16">
        <f t="shared" ca="1" si="22"/>
        <v>267.45007821511649</v>
      </c>
      <c r="P28" s="16">
        <f t="shared" ca="1" si="23"/>
        <v>454.51146710400542</v>
      </c>
      <c r="Q28" s="16">
        <f t="shared" ca="1" si="24"/>
        <v>7.9327215890347906</v>
      </c>
      <c r="R28" s="16">
        <f t="shared" ca="1" si="5"/>
        <v>26.24565655769366</v>
      </c>
      <c r="S28" s="16">
        <f t="shared" ca="1" si="6"/>
        <v>-2.0708633587225158</v>
      </c>
      <c r="T28" s="13">
        <f t="shared" ca="1" si="7"/>
        <v>1076538.1316565576</v>
      </c>
      <c r="U28" s="13">
        <f t="shared" ca="1" si="8"/>
        <v>458151.14213664125</v>
      </c>
      <c r="V28" s="16">
        <f t="shared" si="9"/>
        <v>1229.7917973487306</v>
      </c>
      <c r="W28" s="16">
        <f t="shared" ca="1" si="10"/>
        <v>1229.1081649007242</v>
      </c>
      <c r="X28" s="47">
        <f t="shared" ca="1" si="11"/>
        <v>1076538.1316565576</v>
      </c>
      <c r="Y28" s="47">
        <f t="shared" ca="1" si="25"/>
        <v>458151.14213664125</v>
      </c>
      <c r="Z28" s="47">
        <f t="shared" ca="1" si="28"/>
        <v>1076537.9454196985</v>
      </c>
      <c r="AA28" s="47">
        <f t="shared" ca="1" si="29"/>
        <v>458152.74365324201</v>
      </c>
      <c r="AB28" s="47">
        <f t="shared" ca="1" si="30"/>
        <v>1.612308776312213</v>
      </c>
      <c r="AC28" s="47">
        <f t="shared" ca="1" si="31"/>
        <v>24.783137667309767</v>
      </c>
      <c r="AD28" s="47">
        <f t="shared" ca="1" si="32"/>
        <v>0.32882940319541376</v>
      </c>
      <c r="AE28" s="44">
        <f t="shared" ca="1" si="33"/>
        <v>81.31</v>
      </c>
      <c r="AF28" s="44">
        <f t="shared" ca="1" si="34"/>
        <v>1.08</v>
      </c>
      <c r="AH28" s="44">
        <v>81.31</v>
      </c>
      <c r="AI28" s="44">
        <f t="shared" ca="1" si="35"/>
        <v>1.08</v>
      </c>
      <c r="AJ28" s="2" t="str">
        <f t="shared" ca="1" si="27"/>
        <v>81.31,1.08</v>
      </c>
    </row>
    <row r="29" spans="1:36" x14ac:dyDescent="0.25">
      <c r="A29" s="44">
        <v>9</v>
      </c>
      <c r="B29" s="48">
        <v>7.4766087962962962</v>
      </c>
      <c r="C29" s="48">
        <v>3.8347106481481479</v>
      </c>
      <c r="D29" s="44">
        <v>63.536000000000001</v>
      </c>
      <c r="E29" s="44">
        <v>1.492</v>
      </c>
      <c r="F29" s="44"/>
      <c r="G29" s="43">
        <f t="shared" si="17"/>
        <v>92.033055555555549</v>
      </c>
      <c r="H29" s="43">
        <f t="shared" si="18"/>
        <v>1.6062798401153033</v>
      </c>
      <c r="I29" s="43">
        <f t="shared" si="3"/>
        <v>179.4386111111111</v>
      </c>
      <c r="J29" s="39">
        <f t="shared" si="19"/>
        <v>3.1317945690945694</v>
      </c>
      <c r="K29" s="39">
        <f t="shared" si="20"/>
        <v>63.496005752125619</v>
      </c>
      <c r="L29" s="15">
        <f t="shared" si="21"/>
        <v>-2.2540074369953396</v>
      </c>
      <c r="M29" s="13"/>
      <c r="N29" s="16">
        <f t="shared" si="4"/>
        <v>179.4386111111111</v>
      </c>
      <c r="O29" s="16">
        <f t="shared" ca="1" si="22"/>
        <v>267.45007821511649</v>
      </c>
      <c r="P29" s="16">
        <f t="shared" ca="1" si="23"/>
        <v>446.88868932622756</v>
      </c>
      <c r="Q29" s="16">
        <f t="shared" ca="1" si="24"/>
        <v>7.7996790186647109</v>
      </c>
      <c r="R29" s="16">
        <f t="shared" ca="1" si="5"/>
        <v>63.402411068279235</v>
      </c>
      <c r="S29" s="16">
        <f t="shared" ca="1" si="6"/>
        <v>3.4463048621548413</v>
      </c>
      <c r="T29" s="13">
        <f t="shared" ca="1" si="7"/>
        <v>1076575.2884110683</v>
      </c>
      <c r="U29" s="13">
        <f t="shared" ca="1" si="8"/>
        <v>458156.65930486214</v>
      </c>
      <c r="V29" s="16">
        <f t="shared" si="9"/>
        <v>1229.8319925630046</v>
      </c>
      <c r="W29" s="16">
        <f t="shared" ca="1" si="10"/>
        <v>1229.1483601149982</v>
      </c>
      <c r="X29" s="47">
        <f t="shared" ca="1" si="11"/>
        <v>1076575.2884110683</v>
      </c>
      <c r="Y29" s="47">
        <f t="shared" ca="1" si="25"/>
        <v>458156.65930486214</v>
      </c>
      <c r="Z29" s="47">
        <f t="shared" ca="1" si="28"/>
        <v>1076575.2394321049</v>
      </c>
      <c r="AA29" s="47">
        <f t="shared" ca="1" si="29"/>
        <v>458157.08049228496</v>
      </c>
      <c r="AB29" s="47">
        <f t="shared" ca="1" si="30"/>
        <v>0.42402568789864081</v>
      </c>
      <c r="AC29" s="47">
        <f t="shared" ca="1" si="31"/>
        <v>62.328464064231063</v>
      </c>
      <c r="AD29" s="47">
        <f t="shared" ca="1" si="32"/>
        <v>0.36902461746944937</v>
      </c>
      <c r="AE29" s="44">
        <f t="shared" ca="1" si="33"/>
        <v>204.49</v>
      </c>
      <c r="AF29" s="44">
        <f t="shared" ca="1" si="34"/>
        <v>1.21</v>
      </c>
      <c r="AH29" s="44">
        <v>204.49</v>
      </c>
      <c r="AI29" s="44">
        <f t="shared" ca="1" si="35"/>
        <v>1.21</v>
      </c>
      <c r="AJ29" s="2" t="str">
        <f t="shared" ca="1" si="27"/>
        <v>204.49,1.21</v>
      </c>
    </row>
    <row r="30" spans="1:36" x14ac:dyDescent="0.25">
      <c r="A30" s="44">
        <v>10</v>
      </c>
      <c r="B30" s="48">
        <v>7.4447916666666671</v>
      </c>
      <c r="C30" s="48">
        <v>3.8273726851851855</v>
      </c>
      <c r="D30" s="44">
        <v>64.286000000000001</v>
      </c>
      <c r="E30" s="44">
        <v>1.492</v>
      </c>
      <c r="F30" s="49" t="s">
        <v>84</v>
      </c>
      <c r="G30" s="43">
        <f t="shared" si="17"/>
        <v>91.856944444444451</v>
      </c>
      <c r="H30" s="43">
        <f t="shared" si="18"/>
        <v>1.6032061213770692</v>
      </c>
      <c r="I30" s="43">
        <f t="shared" si="3"/>
        <v>178.67500000000001</v>
      </c>
      <c r="J30" s="39">
        <f t="shared" si="19"/>
        <v>3.1184670410008684</v>
      </c>
      <c r="K30" s="39">
        <f t="shared" si="20"/>
        <v>64.252240115686035</v>
      </c>
      <c r="L30" s="15">
        <f t="shared" si="21"/>
        <v>-2.0831313247672623</v>
      </c>
      <c r="M30" s="13"/>
      <c r="N30" s="16">
        <f t="shared" si="4"/>
        <v>178.67500000000001</v>
      </c>
      <c r="O30" s="16">
        <f t="shared" ca="1" si="22"/>
        <v>267.45007821511649</v>
      </c>
      <c r="P30" s="16">
        <f t="shared" ca="1" si="23"/>
        <v>446.1250782151165</v>
      </c>
      <c r="Q30" s="16">
        <f t="shared" ca="1" si="24"/>
        <v>7.7863514905710103</v>
      </c>
      <c r="R30" s="16">
        <f t="shared" ca="1" si="5"/>
        <v>64.105356499631156</v>
      </c>
      <c r="S30" s="16">
        <f t="shared" ca="1" si="6"/>
        <v>4.3420764547589092</v>
      </c>
      <c r="T30" s="13">
        <f t="shared" ca="1" si="7"/>
        <v>1076575.9913564995</v>
      </c>
      <c r="U30" s="13">
        <f t="shared" ca="1" si="8"/>
        <v>458157.55507645477</v>
      </c>
      <c r="V30" s="16">
        <f t="shared" si="9"/>
        <v>1230.0028686752328</v>
      </c>
      <c r="W30" s="16">
        <f t="shared" ca="1" si="10"/>
        <v>1229.3192362272264</v>
      </c>
      <c r="X30" s="47">
        <f t="shared" ca="1" si="11"/>
        <v>1076575.9913564995</v>
      </c>
      <c r="Y30" s="47">
        <f t="shared" ca="1" si="25"/>
        <v>458157.55507645477</v>
      </c>
      <c r="Z30" s="47">
        <f t="shared" ca="1" si="28"/>
        <v>1076576.0357760102</v>
      </c>
      <c r="AA30" s="47">
        <f t="shared" ca="1" si="29"/>
        <v>458157.17309737403</v>
      </c>
      <c r="AB30" s="47">
        <f t="shared" ca="1" si="30"/>
        <v>0.38455313163803984</v>
      </c>
      <c r="AC30" s="47">
        <f t="shared" ca="1" si="31"/>
        <v>63.130174309997251</v>
      </c>
      <c r="AD30" s="47">
        <f t="shared" ca="1" si="32"/>
        <v>0.5399007296975924</v>
      </c>
      <c r="AE30" s="44">
        <f t="shared" ca="1" si="33"/>
        <v>207.12</v>
      </c>
      <c r="AF30" s="44">
        <f t="shared" ca="1" si="34"/>
        <v>1.77</v>
      </c>
      <c r="AH30" s="44">
        <v>207.12</v>
      </c>
      <c r="AI30" s="44">
        <f t="shared" ca="1" si="35"/>
        <v>1.77</v>
      </c>
      <c r="AJ30" s="2" t="str">
        <f t="shared" ca="1" si="27"/>
        <v>207.12,1.77</v>
      </c>
    </row>
    <row r="31" spans="1:36" x14ac:dyDescent="0.25">
      <c r="A31" s="44">
        <v>11</v>
      </c>
      <c r="B31" s="48">
        <v>7.4347800925925931</v>
      </c>
      <c r="C31" s="48">
        <v>3.8033680555555556</v>
      </c>
      <c r="D31" s="44">
        <v>64.614999999999995</v>
      </c>
      <c r="E31" s="44">
        <v>1.492</v>
      </c>
      <c r="F31" s="44"/>
      <c r="G31" s="43">
        <f t="shared" si="17"/>
        <v>91.280833333333334</v>
      </c>
      <c r="H31" s="43">
        <f t="shared" si="18"/>
        <v>1.5931510856308573</v>
      </c>
      <c r="I31" s="43">
        <f t="shared" si="3"/>
        <v>178.43472222222223</v>
      </c>
      <c r="J31" s="39">
        <f t="shared" si="19"/>
        <v>3.1142734026592711</v>
      </c>
      <c r="K31" s="39">
        <f t="shared" si="20"/>
        <v>64.598855475998349</v>
      </c>
      <c r="L31" s="15">
        <f t="shared" si="21"/>
        <v>-1.4443324378680591</v>
      </c>
      <c r="M31" s="13"/>
      <c r="N31" s="16">
        <f t="shared" si="4"/>
        <v>178.43472222222223</v>
      </c>
      <c r="O31" s="16">
        <f t="shared" ca="1" si="22"/>
        <v>267.45007821511649</v>
      </c>
      <c r="P31" s="16">
        <f t="shared" ca="1" si="23"/>
        <v>445.88480043733875</v>
      </c>
      <c r="Q31" s="16">
        <f t="shared" ca="1" si="24"/>
        <v>7.7821578522294139</v>
      </c>
      <c r="R31" s="16">
        <f t="shared" ca="1" si="5"/>
        <v>64.432305467756407</v>
      </c>
      <c r="S31" s="16">
        <f t="shared" ca="1" si="6"/>
        <v>4.6357459937587606</v>
      </c>
      <c r="T31" s="13">
        <f t="shared" ca="1" si="7"/>
        <v>1076576.3183054677</v>
      </c>
      <c r="U31" s="13">
        <f t="shared" ca="1" si="8"/>
        <v>458157.84874599375</v>
      </c>
      <c r="V31" s="16">
        <f t="shared" si="9"/>
        <v>1230.6416675621319</v>
      </c>
      <c r="W31" s="16">
        <f t="shared" ca="1" si="10"/>
        <v>1229.9580351141256</v>
      </c>
      <c r="X31" s="47">
        <f t="shared" ca="1" si="11"/>
        <v>1076576.3183054677</v>
      </c>
      <c r="Y31" s="47">
        <f t="shared" ca="1" si="25"/>
        <v>458157.84874599375</v>
      </c>
      <c r="Z31" s="47">
        <f t="shared" ca="1" si="28"/>
        <v>1076576.392057227</v>
      </c>
      <c r="AA31" s="47">
        <f t="shared" ca="1" si="29"/>
        <v>458157.2145285366</v>
      </c>
      <c r="AB31" s="47">
        <f t="shared" ca="1" si="30"/>
        <v>0.63849127240929038</v>
      </c>
      <c r="AC31" s="47">
        <f t="shared" ca="1" si="31"/>
        <v>63.488856406874618</v>
      </c>
      <c r="AD31" s="47">
        <f t="shared" ca="1" si="32"/>
        <v>1.1786996165967594</v>
      </c>
      <c r="AE31" s="44">
        <f t="shared" ca="1" si="33"/>
        <v>208.3</v>
      </c>
      <c r="AF31" s="44">
        <f t="shared" ca="1" si="34"/>
        <v>3.87</v>
      </c>
      <c r="AH31" s="44">
        <v>208.3</v>
      </c>
      <c r="AI31" s="44">
        <f t="shared" ca="1" si="35"/>
        <v>3.87</v>
      </c>
      <c r="AJ31" s="2" t="str">
        <f t="shared" ca="1" si="27"/>
        <v>208.3,3.87</v>
      </c>
    </row>
    <row r="32" spans="1:36" x14ac:dyDescent="0.25">
      <c r="A32" s="44">
        <v>12</v>
      </c>
      <c r="B32" s="48">
        <v>10.675289351851852</v>
      </c>
      <c r="C32" s="48">
        <v>3.786273148148148</v>
      </c>
      <c r="D32" s="44">
        <v>6.125</v>
      </c>
      <c r="E32" s="44">
        <v>1.492</v>
      </c>
      <c r="F32" s="49" t="s">
        <v>70</v>
      </c>
      <c r="G32" s="43">
        <f t="shared" si="17"/>
        <v>90.870555555555555</v>
      </c>
      <c r="H32" s="43">
        <f t="shared" si="18"/>
        <v>1.5859903875608694</v>
      </c>
      <c r="I32" s="43">
        <f t="shared" si="3"/>
        <v>256.20694444444445</v>
      </c>
      <c r="J32" s="39">
        <f t="shared" si="19"/>
        <v>4.4716547470297501</v>
      </c>
      <c r="K32" s="39">
        <f t="shared" si="20"/>
        <v>6.1242930064361643</v>
      </c>
      <c r="L32" s="15">
        <f t="shared" si="21"/>
        <v>-9.3060041462971782E-2</v>
      </c>
      <c r="M32" s="13"/>
      <c r="N32" s="16">
        <f t="shared" si="4"/>
        <v>256.20694444444445</v>
      </c>
      <c r="O32" s="16">
        <f t="shared" ca="1" si="22"/>
        <v>267.45007821511649</v>
      </c>
      <c r="P32" s="16">
        <f t="shared" ca="1" si="23"/>
        <v>523.65702265956088</v>
      </c>
      <c r="Q32" s="16">
        <f t="shared" ca="1" si="24"/>
        <v>9.1395391965998911</v>
      </c>
      <c r="R32" s="16">
        <f t="shared" ca="1" si="5"/>
        <v>1.7232938400924791</v>
      </c>
      <c r="S32" s="16">
        <f t="shared" ca="1" si="6"/>
        <v>-5.8768378546104394</v>
      </c>
      <c r="T32" s="13">
        <f t="shared" ca="1" si="7"/>
        <v>1076513.6092938401</v>
      </c>
      <c r="U32" s="13">
        <f t="shared" ca="1" si="8"/>
        <v>458147.33616214537</v>
      </c>
      <c r="V32" s="16">
        <f t="shared" si="9"/>
        <v>1231.9929399585371</v>
      </c>
      <c r="W32" s="16">
        <f t="shared" ca="1" si="10"/>
        <v>1231.3093075105307</v>
      </c>
      <c r="X32" s="47" t="str">
        <f t="shared" si="11"/>
        <v/>
      </c>
      <c r="Y32" s="47" t="str">
        <f t="shared" si="25"/>
        <v/>
      </c>
      <c r="Z32" s="47" t="str">
        <f t="shared" si="28"/>
        <v/>
      </c>
      <c r="AA32" s="47" t="str">
        <f t="shared" si="29"/>
        <v/>
      </c>
      <c r="AB32" s="47" t="str">
        <f t="shared" si="30"/>
        <v/>
      </c>
      <c r="AC32" s="47" t="str">
        <f t="shared" ca="1" si="31"/>
        <v/>
      </c>
      <c r="AD32" s="47" t="str">
        <f t="shared" si="32"/>
        <v/>
      </c>
      <c r="AE32" s="44" t="e">
        <f t="shared" ca="1" si="33"/>
        <v>#VALUE!</v>
      </c>
      <c r="AF32" s="44" t="e">
        <f t="shared" si="34"/>
        <v>#VALUE!</v>
      </c>
      <c r="AH32" s="44"/>
      <c r="AI32" s="44"/>
      <c r="AJ32" s="44"/>
    </row>
    <row r="33" spans="1:36" x14ac:dyDescent="0.25">
      <c r="A33" s="44">
        <v>13</v>
      </c>
      <c r="B33" s="48">
        <v>4.6064814814814814E-3</v>
      </c>
      <c r="C33" s="48">
        <v>3.7550810185185184</v>
      </c>
      <c r="D33" s="44">
        <v>10.714</v>
      </c>
      <c r="E33" s="44">
        <v>1.492</v>
      </c>
      <c r="F33" s="49" t="s">
        <v>69</v>
      </c>
      <c r="G33" s="43">
        <f t="shared" si="17"/>
        <v>90.121944444444438</v>
      </c>
      <c r="H33" s="43">
        <f t="shared" si="18"/>
        <v>1.5729246588549672</v>
      </c>
      <c r="I33" s="43">
        <f t="shared" si="3"/>
        <v>0.11055555555555555</v>
      </c>
      <c r="J33" s="39">
        <f t="shared" si="19"/>
        <v>1.929558450815953E-3</v>
      </c>
      <c r="K33" s="39">
        <f t="shared" si="20"/>
        <v>10.713975733884714</v>
      </c>
      <c r="L33" s="15">
        <f t="shared" si="21"/>
        <v>-2.2802932476143643E-2</v>
      </c>
      <c r="M33" s="13"/>
      <c r="N33" s="16">
        <f t="shared" si="4"/>
        <v>0.11055555555555555</v>
      </c>
      <c r="O33" s="16">
        <f t="shared" ca="1" si="22"/>
        <v>267.45007821511649</v>
      </c>
      <c r="P33" s="16">
        <f t="shared" ca="1" si="23"/>
        <v>267.56063377067204</v>
      </c>
      <c r="Q33" s="16">
        <f t="shared" ca="1" si="24"/>
        <v>4.6698140080209578</v>
      </c>
      <c r="R33" s="16">
        <f t="shared" ca="1" si="5"/>
        <v>-10.704266972889696</v>
      </c>
      <c r="S33" s="16">
        <f t="shared" ca="1" si="6"/>
        <v>-0.4560094290399454</v>
      </c>
      <c r="T33" s="13">
        <f t="shared" ca="1" si="7"/>
        <v>1076501.1817330271</v>
      </c>
      <c r="U33" s="13">
        <f t="shared" ca="1" si="8"/>
        <v>458152.75699057092</v>
      </c>
      <c r="V33" s="16">
        <f t="shared" si="9"/>
        <v>1232.0631970675238</v>
      </c>
      <c r="W33" s="16">
        <f t="shared" ca="1" si="10"/>
        <v>1231.3795646195174</v>
      </c>
      <c r="X33" s="47" t="str">
        <f t="shared" si="11"/>
        <v/>
      </c>
      <c r="Y33" s="47" t="str">
        <f t="shared" si="25"/>
        <v/>
      </c>
      <c r="Z33" s="47" t="str">
        <f t="shared" si="28"/>
        <v/>
      </c>
      <c r="AA33" s="47" t="str">
        <f t="shared" si="29"/>
        <v/>
      </c>
      <c r="AB33" s="47" t="str">
        <f t="shared" si="30"/>
        <v/>
      </c>
      <c r="AC33" s="47" t="str">
        <f t="shared" ca="1" si="31"/>
        <v/>
      </c>
      <c r="AD33" s="47" t="str">
        <f t="shared" si="32"/>
        <v/>
      </c>
      <c r="AE33" s="44" t="e">
        <f t="shared" ca="1" si="33"/>
        <v>#VALUE!</v>
      </c>
      <c r="AF33" s="44" t="e">
        <f t="shared" si="34"/>
        <v>#VALUE!</v>
      </c>
      <c r="AH33" s="44"/>
      <c r="AI33" s="44"/>
      <c r="AJ33" s="44"/>
    </row>
    <row r="34" spans="1:36" x14ac:dyDescent="0.25">
      <c r="A34" s="44"/>
      <c r="B34" s="48"/>
      <c r="C34" s="48"/>
      <c r="D34" s="44"/>
      <c r="E34" s="44"/>
      <c r="F34" s="49"/>
      <c r="G34" s="43"/>
      <c r="H34" s="43"/>
      <c r="I34" s="43"/>
      <c r="J34" s="39"/>
      <c r="K34" s="39"/>
      <c r="L34" s="15"/>
      <c r="M34" s="13"/>
      <c r="T34" s="13"/>
      <c r="U34" s="13"/>
      <c r="X34" s="47"/>
      <c r="Y34" s="47"/>
      <c r="Z34" s="47"/>
      <c r="AA34" s="47"/>
      <c r="AB34" s="47"/>
      <c r="AC34" s="47"/>
      <c r="AD34" s="47"/>
      <c r="AE34" s="44"/>
      <c r="AF34" s="44"/>
      <c r="AH34" s="44"/>
      <c r="AI34" s="44"/>
      <c r="AJ34" s="44"/>
    </row>
    <row r="35" spans="1:36" x14ac:dyDescent="0.25">
      <c r="A35" s="44"/>
      <c r="B35" s="48"/>
      <c r="C35" s="48"/>
      <c r="D35" s="44"/>
      <c r="E35" s="44"/>
      <c r="F35" s="49"/>
      <c r="G35" s="43"/>
      <c r="H35" s="43"/>
      <c r="I35" s="43"/>
      <c r="J35" s="49"/>
      <c r="K35" s="49"/>
      <c r="L35" s="46"/>
      <c r="M35" s="45"/>
      <c r="N35" s="47"/>
      <c r="O35" s="47"/>
      <c r="P35" s="47"/>
      <c r="Q35" s="47"/>
      <c r="R35" s="47"/>
      <c r="S35" s="47"/>
      <c r="T35" s="45"/>
      <c r="U35" s="45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H35" s="44"/>
      <c r="AI35" s="44"/>
      <c r="AJ35" s="44"/>
    </row>
    <row r="36" spans="1:36" x14ac:dyDescent="0.25">
      <c r="A36" s="44"/>
      <c r="B36" s="48"/>
      <c r="C36" s="48"/>
      <c r="D36" s="44"/>
      <c r="E36" s="44"/>
      <c r="F36" s="44"/>
      <c r="G36" s="43"/>
      <c r="H36" s="43"/>
      <c r="I36" s="43"/>
      <c r="J36" s="49"/>
      <c r="K36" s="49"/>
      <c r="L36" s="46"/>
      <c r="M36" s="45"/>
      <c r="N36" s="47"/>
      <c r="O36" s="47"/>
      <c r="P36" s="47"/>
      <c r="Q36" s="47"/>
      <c r="R36" s="47"/>
      <c r="S36" s="47"/>
      <c r="T36" s="45"/>
      <c r="U36" s="45"/>
      <c r="V36" s="47"/>
      <c r="W36" s="47"/>
      <c r="X36" s="47"/>
      <c r="Y36" s="47"/>
      <c r="Z36" s="47"/>
      <c r="AA36" s="47"/>
      <c r="AB36" s="47"/>
      <c r="AC36" s="47"/>
      <c r="AD36" s="47"/>
      <c r="AE36" s="44"/>
      <c r="AF36" s="44"/>
      <c r="AH36" s="44"/>
      <c r="AI36" s="44"/>
      <c r="AJ36" s="44"/>
    </row>
    <row r="37" spans="1:36" x14ac:dyDescent="0.25">
      <c r="A37" s="44"/>
      <c r="B37" s="48"/>
      <c r="C37" s="48"/>
      <c r="D37" s="44"/>
      <c r="E37" s="44"/>
      <c r="F37" s="49"/>
      <c r="G37" s="43"/>
      <c r="H37" s="43"/>
      <c r="I37" s="43"/>
      <c r="J37" s="49"/>
      <c r="K37" s="49"/>
      <c r="L37" s="46"/>
      <c r="M37" s="45"/>
      <c r="N37" s="47"/>
      <c r="O37" s="47"/>
      <c r="P37" s="47"/>
      <c r="Q37" s="47"/>
      <c r="R37" s="47"/>
      <c r="S37" s="47"/>
      <c r="T37" s="45"/>
      <c r="U37" s="45"/>
      <c r="V37" s="47"/>
      <c r="W37" s="47"/>
      <c r="X37" s="47"/>
      <c r="Y37" s="47"/>
      <c r="Z37" s="47"/>
      <c r="AA37" s="47"/>
      <c r="AB37" s="47"/>
      <c r="AC37" s="47"/>
      <c r="AD37" s="47"/>
      <c r="AE37" s="44"/>
      <c r="AF37" s="44"/>
      <c r="AH37" s="44"/>
      <c r="AI37" s="44"/>
      <c r="AJ37" s="44"/>
    </row>
    <row r="38" spans="1:36" x14ac:dyDescent="0.25">
      <c r="A38" s="44"/>
      <c r="B38" s="48"/>
      <c r="C38" s="48"/>
      <c r="D38" s="44"/>
      <c r="E38" s="44"/>
      <c r="F38" s="49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4"/>
      <c r="AF38" s="44"/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1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3531863.1430446194</v>
      </c>
      <c r="C2" s="33">
        <f>IF(ISNUMBER(Calculations!O4),CONVERT(Calculations!O4,Units_In,Units_Out),"")</f>
        <v>1503127.339238845</v>
      </c>
      <c r="D2" s="33" t="s">
        <v>60</v>
      </c>
      <c r="E2" s="10" t="str">
        <f>CONCATENATE("0503 ",B2,"EUSft ",C2,"NUSft")</f>
        <v>0503 3531863.14304462EUSft 1503127.33923885NUSft</v>
      </c>
      <c r="F2" s="34">
        <v>98</v>
      </c>
      <c r="G2" s="10" t="str">
        <f>IF(F2=98,"Lime",IF(F2=94,"Yellow",""))</f>
        <v>Lime</v>
      </c>
      <c r="H2" s="10" t="str">
        <f>Calculations!$A$1</f>
        <v>CSS13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3531842.5820209975</v>
      </c>
      <c r="C3" s="33">
        <f>IF(ISNUMBER(Calculations!O5),CONVERT(Calculations!O5,Units_In,Units_Out),"")</f>
        <v>1503098.5695538057</v>
      </c>
      <c r="D3" s="33" t="s">
        <v>60</v>
      </c>
      <c r="E3" s="10" t="str">
        <f t="shared" ref="E3:E4" si="0">CONCATENATE("0503 ",B3,"EUSft ",C3,"NUSft")</f>
        <v>0503 3531842.582021EUSft 1503098.56955381NUSft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CSS13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3531881.0925196852</v>
      </c>
      <c r="C4" s="33">
        <f>IF(ISNUMBER(Calculations!O6),CONVERT(Calculations!O6,Units_In,Units_Out),"")</f>
        <v>1503120.3674540683</v>
      </c>
      <c r="D4" s="33" t="s">
        <v>60</v>
      </c>
      <c r="E4" s="10" t="str">
        <f t="shared" si="0"/>
        <v>0503 3531881.09251969EUSft 1503120.36745407NUSft</v>
      </c>
      <c r="F4" s="34">
        <v>98</v>
      </c>
      <c r="G4" s="10" t="str">
        <f t="shared" si="1"/>
        <v>Lime</v>
      </c>
      <c r="H4" s="10" t="str">
        <f>Calculations!$A$1</f>
        <v>CSS13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3531827.9188391883</v>
      </c>
      <c r="C5" s="33">
        <f ca="1">IF(ISNUMBER(A5),CONVERT(Calculations!U21,Units_In,Units_Out),"")</f>
        <v>1503125.7705663068</v>
      </c>
      <c r="D5" s="33" t="str">
        <f>IF(ISTEXT(Calculations!F21),Calculations!F21,"")</f>
        <v>BS/ZERO</v>
      </c>
      <c r="E5" t="str">
        <f ca="1">IF(ISNUMBER(A5),CONCATENATE("0503 ",B5,"EUSft ",C5,"NUSft"),"")</f>
        <v>0503 3531827.91883919EUSft 1503125.77056631NUSft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CSS13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3531868.8626226396</v>
      </c>
      <c r="C6" s="33">
        <f ca="1">IF(ISNUMBER(A6),CONVERT(Calculations!U22,Units_In,Units_Out),"")</f>
        <v>1503107.9777879356</v>
      </c>
      <c r="D6" s="33" t="str">
        <f>IF(ISTEXT(Calculations!F22),Calculations!F22,"")</f>
        <v/>
      </c>
      <c r="E6" s="10" t="str">
        <f t="shared" ref="E6:E65" ca="1" si="2">IF(ISNUMBER(A6),CONCATENATE("0503 ",B6,"EUSft ",C6,"NUSft"),"")</f>
        <v>0503 3531868.86262264EUSft 1503107.97778794NUSft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CSS13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3531867.8943672534</v>
      </c>
      <c r="C7" s="33">
        <f ca="1">IF(ISNUMBER(A7),CONVERT(Calculations!U23,Units_In,Units_Out),"")</f>
        <v>1503116.2371829054</v>
      </c>
      <c r="D7" s="33" t="str">
        <f>IF(ISTEXT(Calculations!F23),Calculations!F23,"")</f>
        <v/>
      </c>
      <c r="E7" s="10" t="str">
        <f t="shared" ca="1" si="2"/>
        <v>0503 3531867.89436725EUSft 1503116.23718291NUSft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CSS13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3531871.7664391492</v>
      </c>
      <c r="C8" s="33">
        <f ca="1">IF(ISNUMBER(A8),CONVERT(Calculations!U24,Units_In,Units_Out),"")</f>
        <v>1503117.9128435506</v>
      </c>
      <c r="D8" s="33" t="str">
        <f>IF(ISTEXT(Calculations!F24),Calculations!F24,"")</f>
        <v/>
      </c>
      <c r="E8" s="10" t="str">
        <f t="shared" ca="1" si="2"/>
        <v>0503 3531871.76643915EUSft 1503117.91284355NUSft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CSS13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3531874.1793962079</v>
      </c>
      <c r="C9" s="33">
        <f ca="1">IF(ISNUMBER(A9),CONVERT(Calculations!U25,Units_In,Units_Out),"")</f>
        <v>1503118.1326443688</v>
      </c>
      <c r="D9" s="33" t="str">
        <f>IF(ISTEXT(Calculations!F25),Calculations!F25,"")</f>
        <v/>
      </c>
      <c r="E9" s="10" t="str">
        <f t="shared" ca="1" si="2"/>
        <v>0503 3531874.17939621EUSft 1503118.13264437NUSft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CSS13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3531874.9705984723</v>
      </c>
      <c r="C10" s="33">
        <f ca="1">IF(ISNUMBER(A10),CONVERT(Calculations!U26,Units_In,Units_Out),"")</f>
        <v>1503118.4643034495</v>
      </c>
      <c r="D10" s="33" t="str">
        <f>IF(ISTEXT(Calculations!F26),Calculations!F26,"")</f>
        <v/>
      </c>
      <c r="E10" s="10" t="str">
        <f t="shared" ca="1" si="2"/>
        <v>0503 3531874.97059847EUSft 1503118.46430345NUSft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CSS13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3531876.183169567</v>
      </c>
      <c r="C11" s="33">
        <f ca="1">IF(ISNUMBER(A11),CONVERT(Calculations!U27,Units_In,Units_Out),"")</f>
        <v>1503117.6161558048</v>
      </c>
      <c r="D11" s="33" t="str">
        <f>IF(ISTEXT(Calculations!F27),Calculations!F27,"")</f>
        <v/>
      </c>
      <c r="E11" s="10" t="str">
        <f t="shared" ca="1" si="2"/>
        <v>0503 3531876.18316957EUSft 1503117.6161558NUSft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CSS13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3531949.2508417242</v>
      </c>
      <c r="C12" s="33">
        <f ca="1">IF(ISNUMBER(A12),CONVERT(Calculations!U28,Units_In,Units_Out),"")</f>
        <v>1503120.5450677208</v>
      </c>
      <c r="D12" s="33" t="str">
        <f>IF(ISTEXT(Calculations!F28),Calculations!F28,"")</f>
        <v/>
      </c>
      <c r="E12" s="10" t="str">
        <f t="shared" ca="1" si="2"/>
        <v>0503 3531949.25084172EUSft 1503120.54506772NUSft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CSS13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3532071.1562042921</v>
      </c>
      <c r="C13" s="33">
        <f ca="1">IF(ISNUMBER(A13),CONVERT(Calculations!U29,Units_In,Units_Out),"")</f>
        <v>1503138.6460133272</v>
      </c>
      <c r="D13" s="33" t="str">
        <f>IF(ISTEXT(Calculations!F29),Calculations!F29,"")</f>
        <v/>
      </c>
      <c r="E13" s="10" t="str">
        <f t="shared" ca="1" si="2"/>
        <v>0503 3532071.15620429EUSft 1503138.64601333NUSft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CSS13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3532073.4624557067</v>
      </c>
      <c r="C14" s="33">
        <f ca="1">IF(ISNUMBER(A14),CONVERT(Calculations!U30,Units_In,Units_Out),"")</f>
        <v>1503141.5848965053</v>
      </c>
      <c r="D14" s="33" t="str">
        <f>IF(ISTEXT(Calculations!F30),Calculations!F30,"")</f>
        <v>WS</v>
      </c>
      <c r="E14" s="10" t="str">
        <f t="shared" ca="1" si="2"/>
        <v>0503 3532073.46245571EUSft 1503141.58489651NUSft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CSS13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3532074.5351229259</v>
      </c>
      <c r="C15" s="33">
        <f ca="1">IF(ISNUMBER(A15),CONVERT(Calculations!U31,Units_In,Units_Out),"")</f>
        <v>1503142.5483792445</v>
      </c>
      <c r="D15" s="33" t="str">
        <f>IF(ISTEXT(Calculations!F31),Calculations!F31,"")</f>
        <v/>
      </c>
      <c r="E15" s="10" t="str">
        <f t="shared" ca="1" si="2"/>
        <v>0503 3532074.53512293EUSft 1503142.54837924NUSft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CSS13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3531868.7968958011</v>
      </c>
      <c r="C16" s="33">
        <f ca="1">IF(ISNUMBER(A16),CONVERT(Calculations!U32,Units_In,Units_Out),"")</f>
        <v>1503108.0582747553</v>
      </c>
      <c r="D16" s="33" t="str">
        <f>IF(ISTEXT(Calculations!F32),Calculations!F32,"")</f>
        <v>PT2</v>
      </c>
      <c r="E16" s="10" t="str">
        <f t="shared" ca="1" si="2"/>
        <v>0503 3531868.7968958EUSft 1503108.05827476NUSft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CSS13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3531828.0240584882</v>
      </c>
      <c r="C17" s="33">
        <f ca="1">IF(ISNUMBER(A17),CONVERT(Calculations!U33,Units_In,Units_Out),"")</f>
        <v>1503125.8431449176</v>
      </c>
      <c r="D17" s="33" t="str">
        <f>IF(ISTEXT(Calculations!F33),Calculations!F33,"")</f>
        <v>PT1</v>
      </c>
      <c r="E17" s="10" t="str">
        <f t="shared" ca="1" si="2"/>
        <v>0503 3531828.02405849EUSft 1503125.84314492NUSft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CSS13</v>
      </c>
    </row>
    <row r="18" spans="1:8" x14ac:dyDescent="0.25">
      <c r="A18" s="10" t="str">
        <f>IF(ISNUMBER(Calculations!A34),Calculations!A34,"")</f>
        <v/>
      </c>
      <c r="B18" s="33" t="str">
        <f>IF(ISNUMBER(A18),CONVERT(Calculations!T34,Units_In,Units_Out),"")</f>
        <v/>
      </c>
      <c r="C18" s="33" t="str">
        <f>IF(ISNUMBER(A18),CONVERT(Calculations!U34,Units_In,Units_Out),"")</f>
        <v/>
      </c>
      <c r="D18" s="33" t="str">
        <f>IF(ISTEXT(Calculations!F34),Calculations!F34,"")</f>
        <v/>
      </c>
      <c r="E18" s="10" t="str">
        <f t="shared" si="2"/>
        <v/>
      </c>
      <c r="F18" s="34" t="str">
        <f t="shared" si="3"/>
        <v/>
      </c>
      <c r="G18" s="10" t="str">
        <f t="shared" si="1"/>
        <v/>
      </c>
      <c r="H18" s="10" t="str">
        <f>IF(ISNUMBER(A18),Calculations!$A$1,"")</f>
        <v/>
      </c>
    </row>
    <row r="19" spans="1:8" x14ac:dyDescent="0.25">
      <c r="A19" s="10" t="str">
        <f>IF(ISNUMBER(Calculations!A35),Calculations!A35,"")</f>
        <v/>
      </c>
      <c r="B19" s="33" t="str">
        <f>IF(ISNUMBER(A19),CONVERT(Calculations!T35,Units_In,Units_Out),"")</f>
        <v/>
      </c>
      <c r="C19" s="33" t="str">
        <f>IF(ISNUMBER(A19),CONVERT(Calculations!U35,Units_In,Units_Out),"")</f>
        <v/>
      </c>
      <c r="D19" s="33" t="str">
        <f>IF(ISTEXT(Calculations!F35),Calculations!F35,"")</f>
        <v/>
      </c>
      <c r="E19" s="10" t="str">
        <f t="shared" si="2"/>
        <v/>
      </c>
      <c r="F19" s="34" t="str">
        <f t="shared" si="3"/>
        <v/>
      </c>
      <c r="G19" s="10" t="str">
        <f t="shared" si="1"/>
        <v/>
      </c>
      <c r="H19" s="10" t="str">
        <f>IF(ISNUMBER(A19),Calculations!$A$1,"")</f>
        <v/>
      </c>
    </row>
    <row r="20" spans="1:8" x14ac:dyDescent="0.25">
      <c r="A20" s="10" t="str">
        <f>IF(ISNUMBER(Calculations!A36),Calculations!A36,"")</f>
        <v/>
      </c>
      <c r="B20" s="33" t="str">
        <f>IF(ISNUMBER(A20),CONVERT(Calculations!T36,Units_In,Units_Out),"")</f>
        <v/>
      </c>
      <c r="C20" s="33" t="str">
        <f>IF(ISNUMBER(A20),CONVERT(Calculations!U36,Units_In,Units_Out),"")</f>
        <v/>
      </c>
      <c r="D20" s="33" t="str">
        <f>IF(ISTEXT(Calculations!F36),Calculations!F36,"")</f>
        <v/>
      </c>
      <c r="E20" s="10" t="str">
        <f t="shared" si="2"/>
        <v/>
      </c>
      <c r="F20" s="34" t="str">
        <f t="shared" si="3"/>
        <v/>
      </c>
      <c r="G20" s="10" t="str">
        <f t="shared" si="1"/>
        <v/>
      </c>
      <c r="H20" s="10" t="str">
        <f>IF(ISNUMBER(A20),Calculations!$A$1,"")</f>
        <v/>
      </c>
    </row>
    <row r="21" spans="1:8" x14ac:dyDescent="0.25">
      <c r="A21" s="10" t="str">
        <f>IF(ISNUMBER(Calculations!A37),Calculations!A37,"")</f>
        <v/>
      </c>
      <c r="B21" s="33" t="str">
        <f>IF(ISNUMBER(A21),CONVERT(Calculations!T37,Units_In,Units_Out),"")</f>
        <v/>
      </c>
      <c r="C21" s="33" t="str">
        <f>IF(ISNUMBER(A21),CONVERT(Calculations!U37,Units_In,Units_Out),"")</f>
        <v/>
      </c>
      <c r="D21" s="33" t="str">
        <f>IF(ISTEXT(Calculations!F37),Calculations!F37,"")</f>
        <v/>
      </c>
      <c r="E21" s="10" t="str">
        <f t="shared" si="2"/>
        <v/>
      </c>
      <c r="F21" s="34" t="str">
        <f t="shared" si="3"/>
        <v/>
      </c>
      <c r="G21" s="10" t="str">
        <f t="shared" si="1"/>
        <v/>
      </c>
      <c r="H21" s="10" t="str">
        <f>IF(ISNUMBER(A21),Calculations!$A$1,"")</f>
        <v/>
      </c>
    </row>
    <row r="22" spans="1:8" x14ac:dyDescent="0.25">
      <c r="A22" s="10" t="str">
        <f>IF(ISNUMBER(Calculations!A38),Calculations!A38,"")</f>
        <v/>
      </c>
      <c r="B22" s="33" t="str">
        <f>IF(ISNUMBER(A22),CONVERT(Calculations!T38,Units_In,Units_Out),"")</f>
        <v/>
      </c>
      <c r="C22" s="33" t="str">
        <f>IF(ISNUMBER(A22),CONVERT(Calculations!U38,Units_In,Units_Out),"")</f>
        <v/>
      </c>
      <c r="D22" s="33" t="str">
        <f>IF(ISTEXT(Calculations!F38),Calculations!F38,"")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2013-08-28T10:31:47Z</dcterms:modified>
</cp:coreProperties>
</file>