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Z22" i="1" l="1"/>
  <c r="Z28" i="1"/>
  <c r="Z36" i="1"/>
  <c r="Z37" i="1"/>
  <c r="Z21" i="1"/>
  <c r="Y22" i="1"/>
  <c r="Y28" i="1"/>
  <c r="Y36" i="1"/>
  <c r="Y37" i="1"/>
  <c r="Y21" i="1"/>
  <c r="X22" i="1"/>
  <c r="X28" i="1"/>
  <c r="X36" i="1"/>
  <c r="X37" i="1"/>
  <c r="X21" i="1"/>
  <c r="G34" i="1"/>
  <c r="H34" i="1"/>
  <c r="K34" i="1" s="1"/>
  <c r="I34" i="1"/>
  <c r="J34" i="1"/>
  <c r="L34" i="1"/>
  <c r="N34" i="1"/>
  <c r="V34" i="1"/>
  <c r="G35" i="1"/>
  <c r="H35" i="1"/>
  <c r="K35" i="1" s="1"/>
  <c r="I35" i="1"/>
  <c r="J35" i="1"/>
  <c r="L35" i="1"/>
  <c r="V35" i="1" s="1"/>
  <c r="N35" i="1"/>
  <c r="G36" i="1"/>
  <c r="H36" i="1" s="1"/>
  <c r="I36" i="1"/>
  <c r="J36" i="1" s="1"/>
  <c r="N36" i="1"/>
  <c r="AB36" i="1"/>
  <c r="AD36" i="1"/>
  <c r="AF36" i="1"/>
  <c r="G37" i="1"/>
  <c r="H37" i="1"/>
  <c r="K37" i="1" s="1"/>
  <c r="I37" i="1"/>
  <c r="J37" i="1"/>
  <c r="L37" i="1"/>
  <c r="V37" i="1" s="1"/>
  <c r="N37" i="1"/>
  <c r="AB37" i="1"/>
  <c r="AD37" i="1"/>
  <c r="AF37" i="1" s="1"/>
  <c r="K36" i="1" l="1"/>
  <c r="L36" i="1"/>
  <c r="V36" i="1" s="1"/>
  <c r="P5" i="1" l="1"/>
  <c r="P6" i="1"/>
  <c r="P4" i="1"/>
  <c r="O5" i="1"/>
  <c r="O6" i="1"/>
  <c r="O4" i="1"/>
  <c r="N5" i="1"/>
  <c r="N6" i="1"/>
  <c r="N4" i="1"/>
  <c r="Q5" i="1" l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5" i="1" l="1"/>
  <c r="P35" i="1" s="1"/>
  <c r="Q35" i="1" s="1"/>
  <c r="O34" i="1"/>
  <c r="P34" i="1" s="1"/>
  <c r="Q34" i="1" s="1"/>
  <c r="O36" i="1"/>
  <c r="P36" i="1" s="1"/>
  <c r="Q36" i="1" s="1"/>
  <c r="O37" i="1"/>
  <c r="P37" i="1" s="1"/>
  <c r="Q37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36" i="1" l="1"/>
  <c r="U36" i="1" s="1"/>
  <c r="R36" i="1"/>
  <c r="T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35" i="1" l="1"/>
  <c r="Y34" i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5" i="1" l="1"/>
  <c r="W37" i="1"/>
  <c r="W34" i="1"/>
  <c r="W36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Y31" i="1" l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4" i="1" l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34" i="1" l="1"/>
  <c r="AA34" i="1" s="1"/>
  <c r="Z35" i="1"/>
  <c r="Z32" i="1"/>
  <c r="AA32" i="1" s="1"/>
  <c r="AC32" i="1" s="1"/>
  <c r="AE32" i="1" s="1"/>
  <c r="Z23" i="1"/>
  <c r="Z24" i="1"/>
  <c r="AA24" i="1" s="1"/>
  <c r="Z25" i="1"/>
  <c r="Z31" i="1"/>
  <c r="Z29" i="1"/>
  <c r="Z33" i="1"/>
  <c r="AA33" i="1" s="1"/>
  <c r="Z27" i="1"/>
  <c r="Z26" i="1"/>
  <c r="AA26" i="1" s="1"/>
  <c r="Z30" i="1"/>
  <c r="AA28" i="1"/>
  <c r="AA35" i="1"/>
  <c r="AA25" i="1"/>
  <c r="AC25" i="1" s="1"/>
  <c r="AE25" i="1" s="1"/>
  <c r="AA27" i="1"/>
  <c r="AA30" i="1"/>
  <c r="AC30" i="1" s="1"/>
  <c r="AE30" i="1" s="1"/>
  <c r="AA29" i="1"/>
  <c r="AA31" i="1"/>
  <c r="AA23" i="1"/>
  <c r="AC28" i="1"/>
  <c r="AE28" i="1" s="1"/>
  <c r="AC29" i="1"/>
  <c r="AE29" i="1" s="1"/>
  <c r="AC31" i="1"/>
  <c r="AE31" i="1" s="1"/>
  <c r="AC27" i="1"/>
  <c r="AE27" i="1" s="1"/>
  <c r="AC23" i="1"/>
  <c r="AE23" i="1" s="1"/>
  <c r="AB23" i="1"/>
  <c r="AC34" i="1" l="1"/>
  <c r="AE34" i="1" s="1"/>
  <c r="AC26" i="1"/>
  <c r="AE26" i="1" s="1"/>
  <c r="AC24" i="1"/>
  <c r="AE24" i="1" s="1"/>
  <c r="AA36" i="1"/>
  <c r="AC36" i="1"/>
  <c r="AE36" i="1" s="1"/>
  <c r="AA37" i="1"/>
  <c r="AC37" i="1"/>
  <c r="AE37" i="1" s="1"/>
  <c r="AA22" i="1"/>
  <c r="AC22" i="1"/>
  <c r="AA21" i="1"/>
  <c r="AC21" i="1"/>
  <c r="AB35" i="1"/>
  <c r="AC33" i="1"/>
  <c r="AE33" i="1" s="1"/>
  <c r="AC35" i="1"/>
  <c r="AE35" i="1" s="1"/>
  <c r="AB34" i="1"/>
  <c r="AB32" i="1"/>
  <c r="AB33" i="1"/>
  <c r="AB28" i="1"/>
  <c r="AB27" i="1"/>
  <c r="AB29" i="1"/>
  <c r="AB26" i="1"/>
  <c r="AB24" i="1"/>
  <c r="AB31" i="1"/>
  <c r="AB25" i="1"/>
  <c r="AB30" i="1"/>
  <c r="AI33" i="1" l="1"/>
  <c r="AJ33" i="1" s="1"/>
  <c r="AI34" i="1"/>
  <c r="AJ34" i="1" s="1"/>
  <c r="AI32" i="1"/>
  <c r="AJ32" i="1" s="1"/>
  <c r="AI23" i="1"/>
  <c r="AI26" i="1"/>
  <c r="AJ26" i="1" s="1"/>
  <c r="AI25" i="1"/>
  <c r="AJ25" i="1" s="1"/>
  <c r="AI24" i="1"/>
  <c r="AJ24" i="1" s="1"/>
  <c r="AI28" i="1"/>
  <c r="AJ28" i="1" s="1"/>
  <c r="AI29" i="1"/>
  <c r="AJ29" i="1" s="1"/>
  <c r="AI30" i="1"/>
  <c r="AJ30" i="1" s="1"/>
  <c r="AI31" i="1"/>
  <c r="AJ31" i="1" s="1"/>
  <c r="AI27" i="1"/>
  <c r="AJ27" i="1" s="1"/>
  <c r="AC9" i="1"/>
  <c r="AJ23" i="1"/>
  <c r="AC10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<sst xmlns="http://schemas.openxmlformats.org/spreadsheetml/2006/main" count="105" uniqueCount="92">
  <si>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</si>
  <si>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</si>
  <si>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</si>
  <si>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</si>
  <si>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</si>
  <si>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</si>
  <si>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</si>
  <si>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</si>
  <si>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</si>
  <si>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</si>
  <si>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</si>
  <si>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</si>
  <si>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</si>
  <si>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</si>
  <si>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</si>
  <si>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</si>
  <si>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</si>
  <si>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</si>
  <si>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</si>
  <si>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</si>
  <si>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</si>
  <si>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</si>
  <si>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</si>
  <si>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</si>
  <si>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</si>
  <si>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</si>
  <si>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</si>
  <si>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</si>
  <si>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</si>
  <si>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</si>
  <si>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</si>
  <si>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</si>
  <si>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</si>
  <si>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</si>
  <si>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</si>
  <si>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</si>
  <si>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</si>
  <si>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</si>
  <si>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</si>
  <si>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</si>
  <si>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</si>
  <si>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</si>
  <si>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</si>
  <si>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</si>
  <si>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</si>
  <si>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</si>
  <si>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</si>
  <si>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</si>
  <si>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</si>
  <si>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</si>
  <si>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</si>
  <si>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</si>
  <si>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</si>
  <si>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</si>
  <si>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</si>
  <si>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</si>
  <si>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</si>
  <si>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</si>
  <si>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</si>
  <si>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</si>
  <si>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</si>
  <si>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</si>
  <si>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</si>
  <si>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</si>
  <si>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</si>
  <si>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</si>
  <si>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</si>
  <si>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</si>
  <si>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</si>
  <si>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</si>
  <si>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</si>
  <si>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</si>
  <si>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</si>
  <si>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</si>
  <si>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</si>
  <si>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</si>
  <si>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</si>
  <si>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</si>
  <si>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</si>
  <si>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</si>
  <si>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</si>
  <si>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</si>
  <si>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</si>
  <si>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</si>
  <si>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</si>
  <si>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</si>
  <si>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CSS14</t>
  </si>
  <si>
    <t>1,455976.835,1081139.635,1224.755,1224.755,</t>
  </si>
  <si>
    <t>2,455955.879,1081134.754,1224.723,1224.723,</t>
  </si>
  <si>
    <t>3,455968.362,1081121.130,1224.797,1224.797,</t>
  </si>
  <si>
    <t>ISLAND RT</t>
  </si>
  <si>
    <t>DISLAND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</si>
</sst>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7.07</c:v>
                </c:pt>
                <c:pt idx="2">
                  <c:v>9.69</c:v>
                </c:pt>
                <c:pt idx="3">
                  <c:v>11.6</c:v>
                </c:pt>
                <c:pt idx="4">
                  <c:v>41.46</c:v>
                </c:pt>
                <c:pt idx="5">
                  <c:v>75.11</c:v>
                </c:pt>
                <c:pt idx="6">
                  <c:v>132.91999999999999</c:v>
                </c:pt>
                <c:pt idx="7">
                  <c:v>208.39</c:v>
                </c:pt>
                <c:pt idx="8">
                  <c:v>269.76</c:v>
                </c:pt>
                <c:pt idx="9">
                  <c:v>280.69</c:v>
                </c:pt>
                <c:pt idx="10">
                  <c:v>281.25</c:v>
                </c:pt>
                <c:pt idx="11">
                  <c:v>281.41000000000003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6.24</c:v>
                </c:pt>
                <c:pt idx="1">
                  <c:v>3.58</c:v>
                </c:pt>
                <c:pt idx="2">
                  <c:v>1.55</c:v>
                </c:pt>
                <c:pt idx="3">
                  <c:v>0</c:v>
                </c:pt>
                <c:pt idx="4">
                  <c:v>1.55</c:v>
                </c:pt>
                <c:pt idx="5">
                  <c:v>4.05</c:v>
                </c:pt>
                <c:pt idx="6">
                  <c:v>1.76</c:v>
                </c:pt>
                <c:pt idx="7">
                  <c:v>0.66</c:v>
                </c:pt>
                <c:pt idx="8">
                  <c:v>0.19</c:v>
                </c:pt>
                <c:pt idx="9">
                  <c:v>1.8</c:v>
                </c:pt>
                <c:pt idx="10">
                  <c:v>3.41</c:v>
                </c:pt>
                <c:pt idx="11">
                  <c:v>5.52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Calculations!$R$23:$R$35</c:f>
              <c:numCache>
                <c:formatCode>0.00</c:formatCode>
                <c:ptCount val="13"/>
                <c:pt idx="0">
                  <c:v>0.24448446483418662</c:v>
                </c:pt>
                <c:pt idx="1">
                  <c:v>-1.3542906896693088E-2</c:v>
                </c:pt>
                <c:pt idx="2">
                  <c:v>-0.25745513799052744</c:v>
                </c:pt>
                <c:pt idx="3">
                  <c:v>-0.24779284057453604</c:v>
                </c:pt>
                <c:pt idx="4">
                  <c:v>0.27266860112755692</c:v>
                </c:pt>
                <c:pt idx="5">
                  <c:v>-12.43972430761953</c:v>
                </c:pt>
                <c:pt idx="6">
                  <c:v>14.071199613714494</c:v>
                </c:pt>
                <c:pt idx="7">
                  <c:v>-2.0788136303980882</c:v>
                </c:pt>
                <c:pt idx="8">
                  <c:v>-5.7487663138132934</c:v>
                </c:pt>
                <c:pt idx="9">
                  <c:v>-7.6622577215773964</c:v>
                </c:pt>
                <c:pt idx="10">
                  <c:v>-21.551178275329953</c:v>
                </c:pt>
                <c:pt idx="11">
                  <c:v>-21.792734976820782</c:v>
                </c:pt>
                <c:pt idx="12">
                  <c:v>-21.841454890844851</c:v>
                </c:pt>
              </c:numCache>
            </c:numRef>
          </c:xVal>
          <c:yVal>
            <c:numRef>
              <c:f>Calculations!$S$23:$S$35</c:f>
              <c:numCache>
                <c:formatCode>0.00</c:formatCode>
                <c:ptCount val="13"/>
                <c:pt idx="0">
                  <c:v>3.8622289361248558</c:v>
                </c:pt>
                <c:pt idx="1">
                  <c:v>6.0786143777589192</c:v>
                </c:pt>
                <c:pt idx="2">
                  <c:v>6.8395773236274922</c:v>
                </c:pt>
                <c:pt idx="3">
                  <c:v>7.4723004023024098</c:v>
                </c:pt>
                <c:pt idx="4">
                  <c:v>17.467998994650102</c:v>
                </c:pt>
                <c:pt idx="5">
                  <c:v>18.997918426568042</c:v>
                </c:pt>
                <c:pt idx="6">
                  <c:v>33.979989469957843</c:v>
                </c:pt>
                <c:pt idx="7">
                  <c:v>46.527916104180889</c:v>
                </c:pt>
                <c:pt idx="8">
                  <c:v>69.821839245091837</c:v>
                </c:pt>
                <c:pt idx="9">
                  <c:v>89.185594801644399</c:v>
                </c:pt>
                <c:pt idx="10">
                  <c:v>87.257408981829485</c:v>
                </c:pt>
                <c:pt idx="11">
                  <c:v>87.345361450855108</c:v>
                </c:pt>
                <c:pt idx="12">
                  <c:v>87.380092520438893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Calculations!$Z$21:$Z$37</c:f>
              <c:numCache>
                <c:formatCode>0.00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1081149.0712600604</c:v>
                </c:pt>
                <c:pt idx="3">
                  <c:v>1081148.2761486764</c:v>
                </c:pt>
                <c:pt idx="4">
                  <c:v>1081147.9820192284</c:v>
                </c:pt>
                <c:pt idx="5">
                  <c:v>1081147.7663750909</c:v>
                </c:pt>
                <c:pt idx="6">
                  <c:v>1081144.4097105935</c:v>
                </c:pt>
                <c:pt idx="7">
                  <c:v>#N/A</c:v>
                </c:pt>
                <c:pt idx="8">
                  <c:v>1081140.6258063144</c:v>
                </c:pt>
                <c:pt idx="9">
                  <c:v>1081134.1250927907</c:v>
                </c:pt>
                <c:pt idx="10">
                  <c:v>1081125.6381729115</c:v>
                </c:pt>
                <c:pt idx="11">
                  <c:v>1081118.7379570047</c:v>
                </c:pt>
                <c:pt idx="12">
                  <c:v>1081117.5088079416</c:v>
                </c:pt>
                <c:pt idx="13">
                  <c:v>1081117.4457727403</c:v>
                </c:pt>
                <c:pt idx="14">
                  <c:v>1081117.4272326303</c:v>
                </c:pt>
                <c:pt idx="15">
                  <c:v>#N/A</c:v>
                </c:pt>
                <c:pt idx="16">
                  <c:v>#N/A</c:v>
                </c:pt>
              </c:numCache>
            </c:numRef>
          </c:xVal>
          <c:yVal>
            <c:numRef>
              <c:f>Calculations!$AA$21:$AA$37</c:f>
              <c:numCache>
                <c:formatCode>0.00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455984.34562253207</c:v>
                </c:pt>
                <c:pt idx="3">
                  <c:v>455986.348828936</c:v>
                </c:pt>
                <c:pt idx="4">
                  <c:v>455987.08985969704</c:v>
                </c:pt>
                <c:pt idx="5">
                  <c:v>455987.63315429166</c:v>
                </c:pt>
                <c:pt idx="6">
                  <c:v>455996.08994657686</c:v>
                </c:pt>
                <c:pt idx="7">
                  <c:v>#N/A</c:v>
                </c:pt>
                <c:pt idx="8">
                  <c:v>456005.62312826328</c:v>
                </c:pt>
                <c:pt idx="9">
                  <c:v>456022.00104867062</c:v>
                </c:pt>
                <c:pt idx="10">
                  <c:v>456043.3830243228</c:v>
                </c:pt>
                <c:pt idx="11">
                  <c:v>456060.76745243277</c:v>
                </c:pt>
                <c:pt idx="12">
                  <c:v>456063.86417488521</c:v>
                </c:pt>
                <c:pt idx="13">
                  <c:v>456064.02298599202</c:v>
                </c:pt>
                <c:pt idx="14">
                  <c:v>456064.06969601009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52"/>
        <c:axId val="148318464"/>
      </c:scatterChart>
      <c:valAx>
        <c:axId val="14832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18464"/>
        <c:crosses val="autoZero"/>
        <c:crossBetween val="midCat"/>
      </c:valAx>
      <c:valAx>
        <c:axId val="1483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666497</xdr:colOff>
      <xdr:row>39</xdr:row>
      <xdr:rowOff>146162</xdr:rowOff>
    </xdr:from>
    <xdr:to>
      <xdr:col>34</xdr:col>
      <xdr:colOff>235068</xdr:colOff>
      <xdr:row>54</xdr:row>
      <xdr:rowOff>31862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56030</xdr:colOff>
      <xdr:row>39</xdr:row>
      <xdr:rowOff>154664</xdr:rowOff>
    </xdr:from>
    <xdr:to>
      <xdr:col>21</xdr:col>
      <xdr:colOff>4159</xdr:colOff>
      <xdr:row>54</xdr:row>
      <xdr:rowOff>40364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268942</xdr:colOff>
      <xdr:row>39</xdr:row>
      <xdr:rowOff>174812</xdr:rowOff>
    </xdr:from>
    <xdr:to>
      <xdr:col>27</xdr:col>
      <xdr:colOff>481854</xdr:colOff>
      <xdr:row>54</xdr:row>
      <xdr:rowOff>60512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>
        <v>40825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1.383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-2.5194035005234414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1081139.635</v>
      </c>
      <c r="O4" s="20">
        <f>VALUE(MID(C10,FIND(",",C10,1)+1,FIND(",",C10,5)-FIND(",",C10,1)-1))</f>
        <v>455976.83500000002</v>
      </c>
      <c r="P4" s="20">
        <f>VALUE(MID(C10,FIND(",",C10,17)+1,FIND(",",C10,27)-FIND(",",C10,17)-1))</f>
        <v>1224.7550000000001</v>
      </c>
      <c r="Q4" s="23"/>
      <c r="R4" s="22"/>
      <c r="W4" s="27"/>
      <c r="X4" s="20">
        <f ca="1">VALUE(OFFSET($P$3,MATCH($O$10,$M$4:$M$6,0),0))</f>
        <v>1224.723</v>
      </c>
      <c r="Y4" s="20">
        <f ca="1">OFFSET($P$3,MATCH($Q$10,$M$4:$M$6,0),0)</f>
        <v>1224.797</v>
      </c>
      <c r="Z4" s="2"/>
      <c r="AA4" s="26" t="s">
        <v>41</v>
      </c>
      <c r="AB4" s="26" t="s">
        <v>54</v>
      </c>
      <c r="AC4" s="28">
        <f ca="1">INTERCEPT(yB,xB)</f>
        <v>3179835.1003427957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1081134.754</v>
      </c>
      <c r="O5" s="20">
        <f t="shared" ref="O5:O6" si="1">VALUE(MID(C11,FIND(",",C11,1)+1,FIND(",",C11,5)-FIND(",",C11,1)-1))</f>
        <v>455955.87900000002</v>
      </c>
      <c r="P5" s="20">
        <f t="shared" ref="P5:P6" si="2">VALUE(MID(C11,FIND(",",C11,17)+1,FIND(",",C11,27)-FIND(",",C11,17)-1))</f>
        <v>1224.723</v>
      </c>
      <c r="Q5" s="24">
        <f>DEGREES(ATAN2(Old_Y1-Old_Y0,Old_X1-Old_X0))+IF(Old_X1-Old_X0&lt;0,360)</f>
        <v>193.11137531038784</v>
      </c>
      <c r="R5" s="22"/>
      <c r="W5" s="21"/>
      <c r="X5" s="20">
        <f ca="1">VALUE(OFFSET($V$20,MATCH($O11,$A$21:$A$51,0),0))</f>
        <v>1224.2847414518108</v>
      </c>
      <c r="Y5" s="20">
        <f ca="1">OFFSET($V$20,MATCH($Q11,$A$21:$A$51,0),0)</f>
        <v>1224.3642336543812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1081121.1299999999</v>
      </c>
      <c r="O6" s="20">
        <f t="shared" si="1"/>
        <v>455968.36200000002</v>
      </c>
      <c r="P6" s="20">
        <f t="shared" si="2"/>
        <v>1224.797</v>
      </c>
      <c r="Q6" s="24">
        <f>DEGREES(ATAN2(Old_Y2-Old_Y0,Old_X2-Old_X0))+IF(Old_X2-Old_X0&lt;0,360)</f>
        <v>245.3980814913391</v>
      </c>
      <c r="R6" s="22"/>
      <c r="W6" s="21"/>
      <c r="X6" s="20">
        <f ca="1">VALUE(OFFSET($V$20,MATCH($O12,$A$21:$A$61,0),0))</f>
        <v>1224.2805142096181</v>
      </c>
      <c r="Y6" s="20">
        <f ca="1">VALUE(OFFSET($V$20,MATCH($O12,$A$21:$A$61,0),0))</f>
        <v>1224.2805142096181</v>
      </c>
      <c r="Z6" s="5"/>
      <c r="AA6" s="26" t="s">
        <v>42</v>
      </c>
      <c r="AB6" s="21" t="s">
        <v>55</v>
      </c>
      <c r="AC6" s="20">
        <f ca="1">-1/mA</f>
        <v>0.39691935007323598</v>
      </c>
    </row>
    <row r="7" spans="1:29" x14ac:dyDescent="0.25">
      <c r="A7" s="62" t="s">
        <v>18</v>
      </c>
      <c r="B7" s="62"/>
      <c r="C7" s="38">
        <v>15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-0.43825854818919652</v>
      </c>
      <c r="Y8" s="20">
        <f ca="1">Y5-Y4</f>
        <v>-0.43276634561880201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-0.44248579038185198</v>
      </c>
      <c r="Y9" s="20">
        <f ca="1">Y6-Y4</f>
        <v>-0.51648579038192111</v>
      </c>
      <c r="AA9" s="31" t="s">
        <v>49</v>
      </c>
      <c r="AB9" s="31"/>
      <c r="AC9" s="20">
        <f ca="1">AVERAGE(DfromL)</f>
        <v>7.0528620398733919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193.11137531038784</v>
      </c>
      <c r="Q10" s="32">
        <v>2</v>
      </c>
      <c r="R10" s="20">
        <f ca="1">OFFSET($Q$3,MATCH($O$10,$M$4:$M$6,0),0)</f>
        <v>193.11137531038784</v>
      </c>
      <c r="W10" s="22"/>
      <c r="X10" s="22"/>
      <c r="Y10" s="22"/>
      <c r="AA10" s="31" t="s">
        <v>50</v>
      </c>
      <c r="AB10" s="31"/>
      <c r="AC10" s="20">
        <f ca="1">_xlfn.STDEV.P(DfromL)</f>
        <v>4.7603102535571855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0</v>
      </c>
      <c r="Q11" s="32">
        <v>2</v>
      </c>
      <c r="R11" s="20">
        <f ca="1">OFFSET($N$20,MATCH($Q11,$A$21:$A$51,0),0)</f>
        <v>51.552499999999995</v>
      </c>
      <c r="W11" s="21" t="s">
        <v>37</v>
      </c>
      <c r="X11" s="20">
        <f ca="1">AVERAGE(X8:Y9)</f>
        <v>-0.4574991186429429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16</v>
      </c>
      <c r="P12" s="20">
        <f ca="1">OFFSET($N$20,MATCH($O12,$A$21:$A$61,0),0)</f>
        <v>1.5833333333333331E-2</v>
      </c>
      <c r="Q12" s="32">
        <v>17</v>
      </c>
      <c r="R12" s="20">
        <f ca="1">OFFSET($N$20,MATCH($Q12,$A$21:$A$51,0),0)</f>
        <v>51.564444444444447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1222.1973970654019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193.11137531038784</v>
      </c>
      <c r="Q14" s="20"/>
      <c r="R14" s="20">
        <f ca="1">R10-R11+IF(R11&gt;R10,360)</f>
        <v>141.55887531038786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193.09554197705449</v>
      </c>
      <c r="Q15" s="20"/>
      <c r="R15" s="20">
        <f ca="1">R10-R12+IF(R12&gt;R10,360)</f>
        <v>141.54693086594341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167.32818086594341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3.7903935185185187</v>
      </c>
      <c r="D21" s="44">
        <v>21.352</v>
      </c>
      <c r="E21" s="44">
        <v>1.492</v>
      </c>
      <c r="F21" s="49" t="s">
        <v>85</v>
      </c>
      <c r="G21" s="43">
        <f>C21*24</f>
        <v>90.969444444444449</v>
      </c>
      <c r="H21" s="43">
        <f>RADIANS(G21)</f>
        <v>1.5877163242656194</v>
      </c>
      <c r="I21" s="43">
        <f t="shared" ref="I21:I34" si="3">B21*24</f>
        <v>0</v>
      </c>
      <c r="J21" s="39">
        <f>RADIANS(I21)</f>
        <v>0</v>
      </c>
      <c r="K21" s="39">
        <f>D21*SIN(H21)</f>
        <v>21.34894368022362</v>
      </c>
      <c r="L21" s="15">
        <f>D21*COS(H21)</f>
        <v>-0.36125854818941183</v>
      </c>
      <c r="M21" s="13"/>
      <c r="N21" s="16">
        <f t="shared" ref="N21:N34" si="4">I21+M21</f>
        <v>0</v>
      </c>
      <c r="O21" s="16">
        <f ca="1">$O$17</f>
        <v>167.32818086594341</v>
      </c>
      <c r="P21" s="16">
        <f ca="1">SUM(N21,O21)</f>
        <v>167.32818086594341</v>
      </c>
      <c r="Q21" s="16">
        <f ca="1">RADIANS(P21)</f>
        <v>2.9204276874832891</v>
      </c>
      <c r="R21" s="16">
        <f t="shared" ref="R21:R34" ca="1" si="5">K21*SIN(Q21)</f>
        <v>4.6832401117489146</v>
      </c>
      <c r="S21" s="16">
        <f t="shared" ref="S21:S34" ca="1" si="6">K21*COS(Q21)</f>
        <v>-20.828938002621882</v>
      </c>
      <c r="T21" s="13">
        <f t="shared" ref="T21:T34" ca="1" si="7">Old_X0+R21</f>
        <v>1081144.3182401117</v>
      </c>
      <c r="U21" s="13">
        <f t="shared" ref="U21:U34" ca="1" si="8">Old_Y0+S21</f>
        <v>455956.00606199738</v>
      </c>
      <c r="V21" s="16">
        <f t="shared" ref="V21:V34" si="9">Old_Z0+HI+L21-E21</f>
        <v>1224.2847414518108</v>
      </c>
      <c r="W21" s="16">
        <f t="shared" ref="W21:W34" ca="1" si="10">IF(ISNUMBER(T21),V21+dZ,"")</f>
        <v>1223.8272423331678</v>
      </c>
      <c r="X21" s="16" t="str">
        <f>IF(AND(A21&gt;=CS_Start,A21&lt;=CS_End),IF(OR(LEFT(UPPER(F21))="D"),"",T21),"")</f>
        <v/>
      </c>
      <c r="Y21" s="16" t="str">
        <f>IF(ISNUMBER(X21),U21,"")</f>
        <v/>
      </c>
      <c r="Z21" s="16" t="e">
        <f>IF(X21="",NA(),VALUE((-mB*X21+Y21-bA)/(mA-mB)))</f>
        <v>#N/A</v>
      </c>
      <c r="AA21" s="16" t="e">
        <f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1">IF(ISNUMBER(Z21),SQRT(($Z21-OFFSET($Z$20,MATCH(CS_Start,$A$21:$A$51,0),0))^2+($AA21-OFFSET($AA$20,MATCH(CS_Start,$A$21:$A$51,0),0))^2),"")</f>
        <v/>
      </c>
      <c r="AD21" s="16" t="str">
        <f t="shared" ref="AD21:AD23" si="12">IF(ISNUMBER(X21),W21-Min_Z,"")</f>
        <v/>
      </c>
    </row>
    <row r="22" spans="1:36" x14ac:dyDescent="0.25">
      <c r="A22" s="44">
        <v>2</v>
      </c>
      <c r="B22" s="48">
        <v>2.1480208333333333</v>
      </c>
      <c r="C22" s="48">
        <v>3.7818055555555556</v>
      </c>
      <c r="D22" s="44">
        <v>21.15</v>
      </c>
      <c r="E22" s="44">
        <v>1.492</v>
      </c>
      <c r="F22" s="44"/>
      <c r="G22" s="43">
        <f t="shared" ref="G22:G34" si="13">C22*24</f>
        <v>90.763333333333335</v>
      </c>
      <c r="H22" s="43">
        <f t="shared" ref="H22:H34" si="14">RADIANS(G22)</f>
        <v>1.5841190067517867</v>
      </c>
      <c r="I22" s="43">
        <f t="shared" si="3"/>
        <v>51.552499999999995</v>
      </c>
      <c r="J22" s="39">
        <f t="shared" ref="J22:J34" si="15">RADIANS(I22)</f>
        <v>0.8997608626343766</v>
      </c>
      <c r="K22" s="39">
        <f t="shared" ref="K22:K34" si="16">D22*SIN(H22)</f>
        <v>21.14812303081473</v>
      </c>
      <c r="L22" s="15">
        <f t="shared" ref="L22:L34" si="17">D22*COS(H22)</f>
        <v>-0.28176634561899477</v>
      </c>
      <c r="M22" s="13"/>
      <c r="N22" s="16">
        <f t="shared" si="4"/>
        <v>51.552499999999995</v>
      </c>
      <c r="O22" s="16">
        <f t="shared" ref="O22:O39" ca="1" si="18">$O$17</f>
        <v>167.32818086594341</v>
      </c>
      <c r="P22" s="16">
        <f t="shared" ref="P22:P34" ca="1" si="19">SUM(N22,O22)</f>
        <v>218.88068086594342</v>
      </c>
      <c r="Q22" s="16">
        <f t="shared" ref="Q22:Q34" ca="1" si="20">RADIANS(P22)</f>
        <v>3.820188550117666</v>
      </c>
      <c r="R22" s="16">
        <f t="shared" ca="1" si="5"/>
        <v>-13.274689768846283</v>
      </c>
      <c r="S22" s="16">
        <f t="shared" ca="1" si="6"/>
        <v>-16.462858781735456</v>
      </c>
      <c r="T22" s="13">
        <f t="shared" ca="1" si="7"/>
        <v>1081126.3603102311</v>
      </c>
      <c r="U22" s="13">
        <f t="shared" ca="1" si="8"/>
        <v>455960.37214121828</v>
      </c>
      <c r="V22" s="16">
        <f t="shared" si="9"/>
        <v>1224.3642336543812</v>
      </c>
      <c r="W22" s="16">
        <f t="shared" ca="1" si="10"/>
        <v>1223.9067345357382</v>
      </c>
      <c r="X22" s="47" t="str">
        <f>IF(AND(A22&gt;=CS_Start,A22&lt;=CS_End),IF(OR(LEFT(UPPER(F22))="D"),"",T22),"")</f>
        <v/>
      </c>
      <c r="Y22" s="47" t="str">
        <f t="shared" ref="Y22:Y37" si="21">IF(ISNUMBER(X22),U22,"")</f>
        <v/>
      </c>
      <c r="Z22" s="47" t="e">
        <f>IF(X22="",NA(),VALUE((-mB*X22+Y22-bA)/(mA-mB)))</f>
        <v>#N/A</v>
      </c>
      <c r="AA22" s="47" t="e">
        <f>IF(ISNA(Z22),NA(),VALUE(mA*Z22+bA))</f>
        <v>#N/A</v>
      </c>
      <c r="AB22" s="16" t="str">
        <f t="shared" ref="AB22:AB23" si="22">IF(ISNUMBER(X22),SQRT((X22-Z22)^2+(Y22-AA22)^2),"")</f>
        <v/>
      </c>
      <c r="AC22" s="16" t="str">
        <f t="shared" ca="1" si="11"/>
        <v/>
      </c>
      <c r="AD22" s="16" t="str">
        <f t="shared" si="12"/>
        <v/>
      </c>
    </row>
    <row r="23" spans="1:36" x14ac:dyDescent="0.25">
      <c r="A23" s="44">
        <v>3</v>
      </c>
      <c r="B23" s="48">
        <v>8.178912037037037</v>
      </c>
      <c r="C23" s="48">
        <v>3.8053587962962965</v>
      </c>
      <c r="D23" s="49">
        <v>3.871</v>
      </c>
      <c r="E23" s="44">
        <v>1.492</v>
      </c>
      <c r="F23" s="44"/>
      <c r="G23" s="43">
        <f t="shared" si="13"/>
        <v>91.328611111111115</v>
      </c>
      <c r="H23" s="43">
        <f t="shared" si="14"/>
        <v>1.5939849651623659</v>
      </c>
      <c r="I23" s="43">
        <f t="shared" si="3"/>
        <v>196.29388888888889</v>
      </c>
      <c r="J23" s="39">
        <f t="shared" si="15"/>
        <v>3.4259746626550247</v>
      </c>
      <c r="K23" s="39">
        <f t="shared" si="16"/>
        <v>3.8699593032208228</v>
      </c>
      <c r="L23" s="15">
        <f t="shared" si="17"/>
        <v>-8.975517486253573E-2</v>
      </c>
      <c r="M23" s="13"/>
      <c r="N23" s="16">
        <f t="shared" si="4"/>
        <v>196.29388888888889</v>
      </c>
      <c r="O23" s="16">
        <f t="shared" ca="1" si="18"/>
        <v>167.32818086594341</v>
      </c>
      <c r="P23" s="16">
        <f t="shared" ca="1" si="19"/>
        <v>363.6220697548323</v>
      </c>
      <c r="Q23" s="16">
        <f t="shared" ca="1" si="20"/>
        <v>6.3464023501383133</v>
      </c>
      <c r="R23" s="16">
        <f t="shared" ca="1" si="5"/>
        <v>0.24448446483418662</v>
      </c>
      <c r="S23" s="16">
        <f t="shared" ca="1" si="6"/>
        <v>3.8622289361248558</v>
      </c>
      <c r="T23" s="13">
        <f t="shared" ca="1" si="7"/>
        <v>1081139.8794844649</v>
      </c>
      <c r="U23" s="13">
        <f t="shared" ca="1" si="8"/>
        <v>455980.69722893613</v>
      </c>
      <c r="V23" s="16">
        <f t="shared" si="9"/>
        <v>1224.5562448251376</v>
      </c>
      <c r="W23" s="16">
        <f t="shared" ca="1" si="10"/>
        <v>1224.0987457064946</v>
      </c>
      <c r="X23" s="47">
        <f ca="1">IF(AND(A23&gt;=CS_Start,A23&lt;=CS_End),IF(OR(LEFT(UPPER(F23))="D"),"",T23),"")</f>
        <v>1081139.8794844649</v>
      </c>
      <c r="Y23" s="47">
        <f t="shared" ca="1" si="21"/>
        <v>455980.69722893613</v>
      </c>
      <c r="Z23" s="47">
        <f ca="1">IF(X23="",NA(),VALUE((-mB*X23+Y23-bA)/(mA-mB)))</f>
        <v>1081149.0712600604</v>
      </c>
      <c r="AA23" s="47">
        <f ca="1">IF(ISNA(Z23),NA(),VALUE(mA*Z23+bA))</f>
        <v>455984.34562253207</v>
      </c>
      <c r="AB23" s="16">
        <f t="shared" ca="1" si="22"/>
        <v>9.889363701957711</v>
      </c>
      <c r="AC23" s="16">
        <f t="shared" ca="1" si="11"/>
        <v>0</v>
      </c>
      <c r="AD23" s="16">
        <f t="shared" ca="1" si="12"/>
        <v>1.9013486410926816</v>
      </c>
      <c r="AE23" s="2">
        <f ca="1">ROUND(CONVERT(AC23,"m","ft"),2)</f>
        <v>0</v>
      </c>
      <c r="AF23" s="2">
        <f ca="1">ROUND(CONVERT(AD23,"m","ft"),2)</f>
        <v>6.24</v>
      </c>
      <c r="AH23" s="44">
        <v>0</v>
      </c>
      <c r="AI23" s="2">
        <f ca="1">OFFSET($AF$22,MATCH(AH23,$AE$23:$AE$59,0),0)</f>
        <v>6.24</v>
      </c>
      <c r="AJ23" s="2" t="str">
        <f t="shared" ref="AJ23:AJ31" ca="1" si="23">CONCATENATE(AH23,",",AI23)</f>
        <v>0,6.24</v>
      </c>
    </row>
    <row r="24" spans="1:36" x14ac:dyDescent="0.25">
      <c r="A24" s="44">
        <v>4</v>
      </c>
      <c r="B24" s="48">
        <v>8.0226736111111112</v>
      </c>
      <c r="C24" s="48">
        <v>4.1011921296296299</v>
      </c>
      <c r="D24" s="44">
        <v>6.1449999999999996</v>
      </c>
      <c r="E24" s="44">
        <v>1.492</v>
      </c>
      <c r="F24" s="44"/>
      <c r="G24" s="43">
        <f t="shared" si="13"/>
        <v>98.42861111111111</v>
      </c>
      <c r="H24" s="43">
        <f t="shared" si="14"/>
        <v>1.7179033420539631</v>
      </c>
      <c r="I24" s="43">
        <f t="shared" si="3"/>
        <v>192.54416666666668</v>
      </c>
      <c r="J24" s="39">
        <f t="shared" si="15"/>
        <v>3.360529663842049</v>
      </c>
      <c r="K24" s="39">
        <f t="shared" si="16"/>
        <v>6.0786294642645116</v>
      </c>
      <c r="L24" s="15">
        <f t="shared" si="17"/>
        <v>-0.90071573549890094</v>
      </c>
      <c r="M24" s="13"/>
      <c r="N24" s="16">
        <f t="shared" si="4"/>
        <v>192.54416666666668</v>
      </c>
      <c r="O24" s="16">
        <f t="shared" ca="1" si="18"/>
        <v>167.32818086594341</v>
      </c>
      <c r="P24" s="16">
        <f t="shared" ca="1" si="19"/>
        <v>359.87234753261009</v>
      </c>
      <c r="Q24" s="16">
        <f t="shared" ca="1" si="20"/>
        <v>6.2809573513253376</v>
      </c>
      <c r="R24" s="16">
        <f t="shared" ca="1" si="5"/>
        <v>-1.3542906896693088E-2</v>
      </c>
      <c r="S24" s="16">
        <f t="shared" ca="1" si="6"/>
        <v>6.0786143777589192</v>
      </c>
      <c r="T24" s="13">
        <f t="shared" ca="1" si="7"/>
        <v>1081139.6214570932</v>
      </c>
      <c r="U24" s="13">
        <f t="shared" ca="1" si="8"/>
        <v>455982.91361437779</v>
      </c>
      <c r="V24" s="16">
        <f t="shared" si="9"/>
        <v>1223.7452842645014</v>
      </c>
      <c r="W24" s="16">
        <f t="shared" ca="1" si="10"/>
        <v>1223.2877851458584</v>
      </c>
      <c r="X24" s="47">
        <f ca="1">IF(AND(A24&gt;=CS_Start,A24&lt;=CS_End),IF(OR(LEFT(UPPER(F24))="D"),"",T24),"")</f>
        <v>1081139.6214570932</v>
      </c>
      <c r="Y24" s="47">
        <f t="shared" ca="1" si="21"/>
        <v>455982.91361437779</v>
      </c>
      <c r="Z24" s="47">
        <f ca="1">IF(X24="",NA(),VALUE((-mB*X24+Y24-bA)/(mA-mB)))</f>
        <v>1081148.2761486764</v>
      </c>
      <c r="AA24" s="47">
        <f ca="1">IF(ISNA(Z24),NA(),VALUE(mA*Z24+bA))</f>
        <v>455986.348828936</v>
      </c>
      <c r="AB24" s="47">
        <f t="shared" ref="AB24:AB34" ca="1" si="24">IF(ISNUMBER(X24),SQRT((X24-Z24)^2+(Y24-AA24)^2),"")</f>
        <v>9.3115189664203903</v>
      </c>
      <c r="AC24" s="47">
        <f t="shared" ref="AC24:AC34" ca="1" si="25">IF(ISNUMBER(Z24),SQRT(($Z24-OFFSET($Z$20,MATCH(CS_Start,$A$21:$A$51,0),0))^2+($AA24-OFFSET($AA$20,MATCH(CS_Start,$A$21:$A$51,0),0))^2),"")</f>
        <v>2.1552350242403735</v>
      </c>
      <c r="AD24" s="47">
        <f t="shared" ref="AD24:AD34" ca="1" si="26">IF(ISNUMBER(X24),W24-Min_Z,"")</f>
        <v>1.0903880804564778</v>
      </c>
      <c r="AE24" s="44">
        <f t="shared" ref="AE24:AE34" ca="1" si="27">ROUND(CONVERT(AC24,"m","ft"),2)</f>
        <v>7.07</v>
      </c>
      <c r="AF24" s="44">
        <f t="shared" ref="AF24:AF34" ca="1" si="28">ROUND(CONVERT(AD24,"m","ft"),2)</f>
        <v>3.58</v>
      </c>
      <c r="AH24" s="44">
        <v>7.07</v>
      </c>
      <c r="AI24" s="44">
        <f t="shared" ref="AI24:AI31" ca="1" si="29">OFFSET($AF$22,MATCH(AH24,$AE$23:$AE$59,0),0)</f>
        <v>3.58</v>
      </c>
      <c r="AJ24" s="2" t="str">
        <f t="shared" ca="1" si="23"/>
        <v>7.07,3.58</v>
      </c>
    </row>
    <row r="25" spans="1:36" x14ac:dyDescent="0.25">
      <c r="A25" s="44">
        <v>5</v>
      </c>
      <c r="B25" s="48">
        <v>7.9381712962962965</v>
      </c>
      <c r="C25" s="48">
        <v>4.2714467592592591</v>
      </c>
      <c r="D25" s="44">
        <v>7.0110000000000001</v>
      </c>
      <c r="E25" s="44">
        <v>1.492</v>
      </c>
      <c r="F25" s="44" t="s">
        <v>84</v>
      </c>
      <c r="G25" s="43">
        <f t="shared" si="13"/>
        <v>102.51472222222222</v>
      </c>
      <c r="H25" s="43">
        <f t="shared" si="14"/>
        <v>1.7892194345451757</v>
      </c>
      <c r="I25" s="43">
        <f t="shared" si="3"/>
        <v>190.51611111111112</v>
      </c>
      <c r="J25" s="39">
        <f t="shared" si="15"/>
        <v>3.3251334169842415</v>
      </c>
      <c r="K25" s="39">
        <f t="shared" si="16"/>
        <v>6.8444211671957422</v>
      </c>
      <c r="L25" s="15">
        <f t="shared" si="17"/>
        <v>-1.5192168660342313</v>
      </c>
      <c r="M25" s="13"/>
      <c r="N25" s="16">
        <f t="shared" si="4"/>
        <v>190.51611111111112</v>
      </c>
      <c r="O25" s="16">
        <f t="shared" ca="1" si="18"/>
        <v>167.32818086594341</v>
      </c>
      <c r="P25" s="16">
        <f t="shared" ca="1" si="19"/>
        <v>357.84429197705452</v>
      </c>
      <c r="Q25" s="16">
        <f t="shared" ca="1" si="20"/>
        <v>6.2455611044675301</v>
      </c>
      <c r="R25" s="16">
        <f t="shared" ca="1" si="5"/>
        <v>-0.25745513799052744</v>
      </c>
      <c r="S25" s="16">
        <f t="shared" ca="1" si="6"/>
        <v>6.8395773236274922</v>
      </c>
      <c r="T25" s="13">
        <f t="shared" ca="1" si="7"/>
        <v>1081139.377544862</v>
      </c>
      <c r="U25" s="13">
        <f t="shared" ca="1" si="8"/>
        <v>455983.67457732366</v>
      </c>
      <c r="V25" s="16">
        <f t="shared" si="9"/>
        <v>1223.126783133966</v>
      </c>
      <c r="W25" s="16">
        <f t="shared" ca="1" si="10"/>
        <v>1222.669284015323</v>
      </c>
      <c r="X25" s="47">
        <f ca="1">IF(AND(A25&gt;=CS_Start,A25&lt;=CS_End),IF(OR(LEFT(UPPER(F25))="D"),"",T25),"")</f>
        <v>1081139.377544862</v>
      </c>
      <c r="Y25" s="47">
        <f t="shared" ca="1" si="21"/>
        <v>455983.67457732366</v>
      </c>
      <c r="Z25" s="47">
        <f ca="1">IF(X25="",NA(),VALUE((-mB*X25+Y25-bA)/(mA-mB)))</f>
        <v>1081147.9820192284</v>
      </c>
      <c r="AA25" s="47">
        <f ca="1">IF(ISNA(Z25),NA(),VALUE(mA*Z25+bA))</f>
        <v>455987.08985969704</v>
      </c>
      <c r="AB25" s="47">
        <f t="shared" ca="1" si="24"/>
        <v>9.2574906325681052</v>
      </c>
      <c r="AC25" s="47">
        <f t="shared" ca="1" si="25"/>
        <v>2.9525045652340007</v>
      </c>
      <c r="AD25" s="47">
        <f t="shared" ca="1" si="26"/>
        <v>0.47188694992109959</v>
      </c>
      <c r="AE25" s="44">
        <f t="shared" ca="1" si="27"/>
        <v>9.69</v>
      </c>
      <c r="AF25" s="44">
        <f t="shared" ca="1" si="28"/>
        <v>1.55</v>
      </c>
      <c r="AH25" s="44">
        <v>9.69</v>
      </c>
      <c r="AI25" s="44">
        <f t="shared" ca="1" si="29"/>
        <v>1.55</v>
      </c>
      <c r="AJ25" s="2" t="str">
        <f t="shared" ca="1" si="23"/>
        <v>9.69,1.55</v>
      </c>
    </row>
    <row r="26" spans="1:36" x14ac:dyDescent="0.25">
      <c r="A26" s="44">
        <v>6</v>
      </c>
      <c r="B26" s="48">
        <v>7.948854166666667</v>
      </c>
      <c r="C26" s="48">
        <v>4.3713657407407407</v>
      </c>
      <c r="D26" s="44">
        <v>7.7370000000000001</v>
      </c>
      <c r="E26" s="44">
        <v>1.492</v>
      </c>
      <c r="F26" s="44"/>
      <c r="G26" s="43">
        <f t="shared" si="13"/>
        <v>104.91277777777778</v>
      </c>
      <c r="H26" s="43">
        <f t="shared" si="14"/>
        <v>1.8310733996353621</v>
      </c>
      <c r="I26" s="43">
        <f t="shared" si="3"/>
        <v>190.77250000000001</v>
      </c>
      <c r="J26" s="39">
        <f t="shared" si="15"/>
        <v>3.3296082472608823</v>
      </c>
      <c r="K26" s="39">
        <f t="shared" si="16"/>
        <v>7.4764078670233571</v>
      </c>
      <c r="L26" s="15">
        <f t="shared" si="17"/>
        <v>-1.9911038159551753</v>
      </c>
      <c r="M26" s="13"/>
      <c r="N26" s="16">
        <f t="shared" si="4"/>
        <v>190.77250000000001</v>
      </c>
      <c r="O26" s="16">
        <f t="shared" ca="1" si="18"/>
        <v>167.32818086594341</v>
      </c>
      <c r="P26" s="16">
        <f t="shared" ca="1" si="19"/>
        <v>358.10068086594345</v>
      </c>
      <c r="Q26" s="16">
        <f t="shared" ca="1" si="20"/>
        <v>6.2500359347441723</v>
      </c>
      <c r="R26" s="16">
        <f t="shared" ca="1" si="5"/>
        <v>-0.24779284057453604</v>
      </c>
      <c r="S26" s="16">
        <f t="shared" ca="1" si="6"/>
        <v>7.4723004023024098</v>
      </c>
      <c r="T26" s="13">
        <f t="shared" ca="1" si="7"/>
        <v>1081139.3872071595</v>
      </c>
      <c r="U26" s="13">
        <f t="shared" ca="1" si="8"/>
        <v>455984.30730040232</v>
      </c>
      <c r="V26" s="16">
        <f t="shared" si="9"/>
        <v>1222.6548961840449</v>
      </c>
      <c r="W26" s="16">
        <f t="shared" ca="1" si="10"/>
        <v>1222.1973970654019</v>
      </c>
      <c r="X26" s="47">
        <f ca="1">IF(AND(A26&gt;=CS_Start,A26&lt;=CS_End),IF(OR(LEFT(UPPER(F26))="D"),"",T26),"")</f>
        <v>1081139.3872071595</v>
      </c>
      <c r="Y26" s="47">
        <f t="shared" ca="1" si="21"/>
        <v>455984.30730040232</v>
      </c>
      <c r="Z26" s="47">
        <f ca="1">IF(X26="",NA(),VALUE((-mB*X26+Y26-bA)/(mA-mB)))</f>
        <v>1081147.7663750909</v>
      </c>
      <c r="AA26" s="47">
        <f ca="1">IF(ISNA(Z26),NA(),VALUE(mA*Z26+bA))</f>
        <v>455987.63315429166</v>
      </c>
      <c r="AB26" s="47">
        <f t="shared" ca="1" si="24"/>
        <v>9.015085097526347</v>
      </c>
      <c r="AC26" s="47">
        <f t="shared" ca="1" si="25"/>
        <v>3.5370312203756891</v>
      </c>
      <c r="AD26" s="47">
        <f t="shared" ca="1" si="26"/>
        <v>0</v>
      </c>
      <c r="AE26" s="44">
        <f t="shared" ca="1" si="27"/>
        <v>11.6</v>
      </c>
      <c r="AF26" s="44">
        <f t="shared" ca="1" si="28"/>
        <v>0</v>
      </c>
      <c r="AH26" s="44">
        <v>11.6</v>
      </c>
      <c r="AI26" s="44">
        <f t="shared" ca="1" si="29"/>
        <v>0</v>
      </c>
      <c r="AJ26" s="2" t="str">
        <f t="shared" ca="1" si="23"/>
        <v>11.6,0</v>
      </c>
    </row>
    <row r="27" spans="1:36" x14ac:dyDescent="0.25">
      <c r="A27" s="44">
        <v>7</v>
      </c>
      <c r="B27" s="48">
        <v>8.0652546296296297</v>
      </c>
      <c r="C27" s="48">
        <v>3.956990740740741</v>
      </c>
      <c r="D27" s="44">
        <v>17.536000000000001</v>
      </c>
      <c r="E27" s="44">
        <v>1.492</v>
      </c>
      <c r="F27" s="44"/>
      <c r="G27" s="43">
        <f t="shared" si="13"/>
        <v>94.967777777777783</v>
      </c>
      <c r="H27" s="43">
        <f t="shared" si="14"/>
        <v>1.6575004055245262</v>
      </c>
      <c r="I27" s="43">
        <f t="shared" si="3"/>
        <v>193.56611111111113</v>
      </c>
      <c r="J27" s="39">
        <f t="shared" si="15"/>
        <v>3.3783659591700688</v>
      </c>
      <c r="K27" s="39">
        <f t="shared" si="16"/>
        <v>17.470126989897292</v>
      </c>
      <c r="L27" s="15">
        <f t="shared" si="17"/>
        <v>-1.5185384278516749</v>
      </c>
      <c r="M27" s="13"/>
      <c r="N27" s="16">
        <f t="shared" si="4"/>
        <v>193.56611111111113</v>
      </c>
      <c r="O27" s="16">
        <f t="shared" ca="1" si="18"/>
        <v>167.32818086594341</v>
      </c>
      <c r="P27" s="16">
        <f t="shared" ca="1" si="19"/>
        <v>360.89429197705454</v>
      </c>
      <c r="Q27" s="16">
        <f t="shared" ca="1" si="20"/>
        <v>6.2987936466533574</v>
      </c>
      <c r="R27" s="16">
        <f t="shared" ca="1" si="5"/>
        <v>0.27266860112755692</v>
      </c>
      <c r="S27" s="16">
        <f t="shared" ca="1" si="6"/>
        <v>17.467998994650102</v>
      </c>
      <c r="T27" s="13">
        <f t="shared" ca="1" si="7"/>
        <v>1081139.907668601</v>
      </c>
      <c r="U27" s="13">
        <f t="shared" ca="1" si="8"/>
        <v>455994.30299899465</v>
      </c>
      <c r="V27" s="16">
        <f t="shared" si="9"/>
        <v>1223.1274615721486</v>
      </c>
      <c r="W27" s="16">
        <f t="shared" ca="1" si="10"/>
        <v>1222.6699624535056</v>
      </c>
      <c r="X27" s="47">
        <f ca="1">IF(AND(A27&gt;=CS_Start,A27&lt;=CS_End),IF(OR(LEFT(UPPER(F27))="D"),"",T27),"")</f>
        <v>1081139.907668601</v>
      </c>
      <c r="Y27" s="47">
        <f t="shared" ca="1" si="21"/>
        <v>455994.30299899465</v>
      </c>
      <c r="Z27" s="47">
        <f ca="1">IF(X27="",NA(),VALUE((-mB*X27+Y27-bA)/(mA-mB)))</f>
        <v>1081144.4097105935</v>
      </c>
      <c r="AA27" s="47">
        <f ca="1">IF(ISNA(Z27),NA(),VALUE(mA*Z27+bA))</f>
        <v>455996.08994657686</v>
      </c>
      <c r="AB27" s="47">
        <f t="shared" ca="1" si="24"/>
        <v>4.8437138399971298</v>
      </c>
      <c r="AC27" s="47">
        <f t="shared" ca="1" si="25"/>
        <v>12.635631788768768</v>
      </c>
      <c r="AD27" s="47">
        <f t="shared" ca="1" si="26"/>
        <v>0.4725653881037033</v>
      </c>
      <c r="AE27" s="44">
        <f t="shared" ca="1" si="27"/>
        <v>41.46</v>
      </c>
      <c r="AF27" s="44">
        <f t="shared" ca="1" si="28"/>
        <v>1.55</v>
      </c>
      <c r="AH27" s="44">
        <v>41.46</v>
      </c>
      <c r="AI27" s="44">
        <f t="shared" ca="1" si="29"/>
        <v>1.55</v>
      </c>
      <c r="AJ27" s="2" t="str">
        <f t="shared" ca="1" si="23"/>
        <v>41.46,1.55</v>
      </c>
    </row>
    <row r="28" spans="1:36" x14ac:dyDescent="0.25">
      <c r="A28" s="44">
        <v>8</v>
      </c>
      <c r="B28" s="48">
        <v>6.6439699074074072</v>
      </c>
      <c r="C28" s="48">
        <v>3.849363425925926</v>
      </c>
      <c r="D28" s="44">
        <v>22.728000000000002</v>
      </c>
      <c r="E28" s="44">
        <v>1.492</v>
      </c>
      <c r="F28" s="49" t="s">
        <v>91</v>
      </c>
      <c r="G28" s="43">
        <f t="shared" si="13"/>
        <v>92.384722222222223</v>
      </c>
      <c r="H28" s="43">
        <f t="shared" si="14"/>
        <v>1.6124175813181503</v>
      </c>
      <c r="I28" s="43">
        <f t="shared" si="3"/>
        <v>159.45527777777778</v>
      </c>
      <c r="J28" s="39">
        <f t="shared" si="15"/>
        <v>2.7830196069043693</v>
      </c>
      <c r="K28" s="39">
        <f t="shared" si="16"/>
        <v>22.708316656945616</v>
      </c>
      <c r="L28" s="15">
        <f t="shared" si="17"/>
        <v>-0.94569477522423862</v>
      </c>
      <c r="M28" s="13"/>
      <c r="N28" s="16">
        <f t="shared" si="4"/>
        <v>159.45527777777778</v>
      </c>
      <c r="O28" s="16">
        <f t="shared" ca="1" si="18"/>
        <v>167.32818086594341</v>
      </c>
      <c r="P28" s="16">
        <f t="shared" ca="1" si="19"/>
        <v>326.78345864372119</v>
      </c>
      <c r="Q28" s="16">
        <f t="shared" ca="1" si="20"/>
        <v>5.703447294387658</v>
      </c>
      <c r="R28" s="16">
        <f t="shared" ca="1" si="5"/>
        <v>-12.43972430761953</v>
      </c>
      <c r="S28" s="16">
        <f t="shared" ca="1" si="6"/>
        <v>18.997918426568042</v>
      </c>
      <c r="T28" s="13">
        <f t="shared" ca="1" si="7"/>
        <v>1081127.1952756925</v>
      </c>
      <c r="U28" s="13">
        <f t="shared" ca="1" si="8"/>
        <v>455995.8329184266</v>
      </c>
      <c r="V28" s="16">
        <f t="shared" si="9"/>
        <v>1223.700305224776</v>
      </c>
      <c r="W28" s="16">
        <f t="shared" ca="1" si="10"/>
        <v>1223.242806106133</v>
      </c>
      <c r="X28" s="47" t="str">
        <f>IF(AND(A28&gt;=CS_Start,A28&lt;=CS_End),IF(OR(LEFT(UPPER(F28))="D"),"",T28),"")</f>
        <v/>
      </c>
      <c r="Y28" s="47" t="str">
        <f t="shared" si="21"/>
        <v/>
      </c>
      <c r="Z28" s="47" t="e">
        <f>IF(X28="",NA(),VALUE((-mB*X28+Y28-bA)/(mA-mB)))</f>
        <v>#N/A</v>
      </c>
      <c r="AA28" s="47" t="e">
        <f>IF(ISNA(Z28),NA(),VALUE(mA*Z28+bA))</f>
        <v>#N/A</v>
      </c>
      <c r="AB28" s="47" t="str">
        <f t="shared" si="24"/>
        <v/>
      </c>
      <c r="AC28" s="47" t="str">
        <f t="shared" ca="1" si="25"/>
        <v/>
      </c>
      <c r="AD28" s="47" t="str">
        <f t="shared" si="26"/>
        <v/>
      </c>
      <c r="AE28" s="44" t="e">
        <f t="shared" ca="1" si="27"/>
        <v>#VALUE!</v>
      </c>
      <c r="AF28" s="44" t="e">
        <f t="shared" si="28"/>
        <v>#VALUE!</v>
      </c>
      <c r="AH28" s="44">
        <v>75.11</v>
      </c>
      <c r="AI28" s="44">
        <f t="shared" ca="1" si="29"/>
        <v>4.05</v>
      </c>
      <c r="AJ28" s="2" t="str">
        <f t="shared" ca="1" si="23"/>
        <v>75.11,4.05</v>
      </c>
    </row>
    <row r="29" spans="1:36" x14ac:dyDescent="0.25">
      <c r="A29" s="44">
        <v>9</v>
      </c>
      <c r="B29" s="48">
        <v>8.9652662037037043</v>
      </c>
      <c r="C29" s="48">
        <v>3.7990624999999998</v>
      </c>
      <c r="D29" s="44">
        <v>36.786000000000001</v>
      </c>
      <c r="E29" s="44">
        <v>1.492</v>
      </c>
      <c r="F29" s="49" t="s">
        <v>90</v>
      </c>
      <c r="G29" s="43">
        <f t="shared" si="13"/>
        <v>91.177499999999995</v>
      </c>
      <c r="H29" s="43">
        <f t="shared" si="14"/>
        <v>1.5913475787371298</v>
      </c>
      <c r="I29" s="43">
        <f t="shared" si="3"/>
        <v>215.16638888888889</v>
      </c>
      <c r="J29" s="39">
        <f t="shared" si="15"/>
        <v>3.7553619257376547</v>
      </c>
      <c r="K29" s="39">
        <f t="shared" si="16"/>
        <v>36.778231917092548</v>
      </c>
      <c r="L29" s="15">
        <f t="shared" si="17"/>
        <v>-0.75594513858815371</v>
      </c>
      <c r="M29" s="13"/>
      <c r="N29" s="16">
        <f t="shared" si="4"/>
        <v>215.16638888888889</v>
      </c>
      <c r="O29" s="16">
        <f t="shared" ca="1" si="18"/>
        <v>167.32818086594341</v>
      </c>
      <c r="P29" s="16">
        <f t="shared" ca="1" si="19"/>
        <v>382.4945697548323</v>
      </c>
      <c r="Q29" s="16">
        <f t="shared" ca="1" si="20"/>
        <v>6.6757896132209433</v>
      </c>
      <c r="R29" s="16">
        <f t="shared" ca="1" si="5"/>
        <v>14.071199613714494</v>
      </c>
      <c r="S29" s="16">
        <f t="shared" ca="1" si="6"/>
        <v>33.979989469957843</v>
      </c>
      <c r="T29" s="13">
        <f t="shared" ca="1" si="7"/>
        <v>1081153.7061996136</v>
      </c>
      <c r="U29" s="13">
        <f t="shared" ca="1" si="8"/>
        <v>456010.81498947</v>
      </c>
      <c r="V29" s="16">
        <f t="shared" si="9"/>
        <v>1223.890054861412</v>
      </c>
      <c r="W29" s="16">
        <f t="shared" ca="1" si="10"/>
        <v>1223.432555742769</v>
      </c>
      <c r="X29" s="47">
        <f ca="1">IF(AND(A29&gt;=CS_Start,A29&lt;=CS_End),IF(OR(LEFT(UPPER(F29))="D"),"",T29),"")</f>
        <v>1081153.7061996136</v>
      </c>
      <c r="Y29" s="47">
        <f t="shared" ca="1" si="21"/>
        <v>456010.81498947</v>
      </c>
      <c r="Z29" s="47">
        <f ca="1">IF(X29="",NA(),VALUE((-mB*X29+Y29-bA)/(mA-mB)))</f>
        <v>1081140.6258063144</v>
      </c>
      <c r="AA29" s="47">
        <f ca="1">IF(ISNA(Z29),NA(),VALUE(mA*Z29+bA))</f>
        <v>456005.62312826328</v>
      </c>
      <c r="AB29" s="47">
        <f t="shared" ca="1" si="24"/>
        <v>14.073098864584223</v>
      </c>
      <c r="AC29" s="47">
        <f t="shared" ca="1" si="25"/>
        <v>22.892311790592458</v>
      </c>
      <c r="AD29" s="47">
        <f t="shared" ca="1" si="26"/>
        <v>1.2351586773670533</v>
      </c>
      <c r="AE29" s="44">
        <f t="shared" ca="1" si="27"/>
        <v>75.11</v>
      </c>
      <c r="AF29" s="44">
        <f t="shared" ca="1" si="28"/>
        <v>4.05</v>
      </c>
      <c r="AH29" s="44">
        <v>132.91999999999999</v>
      </c>
      <c r="AI29" s="44">
        <f t="shared" ca="1" si="29"/>
        <v>1.76</v>
      </c>
      <c r="AJ29" s="2" t="str">
        <f t="shared" ca="1" si="23"/>
        <v>132.92,1.76</v>
      </c>
    </row>
    <row r="30" spans="1:36" x14ac:dyDescent="0.25">
      <c r="A30" s="44">
        <v>10</v>
      </c>
      <c r="B30" s="48">
        <v>7.9214004629629633</v>
      </c>
      <c r="C30" s="48">
        <v>3.8244675925925926</v>
      </c>
      <c r="D30" s="44">
        <v>46.597000000000001</v>
      </c>
      <c r="E30" s="44">
        <v>1.492</v>
      </c>
      <c r="F30" s="49" t="s">
        <v>84</v>
      </c>
      <c r="G30" s="43">
        <f t="shared" si="13"/>
        <v>91.787222222222226</v>
      </c>
      <c r="H30" s="43">
        <f t="shared" si="14"/>
        <v>1.6019892390374841</v>
      </c>
      <c r="I30" s="43">
        <f t="shared" si="3"/>
        <v>190.11361111111111</v>
      </c>
      <c r="J30" s="39">
        <f t="shared" si="15"/>
        <v>3.3181084667449641</v>
      </c>
      <c r="K30" s="39">
        <f t="shared" si="16"/>
        <v>46.574332449404189</v>
      </c>
      <c r="L30" s="15">
        <f t="shared" si="17"/>
        <v>-1.4532604351512604</v>
      </c>
      <c r="M30" s="13"/>
      <c r="N30" s="16">
        <f t="shared" si="4"/>
        <v>190.11361111111111</v>
      </c>
      <c r="O30" s="16">
        <f t="shared" ca="1" si="18"/>
        <v>167.32818086594341</v>
      </c>
      <c r="P30" s="16">
        <f t="shared" ca="1" si="19"/>
        <v>357.44179197705455</v>
      </c>
      <c r="Q30" s="16">
        <f t="shared" ca="1" si="20"/>
        <v>6.238536154228254</v>
      </c>
      <c r="R30" s="16">
        <f t="shared" ca="1" si="5"/>
        <v>-2.0788136303980882</v>
      </c>
      <c r="S30" s="16">
        <f t="shared" ca="1" si="6"/>
        <v>46.527916104180889</v>
      </c>
      <c r="T30" s="13">
        <f t="shared" ca="1" si="7"/>
        <v>1081137.5561863696</v>
      </c>
      <c r="U30" s="13">
        <f t="shared" ca="1" si="8"/>
        <v>456023.3629161042</v>
      </c>
      <c r="V30" s="16">
        <f t="shared" si="9"/>
        <v>1223.192739564849</v>
      </c>
      <c r="W30" s="16">
        <f t="shared" ca="1" si="10"/>
        <v>1222.735240446206</v>
      </c>
      <c r="X30" s="47">
        <f ca="1">IF(AND(A30&gt;=CS_Start,A30&lt;=CS_End),IF(OR(LEFT(UPPER(F30))="D"),"",T30),"")</f>
        <v>1081137.5561863696</v>
      </c>
      <c r="Y30" s="47">
        <f t="shared" ca="1" si="21"/>
        <v>456023.3629161042</v>
      </c>
      <c r="Z30" s="47">
        <f ca="1">IF(X30="",NA(),VALUE((-mB*X30+Y30-bA)/(mA-mB)))</f>
        <v>1081134.1250927907</v>
      </c>
      <c r="AA30" s="47">
        <f ca="1">IF(ISNA(Z30),NA(),VALUE(mA*Z30+bA))</f>
        <v>456022.00104867062</v>
      </c>
      <c r="AB30" s="47">
        <f t="shared" ca="1" si="24"/>
        <v>3.6914883250542321</v>
      </c>
      <c r="AC30" s="47">
        <f t="shared" ca="1" si="25"/>
        <v>40.513195797542501</v>
      </c>
      <c r="AD30" s="47">
        <f t="shared" ca="1" si="26"/>
        <v>0.53784338080413363</v>
      </c>
      <c r="AE30" s="44">
        <f t="shared" ca="1" si="27"/>
        <v>132.91999999999999</v>
      </c>
      <c r="AF30" s="44">
        <f t="shared" ca="1" si="28"/>
        <v>1.76</v>
      </c>
      <c r="AH30" s="44">
        <v>208.39</v>
      </c>
      <c r="AI30" s="44">
        <f t="shared" ca="1" si="29"/>
        <v>0.66</v>
      </c>
      <c r="AJ30" s="2" t="str">
        <f t="shared" ca="1" si="23"/>
        <v>208.39,0.66</v>
      </c>
    </row>
    <row r="31" spans="1:36" x14ac:dyDescent="0.25">
      <c r="A31" s="44">
        <v>11</v>
      </c>
      <c r="B31" s="48">
        <v>7.8318750000000001</v>
      </c>
      <c r="C31" s="48">
        <v>3.8110300925925924</v>
      </c>
      <c r="D31" s="44">
        <v>70.081000000000003</v>
      </c>
      <c r="E31" s="44">
        <v>1.492</v>
      </c>
      <c r="F31" s="44"/>
      <c r="G31" s="43">
        <f t="shared" si="13"/>
        <v>91.464722222222221</v>
      </c>
      <c r="H31" s="43">
        <f t="shared" si="14"/>
        <v>1.5963605521998023</v>
      </c>
      <c r="I31" s="43">
        <f t="shared" si="3"/>
        <v>187.965</v>
      </c>
      <c r="J31" s="39">
        <f t="shared" si="15"/>
        <v>3.2806081285111417</v>
      </c>
      <c r="K31" s="39">
        <f t="shared" si="16"/>
        <v>70.058101242456473</v>
      </c>
      <c r="L31" s="15">
        <f t="shared" si="17"/>
        <v>-1.7913713466838856</v>
      </c>
      <c r="M31" s="13"/>
      <c r="N31" s="16">
        <f t="shared" si="4"/>
        <v>187.965</v>
      </c>
      <c r="O31" s="16">
        <f t="shared" ca="1" si="18"/>
        <v>167.32818086594341</v>
      </c>
      <c r="P31" s="16">
        <f t="shared" ca="1" si="19"/>
        <v>355.29318086594344</v>
      </c>
      <c r="Q31" s="16">
        <f t="shared" ca="1" si="20"/>
        <v>6.2010358159944312</v>
      </c>
      <c r="R31" s="16">
        <f t="shared" ca="1" si="5"/>
        <v>-5.7487663138132934</v>
      </c>
      <c r="S31" s="16">
        <f t="shared" ca="1" si="6"/>
        <v>69.821839245091837</v>
      </c>
      <c r="T31" s="13">
        <f t="shared" ca="1" si="7"/>
        <v>1081133.8862336862</v>
      </c>
      <c r="U31" s="13">
        <f t="shared" ca="1" si="8"/>
        <v>456046.65683924512</v>
      </c>
      <c r="V31" s="16">
        <f t="shared" si="9"/>
        <v>1222.8546286533162</v>
      </c>
      <c r="W31" s="16">
        <f t="shared" ca="1" si="10"/>
        <v>1222.3971295346732</v>
      </c>
      <c r="X31" s="47">
        <f ca="1">IF(AND(A31&gt;=CS_Start,A31&lt;=CS_End),IF(OR(LEFT(UPPER(F31))="D"),"",T31),"")</f>
        <v>1081133.8862336862</v>
      </c>
      <c r="Y31" s="47">
        <f t="shared" ca="1" si="21"/>
        <v>456046.65683924512</v>
      </c>
      <c r="Z31" s="47">
        <f ca="1">IF(X31="",NA(),VALUE((-mB*X31+Y31-bA)/(mA-mB)))</f>
        <v>1081125.6381729115</v>
      </c>
      <c r="AA31" s="47">
        <f ca="1">IF(ISNA(Z31),NA(),VALUE(mA*Z31+bA))</f>
        <v>456043.3830243228</v>
      </c>
      <c r="AB31" s="47">
        <f t="shared" ca="1" si="24"/>
        <v>8.8740278729363471</v>
      </c>
      <c r="AC31" s="47">
        <f t="shared" ca="1" si="25"/>
        <v>63.517906007123841</v>
      </c>
      <c r="AD31" s="47">
        <f t="shared" ca="1" si="26"/>
        <v>0.19973246927133914</v>
      </c>
      <c r="AE31" s="44">
        <f t="shared" ca="1" si="27"/>
        <v>208.39</v>
      </c>
      <c r="AF31" s="44">
        <f t="shared" ca="1" si="28"/>
        <v>0.66</v>
      </c>
      <c r="AH31" s="44">
        <v>269.76</v>
      </c>
      <c r="AI31" s="44">
        <f t="shared" ca="1" si="29"/>
        <v>0.19</v>
      </c>
      <c r="AJ31" s="2" t="str">
        <f t="shared" ca="1" si="23"/>
        <v>269.76,0.19</v>
      </c>
    </row>
    <row r="32" spans="1:36" x14ac:dyDescent="0.25">
      <c r="A32" s="44">
        <v>12</v>
      </c>
      <c r="B32" s="48">
        <v>7.8233912037037037</v>
      </c>
      <c r="C32" s="48">
        <v>3.8015393518518521</v>
      </c>
      <c r="D32" s="44">
        <v>89.534999999999997</v>
      </c>
      <c r="E32" s="44">
        <v>1.492</v>
      </c>
      <c r="F32" s="44"/>
      <c r="G32" s="43">
        <f t="shared" si="13"/>
        <v>91.236944444444447</v>
      </c>
      <c r="H32" s="43">
        <f t="shared" si="14"/>
        <v>1.5923850800147044</v>
      </c>
      <c r="I32" s="43">
        <f t="shared" si="3"/>
        <v>187.76138888888889</v>
      </c>
      <c r="J32" s="39">
        <f t="shared" si="15"/>
        <v>3.2770544442286087</v>
      </c>
      <c r="K32" s="39">
        <f t="shared" si="16"/>
        <v>89.51413583068863</v>
      </c>
      <c r="L32" s="15">
        <f t="shared" si="17"/>
        <v>-1.9327988734020418</v>
      </c>
      <c r="M32" s="13"/>
      <c r="N32" s="16">
        <f t="shared" si="4"/>
        <v>187.76138888888889</v>
      </c>
      <c r="O32" s="16">
        <f t="shared" ca="1" si="18"/>
        <v>167.32818086594341</v>
      </c>
      <c r="P32" s="16">
        <f t="shared" ca="1" si="19"/>
        <v>355.08956975483227</v>
      </c>
      <c r="Q32" s="16">
        <f t="shared" ca="1" si="20"/>
        <v>6.1974821317118973</v>
      </c>
      <c r="R32" s="16">
        <f t="shared" ca="1" si="5"/>
        <v>-7.6622577215773964</v>
      </c>
      <c r="S32" s="16">
        <f t="shared" ca="1" si="6"/>
        <v>89.185594801644399</v>
      </c>
      <c r="T32" s="13">
        <f t="shared" ca="1" si="7"/>
        <v>1081131.9727422784</v>
      </c>
      <c r="U32" s="13">
        <f t="shared" ca="1" si="8"/>
        <v>456066.02059480164</v>
      </c>
      <c r="V32" s="16">
        <f t="shared" si="9"/>
        <v>1222.7132011265981</v>
      </c>
      <c r="W32" s="16">
        <f t="shared" ca="1" si="10"/>
        <v>1222.2557020079551</v>
      </c>
      <c r="X32" s="47">
        <f ca="1">IF(AND(A32&gt;=CS_Start,A32&lt;=CS_End),IF(OR(LEFT(UPPER(F32))="D"),"",T32),"")</f>
        <v>1081131.9727422784</v>
      </c>
      <c r="Y32" s="47">
        <f t="shared" ca="1" si="21"/>
        <v>456066.02059480164</v>
      </c>
      <c r="Z32" s="47">
        <f ca="1">IF(X32="",NA(),VALUE((-mB*X32+Y32-bA)/(mA-mB)))</f>
        <v>1081118.7379570047</v>
      </c>
      <c r="AA32" s="47">
        <f ca="1">IF(ISNA(Z32),NA(),VALUE(mA*Z32+bA))</f>
        <v>456060.76745243277</v>
      </c>
      <c r="AB32" s="47">
        <f t="shared" ca="1" si="24"/>
        <v>14.239208053390112</v>
      </c>
      <c r="AC32" s="47">
        <f t="shared" ca="1" si="25"/>
        <v>82.221684242313486</v>
      </c>
      <c r="AD32" s="47">
        <f t="shared" ca="1" si="26"/>
        <v>5.8304942553149885E-2</v>
      </c>
      <c r="AE32" s="44">
        <f t="shared" ca="1" si="27"/>
        <v>269.76</v>
      </c>
      <c r="AF32" s="44">
        <f t="shared" ca="1" si="28"/>
        <v>0.19</v>
      </c>
      <c r="AH32" s="44">
        <v>280.69</v>
      </c>
      <c r="AI32" s="44">
        <f t="shared" ref="AI32:AI35" ca="1" si="30">OFFSET($AF$22,MATCH(AH32,$AE$23:$AE$59,0),0)</f>
        <v>1.8</v>
      </c>
      <c r="AJ32" s="44" t="str">
        <f t="shared" ref="AJ32:AJ35" ca="1" si="31">CONCATENATE(AH32,",",AI32)</f>
        <v>280.69,1.8</v>
      </c>
    </row>
    <row r="33" spans="1:36" x14ac:dyDescent="0.25">
      <c r="A33" s="44">
        <v>13</v>
      </c>
      <c r="B33" s="48">
        <v>7.4499305555555564</v>
      </c>
      <c r="C33" s="48">
        <v>3.7883333333333336</v>
      </c>
      <c r="D33" s="44">
        <v>89.891000000000005</v>
      </c>
      <c r="E33" s="44">
        <v>1.492</v>
      </c>
      <c r="F33" s="49" t="s">
        <v>84</v>
      </c>
      <c r="G33" s="43">
        <f t="shared" si="13"/>
        <v>90.92</v>
      </c>
      <c r="H33" s="43">
        <f t="shared" si="14"/>
        <v>1.5868533559132445</v>
      </c>
      <c r="I33" s="43">
        <f t="shared" si="3"/>
        <v>178.79833333333335</v>
      </c>
      <c r="J33" s="39">
        <f t="shared" si="15"/>
        <v>3.1206196137449949</v>
      </c>
      <c r="K33" s="39">
        <f t="shared" si="16"/>
        <v>89.879412032329796</v>
      </c>
      <c r="L33" s="15">
        <f t="shared" si="17"/>
        <v>-1.4433203811662629</v>
      </c>
      <c r="M33" s="13"/>
      <c r="N33" s="16">
        <f t="shared" si="4"/>
        <v>178.79833333333335</v>
      </c>
      <c r="O33" s="16">
        <f t="shared" ca="1" si="18"/>
        <v>167.32818086594341</v>
      </c>
      <c r="P33" s="16">
        <f t="shared" ca="1" si="19"/>
        <v>346.12651419927676</v>
      </c>
      <c r="Q33" s="16">
        <f t="shared" ca="1" si="20"/>
        <v>6.0410473012282839</v>
      </c>
      <c r="R33" s="16">
        <f t="shared" ca="1" si="5"/>
        <v>-21.551178275329953</v>
      </c>
      <c r="S33" s="16">
        <f t="shared" ca="1" si="6"/>
        <v>87.257408981829485</v>
      </c>
      <c r="T33" s="13">
        <f t="shared" ca="1" si="7"/>
        <v>1081118.0838217246</v>
      </c>
      <c r="U33" s="13">
        <f t="shared" ca="1" si="8"/>
        <v>456064.09240898187</v>
      </c>
      <c r="V33" s="16">
        <f t="shared" si="9"/>
        <v>1223.2026796188338</v>
      </c>
      <c r="W33" s="16">
        <f t="shared" ca="1" si="10"/>
        <v>1222.7451805001908</v>
      </c>
      <c r="X33" s="47">
        <f ca="1">IF(AND(A33&gt;=CS_Start,A33&lt;=CS_End),IF(OR(LEFT(UPPER(F33))="D"),"",T33),"")</f>
        <v>1081118.0838217246</v>
      </c>
      <c r="Y33" s="47">
        <f t="shared" ca="1" si="21"/>
        <v>456064.09240898187</v>
      </c>
      <c r="Z33" s="47">
        <f ca="1">IF(X33="",NA(),VALUE((-mB*X33+Y33-bA)/(mA-mB)))</f>
        <v>1081117.5088079416</v>
      </c>
      <c r="AA33" s="47">
        <f ca="1">IF(ISNA(Z33),NA(),VALUE(mA*Z33+bA))</f>
        <v>456063.86417488521</v>
      </c>
      <c r="AB33" s="47">
        <f t="shared" ca="1" si="24"/>
        <v>0.61865309632356968</v>
      </c>
      <c r="AC33" s="47">
        <f t="shared" ca="1" si="25"/>
        <v>85.55342513361677</v>
      </c>
      <c r="AD33" s="47">
        <f t="shared" ca="1" si="26"/>
        <v>0.54778343478892566</v>
      </c>
      <c r="AE33" s="44">
        <f t="shared" ca="1" si="27"/>
        <v>280.69</v>
      </c>
      <c r="AF33" s="44">
        <f t="shared" ca="1" si="28"/>
        <v>1.8</v>
      </c>
      <c r="AH33" s="44">
        <v>281.25</v>
      </c>
      <c r="AI33" s="44">
        <f t="shared" ca="1" si="30"/>
        <v>3.41</v>
      </c>
      <c r="AJ33" s="44" t="str">
        <f t="shared" ca="1" si="31"/>
        <v>281.25,3.41</v>
      </c>
    </row>
    <row r="34" spans="1:36" x14ac:dyDescent="0.25">
      <c r="A34" s="44">
        <v>14</v>
      </c>
      <c r="B34" s="48">
        <v>7.4442708333333334</v>
      </c>
      <c r="C34" s="48">
        <v>3.7752314814814816</v>
      </c>
      <c r="D34" s="44">
        <v>90.028000000000006</v>
      </c>
      <c r="E34" s="44">
        <v>1.492</v>
      </c>
      <c r="F34" s="44"/>
      <c r="G34" s="43">
        <f t="shared" ref="G34:G37" si="32">C34*24</f>
        <v>90.605555555555554</v>
      </c>
      <c r="H34" s="43">
        <f t="shared" ref="H34:H37" si="33">RADIANS(G34)</f>
        <v>1.5813652650430845</v>
      </c>
      <c r="I34" s="43">
        <f t="shared" ref="I34:I37" si="34">B34*24</f>
        <v>178.66249999999999</v>
      </c>
      <c r="J34" s="49">
        <f t="shared" ref="J34:J37" si="35">RADIANS(I34)</f>
        <v>3.1182488748443689</v>
      </c>
      <c r="K34" s="49">
        <f t="shared" ref="K34:K37" si="36">D34*SIN(H34)</f>
        <v>90.022971872464169</v>
      </c>
      <c r="L34" s="46">
        <f t="shared" ref="L34:L37" si="37">D34*COS(H34)</f>
        <v>-0.95148265855209169</v>
      </c>
      <c r="M34" s="45"/>
      <c r="N34" s="47">
        <f t="shared" ref="N34:N37" si="38">I34+M34</f>
        <v>178.66249999999999</v>
      </c>
      <c r="O34" s="47">
        <f t="shared" ca="1" si="18"/>
        <v>167.32818086594341</v>
      </c>
      <c r="P34" s="47">
        <f t="shared" ref="P34:P37" ca="1" si="39">SUM(N34,O34)</f>
        <v>345.99068086594343</v>
      </c>
      <c r="Q34" s="47">
        <f t="shared" ref="Q34:Q37" ca="1" si="40">RADIANS(P34)</f>
        <v>6.0386765623276588</v>
      </c>
      <c r="R34" s="47">
        <f t="shared" ref="R34:R37" ca="1" si="41">K34*SIN(Q34)</f>
        <v>-21.792734976820782</v>
      </c>
      <c r="S34" s="47">
        <f t="shared" ref="S34:S37" ca="1" si="42">K34*COS(Q34)</f>
        <v>87.345361450855108</v>
      </c>
      <c r="T34" s="45">
        <f t="shared" ref="T34:T37" ca="1" si="43">Old_X0+R34</f>
        <v>1081117.8422650232</v>
      </c>
      <c r="U34" s="45">
        <f t="shared" ref="U34:U37" ca="1" si="44">Old_Y0+S34</f>
        <v>456064.18036145088</v>
      </c>
      <c r="V34" s="47">
        <f t="shared" ref="V34:V37" si="45">Old_Z0+HI+L34-E34</f>
        <v>1223.6945173414481</v>
      </c>
      <c r="W34" s="47">
        <f t="shared" ref="W34:W37" ca="1" si="46">IF(ISNUMBER(T34),V34+dZ,"")</f>
        <v>1223.2370182228051</v>
      </c>
      <c r="X34" s="47">
        <f ca="1">IF(AND(A34&gt;=CS_Start,A34&lt;=CS_End),IF(OR(LEFT(UPPER(F34))="D"),"",T34),"")</f>
        <v>1081117.8422650232</v>
      </c>
      <c r="Y34" s="47">
        <f t="shared" ca="1" si="21"/>
        <v>456064.18036145088</v>
      </c>
      <c r="Z34" s="47">
        <f ca="1">IF(X34="",NA(),VALUE((-mB*X34+Y34-bA)/(mA-mB)))</f>
        <v>1081117.4457727403</v>
      </c>
      <c r="AA34" s="47">
        <f ca="1">IF(ISNA(Z34),NA(),VALUE(mA*Z34+bA))</f>
        <v>456064.02298599202</v>
      </c>
      <c r="AB34" s="47">
        <f t="shared" ref="AB34:AB37" ca="1" si="47">IF(ISNUMBER(X34),SQRT((X34-Z34)^2+(Y34-AA34)^2),"")</f>
        <v>0.42658312838080825</v>
      </c>
      <c r="AC34" s="47">
        <f t="shared" ref="AC34:AC37" ca="1" si="48">IF(ISNUMBER(Z34),SQRT(($Z34-OFFSET($Z$20,MATCH(CS_Start,$A$21:$A$51,0),0))^2+($AA34-OFFSET($AA$20,MATCH(CS_Start,$A$21:$A$51,0),0))^2),"")</f>
        <v>85.724288834406295</v>
      </c>
      <c r="AD34" s="47">
        <f t="shared" ref="AD34:AD37" ca="1" si="49">IF(ISNUMBER(X34),W34-Min_Z,"")</f>
        <v>1.0396211574031895</v>
      </c>
      <c r="AE34" s="44">
        <f t="shared" ref="AE34:AE37" ca="1" si="50">ROUND(CONVERT(AC34,"m","ft"),2)</f>
        <v>281.25</v>
      </c>
      <c r="AF34" s="44">
        <f t="shared" ref="AF34:AF37" ca="1" si="51">ROUND(CONVERT(AD34,"m","ft"),2)</f>
        <v>3.41</v>
      </c>
      <c r="AH34" s="44">
        <v>281.41000000000003</v>
      </c>
      <c r="AI34" s="44">
        <f t="shared" ca="1" si="30"/>
        <v>5.52</v>
      </c>
      <c r="AJ34" s="44" t="str">
        <f t="shared" ca="1" si="31"/>
        <v>281.41,5.52</v>
      </c>
    </row>
    <row r="35" spans="1:36" x14ac:dyDescent="0.25">
      <c r="A35" s="44">
        <v>15</v>
      </c>
      <c r="B35" s="48">
        <v>7.443240740740741</v>
      </c>
      <c r="C35" s="48">
        <v>3.7581712962962963</v>
      </c>
      <c r="D35" s="44">
        <v>90.069000000000003</v>
      </c>
      <c r="E35" s="44">
        <v>1.492</v>
      </c>
      <c r="F35" s="44"/>
      <c r="G35" s="43">
        <f t="shared" si="32"/>
        <v>90.196111111111108</v>
      </c>
      <c r="H35" s="43">
        <f t="shared" si="33"/>
        <v>1.5742191113835298</v>
      </c>
      <c r="I35" s="43">
        <f t="shared" si="34"/>
        <v>178.63777777777779</v>
      </c>
      <c r="J35" s="49">
        <f t="shared" si="35"/>
        <v>3.1178173906681819</v>
      </c>
      <c r="K35" s="49">
        <f t="shared" si="36"/>
        <v>90.068472400886606</v>
      </c>
      <c r="L35" s="46">
        <f t="shared" si="37"/>
        <v>-0.3082861831606592</v>
      </c>
      <c r="M35" s="45"/>
      <c r="N35" s="47">
        <f t="shared" si="38"/>
        <v>178.63777777777779</v>
      </c>
      <c r="O35" s="47">
        <f t="shared" ca="1" si="18"/>
        <v>167.32818086594341</v>
      </c>
      <c r="P35" s="47">
        <f t="shared" ca="1" si="39"/>
        <v>345.96595864372119</v>
      </c>
      <c r="Q35" s="47">
        <f t="shared" ca="1" si="40"/>
        <v>6.0382450781514709</v>
      </c>
      <c r="R35" s="47">
        <f t="shared" ca="1" si="41"/>
        <v>-21.841454890844851</v>
      </c>
      <c r="S35" s="47">
        <f t="shared" ca="1" si="42"/>
        <v>87.380092520438893</v>
      </c>
      <c r="T35" s="45">
        <f t="shared" ca="1" si="43"/>
        <v>1081117.7935451092</v>
      </c>
      <c r="U35" s="45">
        <f t="shared" ca="1" si="44"/>
        <v>456064.21509252046</v>
      </c>
      <c r="V35" s="47">
        <f t="shared" si="45"/>
        <v>1224.3377138168396</v>
      </c>
      <c r="W35" s="47">
        <f t="shared" ca="1" si="46"/>
        <v>1223.8802146981966</v>
      </c>
      <c r="X35" s="47">
        <f ca="1">IF(AND(A35&gt;=CS_Start,A35&lt;=CS_End),IF(OR(LEFT(UPPER(F35))="D"),"",T35),"")</f>
        <v>1081117.7935451092</v>
      </c>
      <c r="Y35" s="47">
        <f t="shared" ca="1" si="21"/>
        <v>456064.21509252046</v>
      </c>
      <c r="Z35" s="47">
        <f ca="1">IF(X35="",NA(),VALUE((-mB*X35+Y35-bA)/(mA-mB)))</f>
        <v>1081117.4272326303</v>
      </c>
      <c r="AA35" s="47">
        <f ca="1">IF(ISNA(Z35),NA(),VALUE(mA*Z35+bA))</f>
        <v>456064.06969601009</v>
      </c>
      <c r="AB35" s="47">
        <f t="shared" ca="1" si="47"/>
        <v>0.3941128993417144</v>
      </c>
      <c r="AC35" s="47">
        <f t="shared" ca="1" si="48"/>
        <v>85.774543798994785</v>
      </c>
      <c r="AD35" s="47">
        <f t="shared" ca="1" si="49"/>
        <v>1.6828176327946949</v>
      </c>
      <c r="AE35" s="44">
        <f t="shared" ca="1" si="50"/>
        <v>281.41000000000003</v>
      </c>
      <c r="AF35" s="44">
        <f t="shared" ca="1" si="51"/>
        <v>5.52</v>
      </c>
      <c r="AH35" s="44"/>
      <c r="AI35" s="44"/>
      <c r="AJ35" s="44"/>
    </row>
    <row r="36" spans="1:36" x14ac:dyDescent="0.25">
      <c r="A36" s="44">
        <v>16</v>
      </c>
      <c r="B36" s="48">
        <v>6.5972222222222213E-4</v>
      </c>
      <c r="C36" s="48">
        <v>3.7908796296296292</v>
      </c>
      <c r="D36" s="44">
        <v>21.344999999999999</v>
      </c>
      <c r="E36" s="44">
        <v>1.492</v>
      </c>
      <c r="F36" s="49" t="s">
        <v>69</v>
      </c>
      <c r="G36" s="43">
        <f t="shared" si="32"/>
        <v>90.981111111111105</v>
      </c>
      <c r="H36" s="43">
        <f t="shared" si="33"/>
        <v>1.5879199460116853</v>
      </c>
      <c r="I36" s="43">
        <f t="shared" si="34"/>
        <v>1.5833333333333331E-2</v>
      </c>
      <c r="J36" s="49">
        <f t="shared" si="35"/>
        <v>2.7634379823243547E-4</v>
      </c>
      <c r="K36" s="49">
        <f t="shared" si="36"/>
        <v>21.341870703783879</v>
      </c>
      <c r="L36" s="46">
        <f t="shared" si="37"/>
        <v>-0.36548579038216666</v>
      </c>
      <c r="M36" s="45"/>
      <c r="N36" s="47">
        <f t="shared" si="38"/>
        <v>1.5833333333333331E-2</v>
      </c>
      <c r="O36" s="47">
        <f t="shared" ca="1" si="18"/>
        <v>167.32818086594341</v>
      </c>
      <c r="P36" s="47">
        <f t="shared" ca="1" si="39"/>
        <v>167.34401419927676</v>
      </c>
      <c r="Q36" s="47">
        <f t="shared" ca="1" si="40"/>
        <v>2.9207040312815216</v>
      </c>
      <c r="R36" s="47">
        <f t="shared" ca="1" si="41"/>
        <v>4.6759343190740115</v>
      </c>
      <c r="S36" s="47">
        <f t="shared" ca="1" si="42"/>
        <v>-20.823330266331908</v>
      </c>
      <c r="T36" s="45">
        <f t="shared" ca="1" si="43"/>
        <v>1081144.3109343192</v>
      </c>
      <c r="U36" s="45">
        <f t="shared" ca="1" si="44"/>
        <v>455956.01166973368</v>
      </c>
      <c r="V36" s="47">
        <f t="shared" si="45"/>
        <v>1224.2805142096181</v>
      </c>
      <c r="W36" s="47">
        <f t="shared" ca="1" si="46"/>
        <v>1223.8230150909751</v>
      </c>
      <c r="X36" s="47" t="str">
        <f>IF(AND(A36&gt;=CS_Start,A36&lt;=CS_End),IF(OR(LEFT(UPPER(F36))="D"),"",T36),"")</f>
        <v/>
      </c>
      <c r="Y36" s="47" t="str">
        <f t="shared" si="21"/>
        <v/>
      </c>
      <c r="Z36" s="47" t="e">
        <f>IF(X36="",NA(),VALUE((-mB*X36+Y36-bA)/(mA-mB)))</f>
        <v>#N/A</v>
      </c>
      <c r="AA36" s="47" t="e">
        <f>IF(ISNA(Z36),NA(),VALUE(mA*Z36+bA))</f>
        <v>#N/A</v>
      </c>
      <c r="AB36" s="47" t="str">
        <f t="shared" si="47"/>
        <v/>
      </c>
      <c r="AC36" s="47" t="str">
        <f t="shared" ca="1" si="48"/>
        <v/>
      </c>
      <c r="AD36" s="47" t="str">
        <f t="shared" si="49"/>
        <v/>
      </c>
      <c r="AE36" s="44" t="e">
        <f t="shared" ca="1" si="50"/>
        <v>#VALUE!</v>
      </c>
      <c r="AF36" s="44" t="e">
        <f t="shared" si="51"/>
        <v>#VALUE!</v>
      </c>
      <c r="AH36" s="44"/>
      <c r="AI36" s="44"/>
      <c r="AJ36" s="44"/>
    </row>
    <row r="37" spans="1:36" x14ac:dyDescent="0.25">
      <c r="A37" s="44">
        <v>17</v>
      </c>
      <c r="B37" s="48">
        <v>2.1485185185185185</v>
      </c>
      <c r="C37" s="48">
        <v>3.7820486111111111</v>
      </c>
      <c r="D37" s="44">
        <v>21.109000000000002</v>
      </c>
      <c r="E37" s="44">
        <v>1.492</v>
      </c>
      <c r="F37" s="49" t="s">
        <v>70</v>
      </c>
      <c r="G37" s="43">
        <f t="shared" si="32"/>
        <v>90.769166666666663</v>
      </c>
      <c r="H37" s="43">
        <f t="shared" si="33"/>
        <v>1.5842208176248196</v>
      </c>
      <c r="I37" s="43">
        <f t="shared" si="34"/>
        <v>51.564444444444447</v>
      </c>
      <c r="J37" s="49">
        <f t="shared" si="35"/>
        <v>0.89996933251725386</v>
      </c>
      <c r="K37" s="49">
        <f t="shared" si="36"/>
        <v>21.107097928724272</v>
      </c>
      <c r="L37" s="46">
        <f t="shared" si="37"/>
        <v>-0.28336906543158047</v>
      </c>
      <c r="M37" s="45"/>
      <c r="N37" s="47">
        <f t="shared" si="38"/>
        <v>51.564444444444447</v>
      </c>
      <c r="O37" s="47">
        <f t="shared" ca="1" si="18"/>
        <v>167.32818086594341</v>
      </c>
      <c r="P37" s="47">
        <f t="shared" ca="1" si="39"/>
        <v>218.89262531038787</v>
      </c>
      <c r="Q37" s="47">
        <f t="shared" ca="1" si="40"/>
        <v>3.8203970200005433</v>
      </c>
      <c r="R37" s="47">
        <f t="shared" ca="1" si="41"/>
        <v>-13.252363351743416</v>
      </c>
      <c r="S37" s="47">
        <f t="shared" ca="1" si="42"/>
        <v>-16.428160230717392</v>
      </c>
      <c r="T37" s="45">
        <f t="shared" ca="1" si="43"/>
        <v>1081126.3826366484</v>
      </c>
      <c r="U37" s="45">
        <f t="shared" ca="1" si="44"/>
        <v>455960.40683976928</v>
      </c>
      <c r="V37" s="47">
        <f t="shared" si="45"/>
        <v>1224.3626309345686</v>
      </c>
      <c r="W37" s="47">
        <f t="shared" ca="1" si="46"/>
        <v>1223.9051318159256</v>
      </c>
      <c r="X37" s="47" t="str">
        <f>IF(AND(A37&gt;=CS_Start,A37&lt;=CS_End),IF(OR(LEFT(UPPER(F37))="D"),"",T37),"")</f>
        <v/>
      </c>
      <c r="Y37" s="47" t="str">
        <f t="shared" si="21"/>
        <v/>
      </c>
      <c r="Z37" s="47" t="e">
        <f>IF(X37="",NA(),VALUE((-mB*X37+Y37-bA)/(mA-mB)))</f>
        <v>#N/A</v>
      </c>
      <c r="AA37" s="47" t="e">
        <f>IF(ISNA(Z37),NA(),VALUE(mA*Z37+bA))</f>
        <v>#N/A</v>
      </c>
      <c r="AB37" s="47" t="str">
        <f t="shared" si="47"/>
        <v/>
      </c>
      <c r="AC37" s="47" t="str">
        <f t="shared" ca="1" si="48"/>
        <v/>
      </c>
      <c r="AD37" s="47" t="str">
        <f t="shared" si="49"/>
        <v/>
      </c>
      <c r="AE37" s="44" t="e">
        <f t="shared" ca="1" si="50"/>
        <v>#VALUE!</v>
      </c>
      <c r="AF37" s="44" t="e">
        <f t="shared" si="51"/>
        <v>#VALUE!</v>
      </c>
      <c r="AH37" s="44"/>
      <c r="AI37" s="44"/>
      <c r="AJ37" s="44"/>
    </row>
    <row r="38" spans="1:36" x14ac:dyDescent="0.25">
      <c r="A38" s="44"/>
      <c r="B38" s="48"/>
      <c r="C38" s="48"/>
      <c r="D38" s="44"/>
      <c r="E38" s="44"/>
      <c r="F38" s="49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/>
      <c r="X38" s="47"/>
      <c r="Y38" s="47"/>
      <c r="Z38" s="47"/>
      <c r="AA38" s="47"/>
      <c r="AB38" s="47"/>
      <c r="AC38" s="47"/>
      <c r="AD38" s="47"/>
      <c r="AE38" s="44"/>
      <c r="AF38" s="44"/>
      <c r="AH38" s="44"/>
      <c r="AI38" s="44"/>
      <c r="AJ38" s="44"/>
    </row>
    <row r="39" spans="1:36" x14ac:dyDescent="0.25">
      <c r="A39" s="44"/>
      <c r="B39" s="48"/>
      <c r="C39" s="48"/>
      <c r="D39" s="44"/>
      <c r="E39" s="44"/>
      <c r="F39" s="49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4"/>
      <c r="AF39" s="44"/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5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3547046.0465879263</v>
      </c>
      <c r="C2" s="33">
        <f>IF(ISNUMBER(Calculations!O4),CONVERT(Calculations!O4,Units_In,Units_Out),"")</f>
        <v>1495986.9914698163</v>
      </c>
      <c r="D2" s="33" t="s">
        <v>60</v>
      </c>
      <c r="E2" s="10" t="str">
        <f>CONCATENATE("0503 ",B2,"EUSft ",C2,"NUSft")</f>
        <v>0503 3547046.04658793EUSft 1495986.99146982NUSft</v>
      </c>
      <c r="F2" s="34">
        <v>98</v>
      </c>
      <c r="G2" s="10" t="str">
        <f>IF(F2=98,"Lime",IF(F2=94,"Yellow",""))</f>
        <v>Lime</v>
      </c>
      <c r="H2" s="10" t="str">
        <f>Calculations!$A$1</f>
        <v>CSS14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3547030.0328083988</v>
      </c>
      <c r="C3" s="33">
        <f>IF(ISNUMBER(Calculations!O5),CONVERT(Calculations!O5,Units_In,Units_Out),"")</f>
        <v>1495918.2381889764</v>
      </c>
      <c r="D3" s="33" t="s">
        <v>60</v>
      </c>
      <c r="E3" s="10" t="str">
        <f t="shared" ref="E3:E4" si="0">CONCATENATE("0503 ",B3,"EUSft ",C3,"NUSft")</f>
        <v>0503 3547030.0328084EUSft 1495918.23818898NUSft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CSS14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3546985.3346456685</v>
      </c>
      <c r="C4" s="33">
        <f>IF(ISNUMBER(Calculations!O6),CONVERT(Calculations!O6,Units_In,Units_Out),"")</f>
        <v>1495959.1929133858</v>
      </c>
      <c r="D4" s="33" t="s">
        <v>60</v>
      </c>
      <c r="E4" s="10" t="str">
        <f t="shared" si="0"/>
        <v>0503 3546985.33464567EUSft 1495959.19291339NUSft</v>
      </c>
      <c r="F4" s="34">
        <v>98</v>
      </c>
      <c r="G4" s="10" t="str">
        <f t="shared" si="1"/>
        <v>Lime</v>
      </c>
      <c r="H4" s="10" t="str">
        <f>Calculations!$A$1</f>
        <v>CSS14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3547061.4115489228</v>
      </c>
      <c r="C5" s="33">
        <f ca="1">IF(ISNUMBER(A5),CONVERT(Calculations!U21,Units_In,Units_Out),"")</f>
        <v>1495918.6550590466</v>
      </c>
      <c r="D5" s="33" t="str">
        <f>IF(ISTEXT(Calculations!F21),Calculations!F21,"")</f>
        <v>BS/ZERO</v>
      </c>
      <c r="E5" t="str">
        <f ca="1">IF(ISNUMBER(A5),CONCATENATE("0503 ",B5,"EUSft ",C5,"NUSft"),"")</f>
        <v>0503 3547061.41154892EUSft 1495918.65505905NUSft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CSS14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3547002.4944561389</v>
      </c>
      <c r="C6" s="33">
        <f ca="1">IF(ISNUMBER(A6),CONVERT(Calculations!U22,Units_In,Units_Out),"")</f>
        <v>1495932.9794659393</v>
      </c>
      <c r="D6" s="33" t="str">
        <f>IF(ISTEXT(Calculations!F22),Calculations!F22,"")</f>
        <v/>
      </c>
      <c r="E6" s="10" t="str">
        <f t="shared" ref="E6:E65" ca="1" si="2">IF(ISNUMBER(A6),CONCATENATE("0503 ",B6,"EUSft ",C6,"NUSft"),"")</f>
        <v>0503 3547002.49445614EUSft 1495932.97946594NUSft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CSS14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3547046.8487023124</v>
      </c>
      <c r="C7" s="33">
        <f ca="1">IF(ISNUMBER(A7),CONVERT(Calculations!U23,Units_In,Units_Out),"")</f>
        <v>1495999.6628245935</v>
      </c>
      <c r="D7" s="33" t="str">
        <f>IF(ISTEXT(Calculations!F23),Calculations!F23,"")</f>
        <v/>
      </c>
      <c r="E7" s="10" t="str">
        <f t="shared" ca="1" si="2"/>
        <v>0503 3547046.84870231EUSft 1495999.66282459NUSft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CSS14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3547046.0021558176</v>
      </c>
      <c r="C8" s="33">
        <f ca="1">IF(ISNUMBER(A8),CONVERT(Calculations!U24,Units_In,Units_Out),"")</f>
        <v>1496006.9344303734</v>
      </c>
      <c r="D8" s="33" t="str">
        <f>IF(ISTEXT(Calculations!F24),Calculations!F24,"")</f>
        <v/>
      </c>
      <c r="E8" s="10" t="str">
        <f t="shared" ca="1" si="2"/>
        <v>0503 3547046.00215582EUSft 1496006.93443037NUSft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CSS14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3547045.2019188385</v>
      </c>
      <c r="C9" s="33">
        <f ca="1">IF(ISNUMBER(A9),CONVERT(Calculations!U25,Units_In,Units_Out),"")</f>
        <v>1496009.4310279649</v>
      </c>
      <c r="D9" s="33" t="str">
        <f>IF(ISTEXT(Calculations!F25),Calculations!F25,"")</f>
        <v>WS</v>
      </c>
      <c r="E9" s="10" t="str">
        <f t="shared" ca="1" si="2"/>
        <v>0503 3547045.20191884EUSft 1496009.43102796NUSft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CSS14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3547045.2336192899</v>
      </c>
      <c r="C10" s="33">
        <f ca="1">IF(ISNUMBER(A10),CONVERT(Calculations!U26,Units_In,Units_Out),"")</f>
        <v>1496011.5068910837</v>
      </c>
      <c r="D10" s="33" t="str">
        <f>IF(ISTEXT(Calculations!F26),Calculations!F26,"")</f>
        <v/>
      </c>
      <c r="E10" s="10" t="str">
        <f t="shared" ca="1" si="2"/>
        <v>0503 3547045.23361929EUSft 1496011.50689108NUSft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CSS14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3547046.9411699506</v>
      </c>
      <c r="C11" s="33">
        <f ca="1">IF(ISNUMBER(A11),CONVERT(Calculations!U27,Units_In,Units_Out),"")</f>
        <v>1496044.3011778041</v>
      </c>
      <c r="D11" s="33" t="str">
        <f>IF(ISTEXT(Calculations!F27),Calculations!F27,"")</f>
        <v/>
      </c>
      <c r="E11" s="10" t="str">
        <f t="shared" ca="1" si="2"/>
        <v>0503 3547046.94116995EUSft 1496044.3011778NUSft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CSS14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3547005.2338441359</v>
      </c>
      <c r="C12" s="33">
        <f ca="1">IF(ISNUMBER(A12),CONVERT(Calculations!U28,Units_In,Units_Out),"")</f>
        <v>1496049.3205985124</v>
      </c>
      <c r="D12" s="33" t="str">
        <f>IF(ISTEXT(Calculations!F28),Calculations!F28,"")</f>
        <v>DISLAND LT</v>
      </c>
      <c r="E12" s="10" t="str">
        <f t="shared" ca="1" si="2"/>
        <v>0503 3547005.23384414EUSft 1496049.32059851NUSft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CSS14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3547092.2119409894</v>
      </c>
      <c r="C13" s="33">
        <f ca="1">IF(ISNUMBER(A13),CONVERT(Calculations!U29,Units_In,Units_Out),"")</f>
        <v>1496098.4743749015</v>
      </c>
      <c r="D13" s="33" t="str">
        <f>IF(ISTEXT(Calculations!F29),Calculations!F29,"")</f>
        <v>ISLAND RT</v>
      </c>
      <c r="E13" s="10" t="str">
        <f t="shared" ca="1" si="2"/>
        <v>0503 3547092.21194099EUSft 1496098.4743749NUSft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CSS14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3547039.2263332335</v>
      </c>
      <c r="C14" s="33">
        <f ca="1">IF(ISNUMBER(A14),CONVERT(Calculations!U30,Units_In,Units_Out),"")</f>
        <v>1496139.6421132027</v>
      </c>
      <c r="D14" s="33" t="str">
        <f>IF(ISTEXT(Calculations!F30),Calculations!F30,"")</f>
        <v>WS</v>
      </c>
      <c r="E14" s="10" t="str">
        <f t="shared" ca="1" si="2"/>
        <v>0503 3547039.22633323EUSft 1496139.6421132NUSft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CSS14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3547027.185806057</v>
      </c>
      <c r="C15" s="33">
        <f ca="1">IF(ISNUMBER(A15),CONVERT(Calculations!U31,Units_In,Units_Out),"")</f>
        <v>1496216.0657455549</v>
      </c>
      <c r="D15" s="33" t="str">
        <f>IF(ISTEXT(Calculations!F31),Calculations!F31,"")</f>
        <v/>
      </c>
      <c r="E15" s="10" t="str">
        <f t="shared" ca="1" si="2"/>
        <v>0503 3547027.18580606EUSft 1496216.06574555NUSft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CSS14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3547020.9079471077</v>
      </c>
      <c r="C16" s="33">
        <f ca="1">IF(ISNUMBER(A16),CONVERT(Calculations!U32,Units_In,Units_Out),"")</f>
        <v>1496279.5951273018</v>
      </c>
      <c r="D16" s="33" t="str">
        <f>IF(ISTEXT(Calculations!F32),Calculations!F32,"")</f>
        <v/>
      </c>
      <c r="E16" s="10" t="str">
        <f t="shared" ca="1" si="2"/>
        <v>0503 3547020.90794711EUSft 1496279.5951273NUSft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CSS14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3546975.3406224558</v>
      </c>
      <c r="C17" s="33">
        <f ca="1">IF(ISNUMBER(A17),CONVERT(Calculations!U33,Units_In,Units_Out),"")</f>
        <v>1496273.2690583395</v>
      </c>
      <c r="D17" s="33" t="str">
        <f>IF(ISTEXT(Calculations!F33),Calculations!F33,"")</f>
        <v>WS</v>
      </c>
      <c r="E17" s="10" t="str">
        <f t="shared" ca="1" si="2"/>
        <v>0503 3546975.34062246EUSft 1496273.26905834NUSft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CSS14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3546974.5481135934</v>
      </c>
      <c r="C18" s="33">
        <f ca="1">IF(ISNUMBER(A18),CONVERT(Calculations!U34,Units_In,Units_Out),"")</f>
        <v>1496273.5576163088</v>
      </c>
      <c r="D18" s="33" t="str">
        <f>IF(ISTEXT(Calculations!F34),Calculations!F34,"")</f>
        <v/>
      </c>
      <c r="E18" s="10" t="str">
        <f t="shared" ca="1" si="2"/>
        <v>0503 3546974.54811359EUSft 1496273.55761631NUSft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CSS14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3546974.3882713555</v>
      </c>
      <c r="C19" s="33">
        <f ca="1">IF(ISNUMBER(A19),CONVERT(Calculations!U35,Units_In,Units_Out),"")</f>
        <v>1496273.6715633874</v>
      </c>
      <c r="D19" s="33" t="str">
        <f>IF(ISTEXT(Calculations!F35),Calculations!F35,"")</f>
        <v/>
      </c>
      <c r="E19" s="10" t="str">
        <f t="shared" ca="1" si="2"/>
        <v>0503 3546974.38827136EUSft 1496273.67156339NUSft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CSS14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3547061.3875797875</v>
      </c>
      <c r="C20" s="33">
        <f ca="1">IF(ISNUMBER(A20),CONVERT(Calculations!U36,Units_In,Units_Out),"")</f>
        <v>1495918.6734571315</v>
      </c>
      <c r="D20" s="33" t="str">
        <f>IF(ISTEXT(Calculations!F36),Calculations!F36,"")</f>
        <v>PT1</v>
      </c>
      <c r="E20" s="10" t="str">
        <f t="shared" ca="1" si="2"/>
        <v>0503 3547061.38757979EUSft 1495918.67345713NUSft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CSS14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3547002.5677055395</v>
      </c>
      <c r="C21" s="33">
        <f ca="1">IF(ISNUMBER(A21),CONVERT(Calculations!U37,Units_In,Units_Out),"")</f>
        <v>1495933.0933063298</v>
      </c>
      <c r="D21" s="33" t="str">
        <f>IF(ISTEXT(Calculations!F37),Calculations!F37,"")</f>
        <v>PT2</v>
      </c>
      <c r="E21" s="10" t="str">
        <f t="shared" ca="1" si="2"/>
        <v>0503 3547002.56770554EUSft 1495933.09330633NUSft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CSS14</v>
      </c>
    </row>
    <row r="22" spans="1:8" x14ac:dyDescent="0.25">
      <c r="A22" s="10" t="str">
        <f>IF(ISNUMBER(Calculations!A38),Calculations!A38,"")</f>
        <v/>
      </c>
      <c r="B22" s="33" t="str">
        <f>IF(ISNUMBER(A22),CONVERT(Calculations!T38,Units_In,Units_Out),"")</f>
        <v/>
      </c>
      <c r="C22" s="33" t="str">
        <f>IF(ISNUMBER(A22),CONVERT(Calculations!U38,Units_In,Units_Out),"")</f>
        <v/>
      </c>
      <c r="D22" s="33" t="str">
        <f>IF(ISTEXT(Calculations!F38),Calculations!F38,"")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IF(ISNUMBER(Calculations!A39),Calculations!A39,"")</f>
        <v/>
      </c>
      <c r="B23" s="33" t="str">
        <f>IF(ISNUMBER(A23),CONVERT(Calculations!T39,Units_In,Units_Out),"")</f>
        <v/>
      </c>
      <c r="C23" s="33" t="str">
        <f>IF(ISNUMBER(A23),CONVERT(Calculations!U39,Units_In,Units_Out),"")</f>
        <v/>
      </c>
      <c r="D23" s="33" t="str">
        <f>IF(ISTEXT(Calculations!F39),Calculations!F39,"")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2013-08-28T10:38:56Z</dcterms:modified>
</cp:coreProperties>
</file>