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45621"/>
</workbook>
</file>

<file path=xl/calcChain.xml><?xml version="1.0" encoding="utf-8"?>
<calcChain xmlns="http://schemas.openxmlformats.org/spreadsheetml/2006/main">
  <c r="G38" i="1" l="1"/>
  <c r="H38" i="1" s="1"/>
  <c r="I38" i="1"/>
  <c r="J38" i="1" s="1"/>
  <c r="N38" i="1"/>
  <c r="X38" i="1"/>
  <c r="Y38" i="1" s="1"/>
  <c r="Z38" i="1"/>
  <c r="AA38" i="1" s="1"/>
  <c r="AB38" i="1"/>
  <c r="AD38" i="1"/>
  <c r="AF38" i="1"/>
  <c r="G39" i="1"/>
  <c r="H39" i="1"/>
  <c r="K39" i="1" s="1"/>
  <c r="I39" i="1"/>
  <c r="J39" i="1"/>
  <c r="L39" i="1"/>
  <c r="V39" i="1" s="1"/>
  <c r="N39" i="1"/>
  <c r="X39" i="1"/>
  <c r="Y39" i="1"/>
  <c r="Z39" i="1"/>
  <c r="AA39" i="1"/>
  <c r="AB39" i="1"/>
  <c r="AC39" i="1"/>
  <c r="AE39" i="1" s="1"/>
  <c r="AD39" i="1"/>
  <c r="AF39" i="1"/>
  <c r="K38" i="1" l="1"/>
  <c r="L38" i="1"/>
  <c r="V38" i="1" s="1"/>
  <c r="AC38" i="1"/>
  <c r="AE38" i="1" s="1"/>
  <c r="Y22" i="1" l="1"/>
  <c r="Y21" i="1"/>
  <c r="X22" i="1"/>
  <c r="Z22" i="1" s="1"/>
  <c r="X21" i="1"/>
  <c r="Z21" i="1" s="1"/>
  <c r="G34" i="1"/>
  <c r="H34" i="1" s="1"/>
  <c r="I34" i="1"/>
  <c r="J34" i="1" s="1"/>
  <c r="G35" i="1"/>
  <c r="H35" i="1"/>
  <c r="K35" i="1" s="1"/>
  <c r="I35" i="1"/>
  <c r="J35" i="1"/>
  <c r="N35" i="1"/>
  <c r="G36" i="1"/>
  <c r="H36" i="1" s="1"/>
  <c r="I36" i="1"/>
  <c r="J36" i="1" s="1"/>
  <c r="G37" i="1"/>
  <c r="H37" i="1"/>
  <c r="K37" i="1" s="1"/>
  <c r="I37" i="1"/>
  <c r="J37" i="1"/>
  <c r="N37" i="1"/>
  <c r="K34" i="1" l="1"/>
  <c r="L34" i="1"/>
  <c r="L37" i="1"/>
  <c r="N36" i="1"/>
  <c r="L35" i="1"/>
  <c r="N34" i="1"/>
  <c r="K36" i="1"/>
  <c r="L36" i="1"/>
  <c r="P5" i="1" l="1"/>
  <c r="P6" i="1"/>
  <c r="P4" i="1"/>
  <c r="V34" i="1" s="1"/>
  <c r="O5" i="1"/>
  <c r="O6" i="1"/>
  <c r="O4" i="1"/>
  <c r="N5" i="1"/>
  <c r="N6" i="1"/>
  <c r="N4" i="1"/>
  <c r="V37" i="1" l="1"/>
  <c r="V36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38" i="1" l="1"/>
  <c r="P38" i="1" s="1"/>
  <c r="Q38" i="1" s="1"/>
  <c r="O39" i="1"/>
  <c r="P39" i="1" s="1"/>
  <c r="Q39" i="1" s="1"/>
  <c r="O35" i="1"/>
  <c r="P35" i="1" s="1"/>
  <c r="Q35" i="1" s="1"/>
  <c r="O34" i="1"/>
  <c r="P34" i="1" s="1"/>
  <c r="Q34" i="1" s="1"/>
  <c r="O36" i="1"/>
  <c r="P36" i="1" s="1"/>
  <c r="Q36" i="1" s="1"/>
  <c r="O37" i="1"/>
  <c r="P37" i="1" s="1"/>
  <c r="Q37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S39" i="1" l="1"/>
  <c r="U39" i="1" s="1"/>
  <c r="R39" i="1"/>
  <c r="T39" i="1" s="1"/>
  <c r="S38" i="1"/>
  <c r="U38" i="1" s="1"/>
  <c r="R38" i="1"/>
  <c r="T38" i="1" s="1"/>
  <c r="S36" i="1"/>
  <c r="U36" i="1" s="1"/>
  <c r="R36" i="1"/>
  <c r="T36" i="1" s="1"/>
  <c r="X36" i="1" s="1"/>
  <c r="S37" i="1"/>
  <c r="U37" i="1" s="1"/>
  <c r="R37" i="1"/>
  <c r="T37" i="1" s="1"/>
  <c r="X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Y37" i="1" l="1"/>
  <c r="Y36" i="1"/>
  <c r="Y35" i="1"/>
  <c r="Y34" i="1"/>
  <c r="Y5" i="1"/>
  <c r="Y8" i="1" s="1"/>
  <c r="X9" i="1"/>
  <c r="Y9" i="1"/>
  <c r="O21" i="1" l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38" i="1" l="1"/>
  <c r="W39" i="1"/>
  <c r="W35" i="1"/>
  <c r="W37" i="1"/>
  <c r="W34" i="1"/>
  <c r="W36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E19" i="2" s="1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Y28" i="1" l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36" i="1" l="1"/>
  <c r="AF36" i="1" s="1"/>
  <c r="AD37" i="1"/>
  <c r="AF37" i="1" s="1"/>
  <c r="AD34" i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36" i="1" l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Z29" i="1"/>
  <c r="AA29" i="1" s="1"/>
  <c r="Z33" i="1"/>
  <c r="AA33" i="1" s="1"/>
  <c r="Z27" i="1"/>
  <c r="AA27" i="1" s="1"/>
  <c r="Z26" i="1"/>
  <c r="AA26" i="1" s="1"/>
  <c r="Z30" i="1"/>
  <c r="AA30" i="1" s="1"/>
  <c r="AA31" i="1"/>
  <c r="AA23" i="1" l="1"/>
  <c r="AC23" i="1" s="1"/>
  <c r="AE23" i="1" s="1"/>
  <c r="AC27" i="1"/>
  <c r="AE27" i="1" s="1"/>
  <c r="AC34" i="1"/>
  <c r="AE34" i="1" s="1"/>
  <c r="AC24" i="1"/>
  <c r="AE24" i="1" s="1"/>
  <c r="AA36" i="1"/>
  <c r="AB36" i="1" s="1"/>
  <c r="AA37" i="1"/>
  <c r="AB37" i="1" s="1"/>
  <c r="AA22" i="1"/>
  <c r="AC22" i="1"/>
  <c r="AA21" i="1"/>
  <c r="AC21" i="1"/>
  <c r="AB35" i="1"/>
  <c r="AC33" i="1"/>
  <c r="AE33" i="1" s="1"/>
  <c r="AC35" i="1"/>
  <c r="AE35" i="1" s="1"/>
  <c r="AB34" i="1"/>
  <c r="AB32" i="1"/>
  <c r="AB33" i="1"/>
  <c r="AB28" i="1"/>
  <c r="AB27" i="1"/>
  <c r="AB29" i="1"/>
  <c r="AB26" i="1"/>
  <c r="AB24" i="1"/>
  <c r="AB31" i="1"/>
  <c r="AB25" i="1"/>
  <c r="AB30" i="1"/>
  <c r="AC25" i="1" l="1"/>
  <c r="AE25" i="1" s="1"/>
  <c r="AC31" i="1"/>
  <c r="AE31" i="1" s="1"/>
  <c r="AC26" i="1"/>
  <c r="AE26" i="1" s="1"/>
  <c r="AC32" i="1"/>
  <c r="AE32" i="1" s="1"/>
  <c r="AC29" i="1"/>
  <c r="AE29" i="1" s="1"/>
  <c r="AC30" i="1"/>
  <c r="AE30" i="1" s="1"/>
  <c r="AC28" i="1"/>
  <c r="AE28" i="1" s="1"/>
  <c r="AB23" i="1"/>
  <c r="AC37" i="1"/>
  <c r="AE37" i="1" s="1"/>
  <c r="AC36" i="1"/>
  <c r="AE36" i="1" s="1"/>
  <c r="AC9" i="1"/>
  <c r="AC10" i="1"/>
  <c r="AI36" i="1" l="1"/>
  <c r="AJ36" i="1" s="1"/>
  <c r="AI37" i="1"/>
  <c r="AJ37" i="1" s="1"/>
  <c r="AI35" i="1"/>
  <c r="AJ35" i="1" s="1"/>
  <c r="AI34" i="1"/>
  <c r="AJ34" i="1" s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<sst xmlns="http://schemas.openxmlformats.org/spreadsheetml/2006/main" count="103" uniqueCount="91">
  <si>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</si>
  <si>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</si>
  <si>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</si>
  <si>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</si>
  <si>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</si>
  <si>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</si>
  <si>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</si>
  <si>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</si>
  <si>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</si>
  <si>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</si>
  <si>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</si>
  <si>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</si>
  <si>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</si>
  <si>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</si>
  <si>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</si>
  <si>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</si>
  <si>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</si>
  <si>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</si>
  <si>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</si>
  <si>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</si>
  <si>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</si>
  <si>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</si>
  <si>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</si>
  <si>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</si>
  <si>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</si>
  <si>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</si>
  <si>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</si>
  <si>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</si>
  <si>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</si>
  <si>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</si>
  <si>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</si>
  <si>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</si>
  <si>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</si>
  <si>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</si>
  <si>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</si>
  <si>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</si>
  <si>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</si>
  <si>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</si>
  <si>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</si>
  <si>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</si>
  <si>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</si>
  <si>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</si>
  <si>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</si>
  <si>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</si>
  <si>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</si>
  <si>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</si>
  <si>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</si>
  <si>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</si>
  <si>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</si>
  <si>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</si>
  <si>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</si>
  <si>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</si>
  <si>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</si>
  <si>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</si>
  <si>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</si>
  <si>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</si>
  <si>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</si>
  <si>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</si>
  <si>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</si>
  <si>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</si>
  <si>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</si>
  <si>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</si>
  <si>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</si>
  <si>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</si>
  <si>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</si>
  <si>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</si>
  <si>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</si>
  <si>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</si>
  <si>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</si>
  <si>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BS</t>
  </si>
  <si>
    <t>PT1</t>
  </si>
  <si>
    <t>PT2</t>
  </si>
  <si>
    <t>ft</t>
  </si>
  <si>
    <t>m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</si>
  <si>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</si>
  <si>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</si>
  <si>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</si>
  <si>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</si>
  <si>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</si>
  <si>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</si>
  <si>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</si>
  <si>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</si>
  <si>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</si>
  <si>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</si>
  <si>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</si>
  <si>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</si>
  <si>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</si>
  <si>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>CSS16</t>
  </si>
  <si>
    <t>1,455725.027,1082223.691,1225.353,1225.353,</t>
  </si>
  <si>
    <t>2,455777.993,1082244.315,1225.718,1225.718,</t>
  </si>
  <si>
    <t>3,455740.421,1082250.964,1223.987,1223.987,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</si>
</sst>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Calculations!$AH$23:$AH$66</c:f>
              <c:numCache>
                <c:formatCode>General</c:formatCode>
                <c:ptCount val="44"/>
                <c:pt idx="0">
                  <c:v>0</c:v>
                </c:pt>
                <c:pt idx="1">
                  <c:v>7.23</c:v>
                </c:pt>
                <c:pt idx="2">
                  <c:v>14.76</c:v>
                </c:pt>
                <c:pt idx="3">
                  <c:v>22.49</c:v>
                </c:pt>
                <c:pt idx="4">
                  <c:v>45.86</c:v>
                </c:pt>
                <c:pt idx="5">
                  <c:v>61.85</c:v>
                </c:pt>
                <c:pt idx="6">
                  <c:v>72.16</c:v>
                </c:pt>
                <c:pt idx="7">
                  <c:v>84.13</c:v>
                </c:pt>
                <c:pt idx="8">
                  <c:v>101.17</c:v>
                </c:pt>
                <c:pt idx="9">
                  <c:v>124.97</c:v>
                </c:pt>
                <c:pt idx="10">
                  <c:v>180.51</c:v>
                </c:pt>
                <c:pt idx="11">
                  <c:v>195.51</c:v>
                </c:pt>
                <c:pt idx="12">
                  <c:v>206.33</c:v>
                </c:pt>
                <c:pt idx="13">
                  <c:v>211.36</c:v>
                </c:pt>
                <c:pt idx="14">
                  <c:v>221.46</c:v>
                </c:pt>
              </c:numCache>
            </c:numRef>
          </c:xVal>
          <c:yVal>
            <c:numRef>
              <c:f>Calculations!$AI$23:$AI$66</c:f>
              <c:numCache>
                <c:formatCode>General</c:formatCode>
                <c:ptCount val="44"/>
                <c:pt idx="0">
                  <c:v>8.24</c:v>
                </c:pt>
                <c:pt idx="1">
                  <c:v>7.08</c:v>
                </c:pt>
                <c:pt idx="2">
                  <c:v>3.41</c:v>
                </c:pt>
                <c:pt idx="3">
                  <c:v>2.31</c:v>
                </c:pt>
                <c:pt idx="4">
                  <c:v>1.8</c:v>
                </c:pt>
                <c:pt idx="5">
                  <c:v>0.88</c:v>
                </c:pt>
                <c:pt idx="6">
                  <c:v>0.24</c:v>
                </c:pt>
                <c:pt idx="7">
                  <c:v>0</c:v>
                </c:pt>
                <c:pt idx="8">
                  <c:v>0.86</c:v>
                </c:pt>
                <c:pt idx="9">
                  <c:v>1.38</c:v>
                </c:pt>
                <c:pt idx="10">
                  <c:v>2.9</c:v>
                </c:pt>
                <c:pt idx="11">
                  <c:v>6.25</c:v>
                </c:pt>
                <c:pt idx="12">
                  <c:v>11.71</c:v>
                </c:pt>
                <c:pt idx="13">
                  <c:v>10.88</c:v>
                </c:pt>
                <c:pt idx="14">
                  <c:v>13.46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6624"/>
        <c:axId val="91353856"/>
      </c:scatterChart>
      <c:valAx>
        <c:axId val="908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53856"/>
        <c:crosses val="autoZero"/>
        <c:crossBetween val="midCat"/>
      </c:valAx>
      <c:valAx>
        <c:axId val="9135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2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Calculations!$R$23:$R$35</c:f>
              <c:numCache>
                <c:formatCode>0.00</c:formatCode>
                <c:ptCount val="13"/>
                <c:pt idx="0">
                  <c:v>-37.485753690103067</c:v>
                </c:pt>
                <c:pt idx="1">
                  <c:v>-36.887943464047545</c:v>
                </c:pt>
                <c:pt idx="2">
                  <c:v>-35.341156670414925</c:v>
                </c:pt>
                <c:pt idx="3">
                  <c:v>-34.4428106026444</c:v>
                </c:pt>
                <c:pt idx="4">
                  <c:v>-30.998287491930785</c:v>
                </c:pt>
                <c:pt idx="5">
                  <c:v>-28.860091145162876</c:v>
                </c:pt>
                <c:pt idx="6">
                  <c:v>-27.36459405987809</c:v>
                </c:pt>
                <c:pt idx="7">
                  <c:v>-25.937949025232527</c:v>
                </c:pt>
                <c:pt idx="8">
                  <c:v>-24.197047254866767</c:v>
                </c:pt>
                <c:pt idx="9">
                  <c:v>-21.756482226385678</c:v>
                </c:pt>
                <c:pt idx="10">
                  <c:v>-12.088206731823286</c:v>
                </c:pt>
                <c:pt idx="11">
                  <c:v>-9.6897191949654733</c:v>
                </c:pt>
                <c:pt idx="12">
                  <c:v>-9.0771612314283256</c:v>
                </c:pt>
              </c:numCache>
            </c:numRef>
          </c:xVal>
          <c:yVal>
            <c:numRef>
              <c:f>Calculations!$S$23:$S$35</c:f>
              <c:numCache>
                <c:formatCode>0.00</c:formatCode>
                <c:ptCount val="13"/>
                <c:pt idx="0">
                  <c:v>14.647415606212963</c:v>
                </c:pt>
                <c:pt idx="1">
                  <c:v>16.814774503500928</c:v>
                </c:pt>
                <c:pt idx="2">
                  <c:v>18.605342825524509</c:v>
                </c:pt>
                <c:pt idx="3">
                  <c:v>20.789618916492895</c:v>
                </c:pt>
                <c:pt idx="4">
                  <c:v>27.029459017147094</c:v>
                </c:pt>
                <c:pt idx="5">
                  <c:v>31.409365723027822</c:v>
                </c:pt>
                <c:pt idx="6">
                  <c:v>34.176416314717677</c:v>
                </c:pt>
                <c:pt idx="7">
                  <c:v>37.543633486800097</c:v>
                </c:pt>
                <c:pt idx="8">
                  <c:v>42.484316047879894</c:v>
                </c:pt>
                <c:pt idx="9">
                  <c:v>49.380009345015253</c:v>
                </c:pt>
                <c:pt idx="10">
                  <c:v>63.459492692096084</c:v>
                </c:pt>
                <c:pt idx="11">
                  <c:v>67.36780302710666</c:v>
                </c:pt>
                <c:pt idx="12">
                  <c:v>70.755937563127816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79200"/>
        <c:axId val="91385856"/>
      </c:scatterChart>
      <c:valAx>
        <c:axId val="91379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1385856"/>
        <c:crosses val="autoZero"/>
        <c:crossBetween val="midCat"/>
      </c:valAx>
      <c:valAx>
        <c:axId val="91385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37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Calculations!$Z$21:$Z$37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1082186.0843164797</c:v>
                </c:pt>
                <c:pt idx="3">
                  <c:v>1082187.0798401497</c:v>
                </c:pt>
                <c:pt idx="4">
                  <c:v>1082188.1171790706</c:v>
                </c:pt>
                <c:pt idx="5">
                  <c:v>1082189.1808565971</c:v>
                </c:pt>
                <c:pt idx="6">
                  <c:v>1082192.3987051353</c:v>
                </c:pt>
                <c:pt idx="7">
                  <c:v>1082194.6003332434</c:v>
                </c:pt>
                <c:pt idx="8">
                  <c:v>1082196.0207595094</c:v>
                </c:pt>
                <c:pt idx="9">
                  <c:v>1082197.6690210814</c:v>
                </c:pt>
                <c:pt idx="10">
                  <c:v>1082200.0155776448</c:v>
                </c:pt>
                <c:pt idx="11">
                  <c:v>1082203.2928614318</c:v>
                </c:pt>
                <c:pt idx="12">
                  <c:v>1082210.9405390248</c:v>
                </c:pt>
                <c:pt idx="13">
                  <c:v>1082213.0052202824</c:v>
                </c:pt>
                <c:pt idx="14">
                  <c:v>1082214.495767107</c:v>
                </c:pt>
                <c:pt idx="15">
                  <c:v>1082215.1878512516</c:v>
                </c:pt>
                <c:pt idx="16">
                  <c:v>1082216.5789774468</c:v>
                </c:pt>
              </c:numCache>
            </c:numRef>
          </c:xVal>
          <c:yVal>
            <c:numRef>
              <c:f>Calculations!$AA$21:$AA$37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455739.7356519457</c:v>
                </c:pt>
                <c:pt idx="3">
                  <c:v>455741.70161706302</c:v>
                </c:pt>
                <c:pt idx="4">
                  <c:v>455743.75015914626</c:v>
                </c:pt>
                <c:pt idx="5">
                  <c:v>455745.85071483953</c:v>
                </c:pt>
                <c:pt idx="6">
                  <c:v>455752.20533820894</c:v>
                </c:pt>
                <c:pt idx="7">
                  <c:v>455756.55312439613</c:v>
                </c:pt>
                <c:pt idx="8">
                  <c:v>455759.35818928247</c:v>
                </c:pt>
                <c:pt idx="9">
                  <c:v>455762.61318446929</c:v>
                </c:pt>
                <c:pt idx="10">
                  <c:v>455767.24717609398</c:v>
                </c:pt>
                <c:pt idx="11">
                  <c:v>455773.71917248983</c:v>
                </c:pt>
                <c:pt idx="12">
                  <c:v>455788.82184440736</c:v>
                </c:pt>
                <c:pt idx="13">
                  <c:v>455792.89918727009</c:v>
                </c:pt>
                <c:pt idx="14">
                  <c:v>455795.84272658592</c:v>
                </c:pt>
                <c:pt idx="15">
                  <c:v>455797.20945781237</c:v>
                </c:pt>
                <c:pt idx="16">
                  <c:v>455799.95666077221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4352"/>
        <c:axId val="148318464"/>
      </c:scatterChart>
      <c:valAx>
        <c:axId val="1483243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8318464"/>
        <c:crosses val="autoZero"/>
        <c:crossBetween val="midCat"/>
      </c:valAx>
      <c:valAx>
        <c:axId val="148318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832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13600"/>
        <c:axId val="91515136"/>
      </c:scatterChart>
      <c:valAx>
        <c:axId val="9151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15136"/>
        <c:crosses val="autoZero"/>
        <c:crossBetween val="midCat"/>
      </c:valAx>
      <c:valAx>
        <c:axId val="9151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513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666497</xdr:colOff>
      <xdr:row>39</xdr:row>
      <xdr:rowOff>146162</xdr:rowOff>
    </xdr:from>
    <xdr:to>
      <xdr:col>34</xdr:col>
      <xdr:colOff>235068</xdr:colOff>
      <xdr:row>54</xdr:row>
      <xdr:rowOff>31862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56030</xdr:colOff>
      <xdr:row>39</xdr:row>
      <xdr:rowOff>154664</xdr:rowOff>
    </xdr:from>
    <xdr:to>
      <xdr:col>21</xdr:col>
      <xdr:colOff>4159</xdr:colOff>
      <xdr:row>54</xdr:row>
      <xdr:rowOff>40364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268942</xdr:colOff>
      <xdr:row>39</xdr:row>
      <xdr:rowOff>174812</xdr:rowOff>
    </xdr:from>
    <xdr:to>
      <xdr:col>27</xdr:col>
      <xdr:colOff>481854</xdr:colOff>
      <xdr:row>54</xdr:row>
      <xdr:rowOff>60512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5"/>
  <sheetViews>
    <sheetView tabSelected="1" zoomScale="85" zoomScaleNormal="85" workbookViewId="0">
      <selection sqref="A1:B1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60" t="s">
        <v>87</v>
      </c>
      <c r="B1" s="61"/>
      <c r="C1" s="51">
        <v>40825</v>
      </c>
      <c r="D1" s="44"/>
      <c r="E1" s="44"/>
      <c r="F1" s="44"/>
      <c r="M1" s="58" t="s">
        <v>21</v>
      </c>
      <c r="N1" s="58"/>
      <c r="O1" s="58"/>
      <c r="P1" s="58"/>
      <c r="Q1" s="58"/>
      <c r="R1" s="22"/>
      <c r="W1" s="55" t="s">
        <v>34</v>
      </c>
      <c r="X1" s="55"/>
      <c r="Y1" s="55"/>
      <c r="Z1" s="2"/>
      <c r="AA1" s="55" t="s">
        <v>56</v>
      </c>
      <c r="AB1" s="55"/>
      <c r="AC1" s="55"/>
    </row>
    <row r="2" spans="1:29" x14ac:dyDescent="0.25">
      <c r="A2" s="60" t="s">
        <v>16</v>
      </c>
      <c r="B2" s="61"/>
      <c r="C2" s="38">
        <v>1.3640000000000001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60" t="s">
        <v>66</v>
      </c>
      <c r="B3" s="61"/>
      <c r="C3" s="38" t="s">
        <v>73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1.9748049959188927</v>
      </c>
    </row>
    <row r="4" spans="1:29" ht="18" x14ac:dyDescent="0.35">
      <c r="A4" s="60" t="s">
        <v>67</v>
      </c>
      <c r="B4" s="61"/>
      <c r="C4" s="38" t="s">
        <v>72</v>
      </c>
      <c r="D4" s="44"/>
      <c r="E4" s="44"/>
      <c r="F4" s="44"/>
      <c r="M4" s="22">
        <v>0</v>
      </c>
      <c r="N4" s="20">
        <f>VALUE(MID(C10,FIND(",",C10,3)+1,FIND(",",C10,15)-FIND(",",C10,3)-1))</f>
        <v>1082223.6910000001</v>
      </c>
      <c r="O4" s="20">
        <f>VALUE(MID(C10,FIND(",",C10,1)+1,FIND(",",C10,5)-FIND(",",C10,1)-1))</f>
        <v>455725.027</v>
      </c>
      <c r="P4" s="20">
        <f>VALUE(MID(C10,FIND(",",C10,17)+1,FIND(",",C10,27)-FIND(",",C10,17)-1))</f>
        <v>1225.3530000000001</v>
      </c>
      <c r="Q4" s="23"/>
      <c r="R4" s="22"/>
      <c r="W4" s="27"/>
      <c r="X4" s="20">
        <f ca="1">VALUE(OFFSET($P$3,MATCH($O$10,$M$4:$M$6,0),0))</f>
        <v>1225.7180000000001</v>
      </c>
      <c r="Y4" s="20">
        <f ca="1">OFFSET($P$3,MATCH($Q$10,$M$4:$M$6,0),0)</f>
        <v>1223.9870000000001</v>
      </c>
      <c r="Z4" s="2"/>
      <c r="AA4" s="26" t="s">
        <v>41</v>
      </c>
      <c r="AB4" s="26" t="s">
        <v>54</v>
      </c>
      <c r="AC4" s="28">
        <f ca="1">INTERCEPT(yB,xB)</f>
        <v>-1681366.7501701424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1082244.3149999999</v>
      </c>
      <c r="O5" s="20">
        <f t="shared" ref="O5:O6" si="1">VALUE(MID(C11,FIND(",",C11,1)+1,FIND(",",C11,5)-FIND(",",C11,1)-1))</f>
        <v>455777.99300000002</v>
      </c>
      <c r="P5" s="20">
        <f t="shared" ref="P5:P6" si="2">VALUE(MID(C11,FIND(",",C11,17)+1,FIND(",",C11,27)-FIND(",",C11,17)-1))</f>
        <v>1225.7180000000001</v>
      </c>
      <c r="Q5" s="24">
        <f>DEGREES(ATAN2(Old_Y1-Old_Y0,Old_X1-Old_X0))+IF(Old_X1-Old_X0&lt;0,360)</f>
        <v>21.275036472621657</v>
      </c>
      <c r="R5" s="22"/>
      <c r="W5" s="21"/>
      <c r="X5" s="20">
        <f ca="1">VALUE(OFFSET($V$20,MATCH($O11,$A$21:$A$51,0),0))</f>
        <v>1225.5997947235492</v>
      </c>
      <c r="Y5" s="20">
        <f ca="1">OFFSET($V$20,MATCH($Q11,$A$21:$A$51,0),0)</f>
        <v>1224.4846066146335</v>
      </c>
      <c r="Z5" s="2"/>
      <c r="AA5" s="26"/>
      <c r="AB5" s="26"/>
      <c r="AC5" s="20"/>
    </row>
    <row r="6" spans="1:29" ht="18" x14ac:dyDescent="0.35">
      <c r="A6" s="62" t="s">
        <v>17</v>
      </c>
      <c r="B6" s="62"/>
      <c r="C6" s="38">
        <v>3</v>
      </c>
      <c r="D6" s="4"/>
      <c r="E6" s="44"/>
      <c r="F6" s="44"/>
      <c r="M6" s="22">
        <v>2</v>
      </c>
      <c r="N6" s="20">
        <f t="shared" si="0"/>
        <v>1082250.9639999999</v>
      </c>
      <c r="O6" s="20">
        <f t="shared" si="1"/>
        <v>455740.42099999997</v>
      </c>
      <c r="P6" s="20">
        <f t="shared" si="2"/>
        <v>1223.9870000000001</v>
      </c>
      <c r="Q6" s="24">
        <f>DEGREES(ATAN2(Old_Y2-Old_Y0,Old_X2-Old_X0))+IF(Old_X2-Old_X0&lt;0,360)</f>
        <v>60.557834718744836</v>
      </c>
      <c r="R6" s="22"/>
      <c r="W6" s="21"/>
      <c r="X6" s="20">
        <f ca="1">VALUE(OFFSET($V$20,MATCH($O12,$A$21:$A$61,0),0))</f>
        <v>1225.6127669361763</v>
      </c>
      <c r="Y6" s="20">
        <f ca="1">VALUE(OFFSET($V$20,MATCH($O12,$A$21:$A$61,0),0))</f>
        <v>1225.6127669361763</v>
      </c>
      <c r="Z6" s="5"/>
      <c r="AA6" s="26" t="s">
        <v>42</v>
      </c>
      <c r="AB6" s="21" t="s">
        <v>55</v>
      </c>
      <c r="AC6" s="20">
        <f ca="1">-1/mA</f>
        <v>-0.50637911189539597</v>
      </c>
    </row>
    <row r="7" spans="1:29" x14ac:dyDescent="0.25">
      <c r="A7" s="62" t="s">
        <v>18</v>
      </c>
      <c r="B7" s="62"/>
      <c r="C7" s="38">
        <v>17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5" t="s">
        <v>24</v>
      </c>
      <c r="P8" s="55"/>
      <c r="Q8" s="55" t="s">
        <v>25</v>
      </c>
      <c r="R8" s="55"/>
      <c r="W8" s="21" t="s">
        <v>35</v>
      </c>
      <c r="X8" s="20">
        <f ca="1">X5-X4</f>
        <v>-0.11820527645090806</v>
      </c>
      <c r="Y8" s="20">
        <f ca="1">Y5-Y4</f>
        <v>0.49760661463346878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-0.10523306382378905</v>
      </c>
      <c r="Y9" s="20">
        <f ca="1">Y6-Y4</f>
        <v>1.6257669361762055</v>
      </c>
      <c r="AA9" s="31" t="s">
        <v>49</v>
      </c>
      <c r="AB9" s="31"/>
      <c r="AC9" s="20">
        <f ca="1">AVERAGE(DfromL)</f>
        <v>0.46503545473549146</v>
      </c>
    </row>
    <row r="10" spans="1:29" s="16" customFormat="1" x14ac:dyDescent="0.25">
      <c r="A10" s="53"/>
      <c r="B10" s="48"/>
      <c r="C10" s="35" t="s">
        <v>88</v>
      </c>
      <c r="D10" s="36"/>
      <c r="E10" s="37"/>
      <c r="F10" s="47"/>
      <c r="M10" s="59" t="s">
        <v>22</v>
      </c>
      <c r="N10" s="59"/>
      <c r="O10" s="32">
        <v>1</v>
      </c>
      <c r="P10" s="20">
        <f ca="1">OFFSET($Q$3,MATCH($O$10,$M$4:$M$6,0),0)</f>
        <v>21.275036472621657</v>
      </c>
      <c r="Q10" s="32">
        <v>2</v>
      </c>
      <c r="R10" s="20">
        <f ca="1">OFFSET($Q$3,MATCH($O$10,$M$4:$M$6,0),0)</f>
        <v>21.275036472621657</v>
      </c>
      <c r="W10" s="22"/>
      <c r="X10" s="22"/>
      <c r="Y10" s="22"/>
      <c r="AA10" s="31" t="s">
        <v>50</v>
      </c>
      <c r="AB10" s="31"/>
      <c r="AC10" s="20">
        <f ca="1">_xlfn.STDEV.P(DfromL)</f>
        <v>0.39733784416526274</v>
      </c>
    </row>
    <row r="11" spans="1:29" s="16" customFormat="1" x14ac:dyDescent="0.25">
      <c r="A11" s="14"/>
      <c r="B11" s="48"/>
      <c r="C11" s="35" t="s">
        <v>89</v>
      </c>
      <c r="D11" s="36"/>
      <c r="E11" s="37"/>
      <c r="F11" s="47"/>
      <c r="M11" s="55" t="s">
        <v>31</v>
      </c>
      <c r="N11" s="55"/>
      <c r="O11" s="32">
        <v>1</v>
      </c>
      <c r="P11" s="20">
        <f ca="1">OFFSET($N$20,MATCH($O11,$A$21:$A$51,0),0)</f>
        <v>359.9997222222222</v>
      </c>
      <c r="Q11" s="32">
        <v>2</v>
      </c>
      <c r="R11" s="20">
        <f ca="1">OFFSET($N$20,MATCH($Q11,$A$21:$A$51,0),0)</f>
        <v>40.206111111111113</v>
      </c>
      <c r="W11" s="21" t="s">
        <v>37</v>
      </c>
      <c r="X11" s="20">
        <f ca="1">AVERAGE(X8:Y9)</f>
        <v>0.47498380263374429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90</v>
      </c>
      <c r="D12" s="36"/>
      <c r="E12" s="37"/>
      <c r="F12" s="47"/>
      <c r="M12" s="55" t="s">
        <v>30</v>
      </c>
      <c r="N12" s="55"/>
      <c r="O12" s="32">
        <v>19</v>
      </c>
      <c r="P12" s="20">
        <f ca="1">OFFSET($N$20,MATCH($O12,$A$21:$A$61,0),0)</f>
        <v>359.96749999999997</v>
      </c>
      <c r="Q12" s="32">
        <v>18</v>
      </c>
      <c r="R12" s="20">
        <f ca="1">OFFSET($N$20,MATCH($Q12,$A$21:$A$51,0),0)</f>
        <v>40.37083333333333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1220.9868097157512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5" t="s">
        <v>32</v>
      </c>
      <c r="N14" s="55"/>
      <c r="O14" s="22"/>
      <c r="P14" s="20">
        <f ca="1">P10-P11+IF(P11&gt;P10,360)</f>
        <v>21.275314250399447</v>
      </c>
      <c r="Q14" s="20"/>
      <c r="R14" s="20">
        <f ca="1">R10-R11+IF(R11&gt;R10,360)</f>
        <v>341.06892536151054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5" t="s">
        <v>33</v>
      </c>
      <c r="N15" s="55"/>
      <c r="O15" s="22"/>
      <c r="P15" s="20">
        <f ca="1">P10-P12+IF(P12&gt;P10,360)</f>
        <v>21.307536472621678</v>
      </c>
      <c r="Q15" s="20"/>
      <c r="R15" s="20">
        <f ca="1">R10-R12+IF(R12&gt;R10,360)</f>
        <v>340.90420313928831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5" t="s">
        <v>39</v>
      </c>
      <c r="N17" s="55"/>
      <c r="O17" s="20">
        <f ca="1">AVERAGE(P14:P15,R14:R15)</f>
        <v>181.13899480595501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6" t="s">
        <v>20</v>
      </c>
      <c r="U19" s="56"/>
      <c r="X19" s="57" t="s">
        <v>45</v>
      </c>
      <c r="Y19" s="57"/>
      <c r="Z19" s="57" t="s">
        <v>46</v>
      </c>
      <c r="AA19" s="57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84</v>
      </c>
      <c r="H20" s="12" t="s">
        <v>78</v>
      </c>
      <c r="I20" s="12" t="s">
        <v>83</v>
      </c>
      <c r="J20" s="12" t="s">
        <v>82</v>
      </c>
      <c r="K20" s="3" t="s">
        <v>76</v>
      </c>
      <c r="L20" s="3" t="s">
        <v>77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81</v>
      </c>
      <c r="R20" s="19" t="s">
        <v>79</v>
      </c>
      <c r="S20" s="19" t="s">
        <v>80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74</v>
      </c>
      <c r="AF20" s="19" t="s">
        <v>75</v>
      </c>
      <c r="AG20" s="19"/>
      <c r="AH20" s="19"/>
      <c r="AI20" s="19"/>
    </row>
    <row r="21" spans="1:36" x14ac:dyDescent="0.25">
      <c r="A21" s="44">
        <v>1</v>
      </c>
      <c r="B21" s="48">
        <v>14.999988425925926</v>
      </c>
      <c r="C21" s="48">
        <v>3.7342476851851849</v>
      </c>
      <c r="D21" s="44">
        <v>56.802</v>
      </c>
      <c r="E21" s="44">
        <v>1.492</v>
      </c>
      <c r="F21" s="49" t="s">
        <v>86</v>
      </c>
      <c r="G21" s="43">
        <f>C21*24</f>
        <v>89.621944444444438</v>
      </c>
      <c r="H21" s="43">
        <f>RADIANS(G21)</f>
        <v>1.5641980125949957</v>
      </c>
      <c r="I21" s="43">
        <f t="shared" ref="I21:I34" si="3">B21*24</f>
        <v>359.9997222222222</v>
      </c>
      <c r="J21" s="39">
        <f>RADIANS(I21)</f>
        <v>6.2831804590427751</v>
      </c>
      <c r="K21" s="39">
        <f>D21*SIN(H21)</f>
        <v>56.800763488840531</v>
      </c>
      <c r="L21" s="15">
        <f>D21*COS(H21)</f>
        <v>0.37479472354911175</v>
      </c>
      <c r="M21" s="13"/>
      <c r="N21" s="16">
        <f t="shared" ref="N21:N34" si="4">I21+M21</f>
        <v>359.9997222222222</v>
      </c>
      <c r="O21" s="16">
        <f ca="1">$O$17</f>
        <v>181.13899480595501</v>
      </c>
      <c r="P21" s="16">
        <f ca="1">SUM(N21,O21)</f>
        <v>541.13871702817721</v>
      </c>
      <c r="Q21" s="16">
        <f ca="1">RADIANS(P21)</f>
        <v>9.4446523221595964</v>
      </c>
      <c r="R21" s="16">
        <f t="shared" ref="R21:R34" ca="1" si="5">K21*SIN(Q21)</f>
        <v>-1.1288045862603453</v>
      </c>
      <c r="S21" s="16">
        <f t="shared" ref="S21:S34" ca="1" si="6">K21*COS(Q21)</f>
        <v>-56.789545984461235</v>
      </c>
      <c r="T21" s="13">
        <f t="shared" ref="T21:T34" ca="1" si="7">Old_X0+R21</f>
        <v>1082222.5621954137</v>
      </c>
      <c r="U21" s="13">
        <f t="shared" ref="U21:U34" ca="1" si="8">Old_Y0+S21</f>
        <v>455668.23745401553</v>
      </c>
      <c r="V21" s="16">
        <f t="shared" ref="V21:V34" si="9">Old_Z0+HI+L21-E21</f>
        <v>1225.5997947235492</v>
      </c>
      <c r="W21" s="16">
        <f t="shared" ref="W21:W34" ca="1" si="10">IF(ISNUMBER(T21),V21+dZ,"")</f>
        <v>1226.0747785261829</v>
      </c>
      <c r="X21" s="16" t="str">
        <f>IF(AND(A21&gt;=CS_Start,A21&lt;=CS_End),IF(OR(LEFT(UPPER(F21))="D"),"",T21),"")</f>
        <v/>
      </c>
      <c r="Y21" s="16" t="str">
        <f>IF(ISNUMBER(X21),U21,"")</f>
        <v/>
      </c>
      <c r="Z21" s="16" t="e">
        <f>IF(X21="",NA(),VALUE((-mB*X21+Y21-bA)/(mA-mB)))</f>
        <v>#N/A</v>
      </c>
      <c r="AA21" s="16" t="e">
        <f>IF(ISNA(Z21),NA(),VALUE(mA*Z21+bA))</f>
        <v>#N/A</v>
      </c>
      <c r="AB21" s="16" t="str">
        <f>IF(ISNUMBER(X21),SQRT((X21-Z21)^2+(Y21-AA21)^2),"")</f>
        <v/>
      </c>
      <c r="AC21" s="16" t="str">
        <f t="shared" ref="AC21:AC23" ca="1" si="11">IF(ISNUMBER(Z21),SQRT(($Z21-OFFSET($Z$20,MATCH(CS_Start,$A$21:$A$51,0),0))^2+($AA21-OFFSET($AA$20,MATCH(CS_Start,$A$21:$A$51,0),0))^2),"")</f>
        <v/>
      </c>
      <c r="AD21" s="16" t="str">
        <f t="shared" ref="AD21:AD23" si="12">IF(ISNUMBER(X21),W21-Min_Z,"")</f>
        <v/>
      </c>
    </row>
    <row r="22" spans="1:36" x14ac:dyDescent="0.25">
      <c r="A22" s="44">
        <v>2</v>
      </c>
      <c r="B22" s="48">
        <v>1.6752546296296298</v>
      </c>
      <c r="C22" s="48">
        <v>3.8083796296296293</v>
      </c>
      <c r="D22" s="44">
        <v>30.28</v>
      </c>
      <c r="E22" s="44">
        <v>1.492</v>
      </c>
      <c r="F22" s="49" t="s">
        <v>69</v>
      </c>
      <c r="G22" s="43">
        <f t="shared" ref="G22:G34" si="13">C22*24</f>
        <v>91.401111111111106</v>
      </c>
      <c r="H22" s="43">
        <f t="shared" ref="H22:H34" si="14">RADIANS(G22)</f>
        <v>1.5952503288700615</v>
      </c>
      <c r="I22" s="43">
        <f t="shared" si="3"/>
        <v>40.206111111111113</v>
      </c>
      <c r="J22" s="39">
        <f t="shared" ref="J22:J34" si="15">RADIANS(I22)</f>
        <v>0.70172901831156465</v>
      </c>
      <c r="K22" s="39">
        <f t="shared" ref="K22:K34" si="16">D22*SIN(H22)</f>
        <v>30.270946758152533</v>
      </c>
      <c r="L22" s="15">
        <f t="shared" ref="L22:L34" si="17">D22*COS(H22)</f>
        <v>-0.74039338536665589</v>
      </c>
      <c r="M22" s="13"/>
      <c r="N22" s="16">
        <f t="shared" si="4"/>
        <v>40.206111111111113</v>
      </c>
      <c r="O22" s="16">
        <f t="shared" ref="O22:O39" ca="1" si="18">$O$17</f>
        <v>181.13899480595501</v>
      </c>
      <c r="P22" s="16">
        <f t="shared" ref="P22:P34" ca="1" si="19">SUM(N22,O22)</f>
        <v>221.34510591706612</v>
      </c>
      <c r="Q22" s="16">
        <f t="shared" ref="Q22:Q34" ca="1" si="20">RADIANS(P22)</f>
        <v>3.8632008814283867</v>
      </c>
      <c r="R22" s="16">
        <f t="shared" ca="1" si="5"/>
        <v>-19.996772312132471</v>
      </c>
      <c r="S22" s="16">
        <f t="shared" ca="1" si="6"/>
        <v>-22.725741236132155</v>
      </c>
      <c r="T22" s="13">
        <f t="shared" ca="1" si="7"/>
        <v>1082203.694227688</v>
      </c>
      <c r="U22" s="13">
        <f t="shared" ca="1" si="8"/>
        <v>455702.30125876388</v>
      </c>
      <c r="V22" s="16">
        <f t="shared" si="9"/>
        <v>1224.4846066146335</v>
      </c>
      <c r="W22" s="16">
        <f t="shared" ca="1" si="10"/>
        <v>1224.9595904172672</v>
      </c>
      <c r="X22" s="47" t="str">
        <f>IF(AND(A22&gt;=CS_Start,A22&lt;=CS_End),IF(OR(LEFT(UPPER(F22))="D"),"",T22),"")</f>
        <v/>
      </c>
      <c r="Y22" s="47" t="str">
        <f t="shared" ref="Y22:Y37" si="21">IF(ISNUMBER(X22),U22,"")</f>
        <v/>
      </c>
      <c r="Z22" s="47" t="e">
        <f>IF(X22="",NA(),VALUE((-mB*X22+Y22-bA)/(mA-mB)))</f>
        <v>#N/A</v>
      </c>
      <c r="AA22" s="47" t="e">
        <f>IF(ISNA(Z22),NA(),VALUE(mA*Z22+bA))</f>
        <v>#N/A</v>
      </c>
      <c r="AB22" s="16" t="str">
        <f t="shared" ref="AB22:AB23" si="22">IF(ISNUMBER(X22),SQRT((X22-Z22)^2+(Y22-AA22)^2),"")</f>
        <v/>
      </c>
      <c r="AC22" s="16" t="str">
        <f t="shared" ca="1" si="11"/>
        <v/>
      </c>
      <c r="AD22" s="16" t="str">
        <f t="shared" si="12"/>
        <v/>
      </c>
    </row>
    <row r="23" spans="1:36" x14ac:dyDescent="0.25">
      <c r="A23" s="44">
        <v>3</v>
      </c>
      <c r="B23" s="48">
        <v>4.5918287037037038</v>
      </c>
      <c r="C23" s="48">
        <v>3.8804398148148151</v>
      </c>
      <c r="D23" s="44">
        <v>40.305999999999997</v>
      </c>
      <c r="E23" s="44">
        <v>1.492</v>
      </c>
      <c r="F23" s="44"/>
      <c r="G23" s="43">
        <f t="shared" si="13"/>
        <v>93.13055555555556</v>
      </c>
      <c r="H23" s="43">
        <f t="shared" si="14"/>
        <v>1.6254348286559415</v>
      </c>
      <c r="I23" s="43">
        <f t="shared" si="3"/>
        <v>110.20388888888888</v>
      </c>
      <c r="J23" s="39">
        <f t="shared" si="15"/>
        <v>1.9234207096131064</v>
      </c>
      <c r="K23" s="39">
        <f t="shared" si="16"/>
        <v>40.24585088746673</v>
      </c>
      <c r="L23" s="15">
        <f t="shared" si="17"/>
        <v>-2.2011638611864215</v>
      </c>
      <c r="M23" s="13"/>
      <c r="N23" s="16">
        <f t="shared" si="4"/>
        <v>110.20388888888888</v>
      </c>
      <c r="O23" s="16">
        <f t="shared" ca="1" si="18"/>
        <v>181.13899480595501</v>
      </c>
      <c r="P23" s="16">
        <f t="shared" ca="1" si="19"/>
        <v>291.34288369484386</v>
      </c>
      <c r="Q23" s="16">
        <f t="shared" ca="1" si="20"/>
        <v>5.0848925727299283</v>
      </c>
      <c r="R23" s="16">
        <f t="shared" ca="1" si="5"/>
        <v>-37.485753690103067</v>
      </c>
      <c r="S23" s="16">
        <f t="shared" ca="1" si="6"/>
        <v>14.647415606212963</v>
      </c>
      <c r="T23" s="13">
        <f t="shared" ca="1" si="7"/>
        <v>1082186.20524631</v>
      </c>
      <c r="U23" s="13">
        <f t="shared" ca="1" si="8"/>
        <v>455739.67441560619</v>
      </c>
      <c r="V23" s="16">
        <f t="shared" si="9"/>
        <v>1223.0238361388137</v>
      </c>
      <c r="W23" s="16">
        <f t="shared" ca="1" si="10"/>
        <v>1223.4988199414474</v>
      </c>
      <c r="X23" s="47">
        <f ca="1">IF(AND(A23&gt;=CS_Start,A23&lt;=CS_End),IF(OR(LEFT(UPPER(F23))="D"),"",T23),"")</f>
        <v>1082186.20524631</v>
      </c>
      <c r="Y23" s="47">
        <f t="shared" ca="1" si="21"/>
        <v>455739.67441560619</v>
      </c>
      <c r="Z23" s="47">
        <f ca="1">IF(X23="",NA(),VALUE((-mB*X23+Y23-bA)/(mA-mB)))</f>
        <v>1082186.0843164797</v>
      </c>
      <c r="AA23" s="47">
        <f ca="1">IF(ISNA(Z23),NA(),VALUE(mA*Z23+bA))</f>
        <v>455739.7356519457</v>
      </c>
      <c r="AB23" s="16">
        <f t="shared" ca="1" si="22"/>
        <v>0.1355504080344184</v>
      </c>
      <c r="AC23" s="16">
        <f t="shared" ca="1" si="11"/>
        <v>0</v>
      </c>
      <c r="AD23" s="16">
        <f t="shared" ca="1" si="12"/>
        <v>2.5120102256962582</v>
      </c>
      <c r="AE23" s="2">
        <f ca="1">ROUND(CONVERT(AC23,"m","ft"),2)</f>
        <v>0</v>
      </c>
      <c r="AF23" s="2">
        <f ca="1">ROUND(CONVERT(AD23,"m","ft"),2)</f>
        <v>8.24</v>
      </c>
      <c r="AH23" s="44">
        <v>0</v>
      </c>
      <c r="AI23" s="2">
        <f ca="1">OFFSET($AF$22,MATCH(AH23,$AE$23:$AE$59,0),0)</f>
        <v>8.24</v>
      </c>
      <c r="AJ23" s="2" t="str">
        <f t="shared" ref="AJ23:AJ31" ca="1" si="23">CONCATENATE(AH23,",",AI23)</f>
        <v>0,8.24</v>
      </c>
    </row>
    <row r="24" spans="1:36" x14ac:dyDescent="0.25">
      <c r="A24" s="44">
        <v>4</v>
      </c>
      <c r="B24" s="48">
        <v>4.7235879629629629</v>
      </c>
      <c r="C24" s="48">
        <v>3.9002546296296292</v>
      </c>
      <c r="D24" s="44">
        <v>40.619999999999997</v>
      </c>
      <c r="E24" s="44">
        <v>1.492</v>
      </c>
      <c r="F24" s="44"/>
      <c r="G24" s="43">
        <f t="shared" si="13"/>
        <v>93.606111111111105</v>
      </c>
      <c r="H24" s="43">
        <f t="shared" si="14"/>
        <v>1.6337348388765365</v>
      </c>
      <c r="I24" s="43">
        <f t="shared" si="3"/>
        <v>113.36611111111111</v>
      </c>
      <c r="J24" s="39">
        <f t="shared" si="15"/>
        <v>1.9786118990706161</v>
      </c>
      <c r="K24" s="39">
        <f t="shared" si="16"/>
        <v>40.539573438929438</v>
      </c>
      <c r="L24" s="15">
        <f t="shared" si="17"/>
        <v>-2.5548748285673173</v>
      </c>
      <c r="M24" s="13"/>
      <c r="N24" s="16">
        <f t="shared" si="4"/>
        <v>113.36611111111111</v>
      </c>
      <c r="O24" s="16">
        <f t="shared" ca="1" si="18"/>
        <v>181.13899480595501</v>
      </c>
      <c r="P24" s="16">
        <f t="shared" ca="1" si="19"/>
        <v>294.50510591706609</v>
      </c>
      <c r="Q24" s="16">
        <f t="shared" ca="1" si="20"/>
        <v>5.1400837621874373</v>
      </c>
      <c r="R24" s="16">
        <f t="shared" ca="1" si="5"/>
        <v>-36.887943464047545</v>
      </c>
      <c r="S24" s="16">
        <f t="shared" ca="1" si="6"/>
        <v>16.814774503500928</v>
      </c>
      <c r="T24" s="13">
        <f t="shared" ca="1" si="7"/>
        <v>1082186.803056536</v>
      </c>
      <c r="U24" s="13">
        <f t="shared" ca="1" si="8"/>
        <v>455741.84177450353</v>
      </c>
      <c r="V24" s="16">
        <f t="shared" si="9"/>
        <v>1222.6701251714328</v>
      </c>
      <c r="W24" s="16">
        <f t="shared" ca="1" si="10"/>
        <v>1223.1451089740665</v>
      </c>
      <c r="X24" s="47">
        <f ca="1">IF(AND(A24&gt;=CS_Start,A24&lt;=CS_End),IF(OR(LEFT(UPPER(F24))="D"),"",T24),"")</f>
        <v>1082186.803056536</v>
      </c>
      <c r="Y24" s="47">
        <f t="shared" ca="1" si="21"/>
        <v>455741.84177450353</v>
      </c>
      <c r="Z24" s="47">
        <f ca="1">IF(X24="",NA(),VALUE((-mB*X24+Y24-bA)/(mA-mB)))</f>
        <v>1082187.0798401497</v>
      </c>
      <c r="AA24" s="47">
        <f ca="1">IF(ISNA(Z24),NA(),VALUE(mA*Z24+bA))</f>
        <v>455741.70161706302</v>
      </c>
      <c r="AB24" s="47">
        <f t="shared" ref="AB24:AB34" ca="1" si="24">IF(ISNUMBER(X24),SQRT((X24-Z24)^2+(Y24-AA24)^2),"")</f>
        <v>0.31024712239223512</v>
      </c>
      <c r="AC24" s="47">
        <f t="shared" ref="AC24:AC34" ca="1" si="25">IF(ISNUMBER(Z24),SQRT(($Z24-OFFSET($Z$20,MATCH(CS_Start,$A$21:$A$51,0),0))^2+($AA24-OFFSET($AA$20,MATCH(CS_Start,$A$21:$A$51,0),0))^2),"")</f>
        <v>2.2036529264064932</v>
      </c>
      <c r="AD24" s="47">
        <f t="shared" ref="AD24:AD34" ca="1" si="26">IF(ISNUMBER(X24),W24-Min_Z,"")</f>
        <v>2.15829925831531</v>
      </c>
      <c r="AE24" s="44">
        <f t="shared" ref="AE24:AE34" ca="1" si="27">ROUND(CONVERT(AC24,"m","ft"),2)</f>
        <v>7.23</v>
      </c>
      <c r="AF24" s="44">
        <f t="shared" ref="AF24:AF34" ca="1" si="28">ROUND(CONVERT(AD24,"m","ft"),2)</f>
        <v>7.08</v>
      </c>
      <c r="AH24" s="44">
        <v>7.23</v>
      </c>
      <c r="AI24" s="44">
        <f t="shared" ref="AI24:AI31" ca="1" si="29">OFFSET($AF$22,MATCH(AH24,$AE$23:$AE$59,0),0)</f>
        <v>7.08</v>
      </c>
      <c r="AJ24" s="2" t="str">
        <f t="shared" ca="1" si="23"/>
        <v>7.23,7.08</v>
      </c>
    </row>
    <row r="25" spans="1:36" x14ac:dyDescent="0.25">
      <c r="A25" s="44">
        <v>5</v>
      </c>
      <c r="B25" s="48">
        <v>4.8593981481481476</v>
      </c>
      <c r="C25" s="48">
        <v>3.9689699074074074</v>
      </c>
      <c r="D25" s="44">
        <v>40.107999999999997</v>
      </c>
      <c r="E25" s="44">
        <v>1.492</v>
      </c>
      <c r="F25" s="44"/>
      <c r="G25" s="43">
        <f t="shared" si="13"/>
        <v>95.255277777777778</v>
      </c>
      <c r="H25" s="43">
        <f t="shared" si="14"/>
        <v>1.6625182271240098</v>
      </c>
      <c r="I25" s="43">
        <f t="shared" si="3"/>
        <v>116.62555555555554</v>
      </c>
      <c r="J25" s="39">
        <f t="shared" si="15"/>
        <v>2.0354999364120085</v>
      </c>
      <c r="K25" s="39">
        <f t="shared" si="16"/>
        <v>39.939405810028141</v>
      </c>
      <c r="L25" s="15">
        <f t="shared" si="17"/>
        <v>-3.6736259392989781</v>
      </c>
      <c r="M25" s="13"/>
      <c r="N25" s="16">
        <f t="shared" si="4"/>
        <v>116.62555555555554</v>
      </c>
      <c r="O25" s="16">
        <f t="shared" ca="1" si="18"/>
        <v>181.13899480595501</v>
      </c>
      <c r="P25" s="16">
        <f t="shared" ca="1" si="19"/>
        <v>297.76455036151054</v>
      </c>
      <c r="Q25" s="16">
        <f t="shared" ca="1" si="20"/>
        <v>5.1969717995288303</v>
      </c>
      <c r="R25" s="16">
        <f t="shared" ca="1" si="5"/>
        <v>-35.341156670414925</v>
      </c>
      <c r="S25" s="16">
        <f t="shared" ca="1" si="6"/>
        <v>18.605342825524509</v>
      </c>
      <c r="T25" s="13">
        <f t="shared" ca="1" si="7"/>
        <v>1082188.3498433298</v>
      </c>
      <c r="U25" s="13">
        <f t="shared" ca="1" si="8"/>
        <v>455743.63234282553</v>
      </c>
      <c r="V25" s="16">
        <f t="shared" si="9"/>
        <v>1221.5513740607012</v>
      </c>
      <c r="W25" s="16">
        <f t="shared" ca="1" si="10"/>
        <v>1222.0263578633349</v>
      </c>
      <c r="X25" s="47">
        <f ca="1">IF(AND(A25&gt;=CS_Start,A25&lt;=CS_End),IF(OR(LEFT(UPPER(F25))="D"),"",T25),"")</f>
        <v>1082188.3498433298</v>
      </c>
      <c r="Y25" s="47">
        <f t="shared" ca="1" si="21"/>
        <v>455743.63234282553</v>
      </c>
      <c r="Z25" s="47">
        <f ca="1">IF(X25="",NA(),VALUE((-mB*X25+Y25-bA)/(mA-mB)))</f>
        <v>1082188.1171790706</v>
      </c>
      <c r="AA25" s="47">
        <f ca="1">IF(ISNA(Z25),NA(),VALUE(mA*Z25+bA))</f>
        <v>455743.75015914626</v>
      </c>
      <c r="AB25" s="47">
        <f t="shared" ca="1" si="24"/>
        <v>0.2607936788307707</v>
      </c>
      <c r="AC25" s="47">
        <f t="shared" ca="1" si="25"/>
        <v>4.499866484322891</v>
      </c>
      <c r="AD25" s="47">
        <f t="shared" ca="1" si="26"/>
        <v>1.0395481475836732</v>
      </c>
      <c r="AE25" s="44">
        <f t="shared" ca="1" si="27"/>
        <v>14.76</v>
      </c>
      <c r="AF25" s="44">
        <f t="shared" ca="1" si="28"/>
        <v>3.41</v>
      </c>
      <c r="AH25" s="44">
        <v>14.76</v>
      </c>
      <c r="AI25" s="44">
        <f t="shared" ca="1" si="29"/>
        <v>3.41</v>
      </c>
      <c r="AJ25" s="2" t="str">
        <f t="shared" ca="1" si="23"/>
        <v>14.76,3.41</v>
      </c>
    </row>
    <row r="26" spans="1:36" x14ac:dyDescent="0.25">
      <c r="A26" s="44">
        <v>6</v>
      </c>
      <c r="B26" s="48">
        <v>4.9990046296296295</v>
      </c>
      <c r="C26" s="48">
        <v>3.9870949074074074</v>
      </c>
      <c r="D26" s="44">
        <v>40.43</v>
      </c>
      <c r="E26" s="44">
        <v>1.492</v>
      </c>
      <c r="F26" s="44"/>
      <c r="G26" s="43">
        <f t="shared" si="13"/>
        <v>95.69027777777778</v>
      </c>
      <c r="H26" s="43">
        <f t="shared" si="14"/>
        <v>1.6701104093701851</v>
      </c>
      <c r="I26" s="43">
        <f t="shared" si="3"/>
        <v>119.97611111111111</v>
      </c>
      <c r="J26" s="39">
        <f t="shared" si="15"/>
        <v>2.0939781626274412</v>
      </c>
      <c r="K26" s="39">
        <f t="shared" si="16"/>
        <v>40.230777483198516</v>
      </c>
      <c r="L26" s="15">
        <f t="shared" si="17"/>
        <v>-4.0086709889148366</v>
      </c>
      <c r="M26" s="13"/>
      <c r="N26" s="16">
        <f t="shared" si="4"/>
        <v>119.97611111111111</v>
      </c>
      <c r="O26" s="16">
        <f t="shared" ca="1" si="18"/>
        <v>181.13899480595501</v>
      </c>
      <c r="P26" s="16">
        <f t="shared" ca="1" si="19"/>
        <v>301.1151059170661</v>
      </c>
      <c r="Q26" s="16">
        <f t="shared" ca="1" si="20"/>
        <v>5.2554500257442633</v>
      </c>
      <c r="R26" s="16">
        <f t="shared" ca="1" si="5"/>
        <v>-34.4428106026444</v>
      </c>
      <c r="S26" s="16">
        <f t="shared" ca="1" si="6"/>
        <v>20.789618916492895</v>
      </c>
      <c r="T26" s="13">
        <f t="shared" ca="1" si="7"/>
        <v>1082189.2481893974</v>
      </c>
      <c r="U26" s="13">
        <f t="shared" ca="1" si="8"/>
        <v>455745.81661891652</v>
      </c>
      <c r="V26" s="16">
        <f t="shared" si="9"/>
        <v>1221.2163290110852</v>
      </c>
      <c r="W26" s="16">
        <f t="shared" ca="1" si="10"/>
        <v>1221.6913128137189</v>
      </c>
      <c r="X26" s="47">
        <f ca="1">IF(AND(A26&gt;=CS_Start,A26&lt;=CS_End),IF(OR(LEFT(UPPER(F26))="D"),"",T26),"")</f>
        <v>1082189.2481893974</v>
      </c>
      <c r="Y26" s="47">
        <f t="shared" ca="1" si="21"/>
        <v>455745.81661891652</v>
      </c>
      <c r="Z26" s="47">
        <f ca="1">IF(X26="",NA(),VALUE((-mB*X26+Y26-bA)/(mA-mB)))</f>
        <v>1082189.1808565971</v>
      </c>
      <c r="AA26" s="47">
        <f ca="1">IF(ISNA(Z26),NA(),VALUE(mA*Z26+bA))</f>
        <v>455745.85071483953</v>
      </c>
      <c r="AB26" s="47">
        <f t="shared" ca="1" si="24"/>
        <v>7.5473425486376297E-2</v>
      </c>
      <c r="AC26" s="47">
        <f t="shared" ca="1" si="25"/>
        <v>6.8543821672149461</v>
      </c>
      <c r="AD26" s="47">
        <f t="shared" ca="1" si="26"/>
        <v>0.70450309796774491</v>
      </c>
      <c r="AE26" s="44">
        <f t="shared" ca="1" si="27"/>
        <v>22.49</v>
      </c>
      <c r="AF26" s="44">
        <f t="shared" ca="1" si="28"/>
        <v>2.31</v>
      </c>
      <c r="AH26" s="44">
        <v>22.49</v>
      </c>
      <c r="AI26" s="44">
        <f t="shared" ca="1" si="29"/>
        <v>2.31</v>
      </c>
      <c r="AJ26" s="2" t="str">
        <f t="shared" ca="1" si="23"/>
        <v>22.49,2.31</v>
      </c>
    </row>
    <row r="27" spans="1:36" x14ac:dyDescent="0.25">
      <c r="A27" s="44">
        <v>7</v>
      </c>
      <c r="B27" s="48">
        <v>5.4145138888888882</v>
      </c>
      <c r="C27" s="48">
        <v>3.9909259259259255</v>
      </c>
      <c r="D27" s="44">
        <v>41.338000000000001</v>
      </c>
      <c r="E27" s="44">
        <v>1.492</v>
      </c>
      <c r="F27" s="44"/>
      <c r="G27" s="43">
        <f t="shared" si="13"/>
        <v>95.782222222222217</v>
      </c>
      <c r="H27" s="43">
        <f t="shared" si="14"/>
        <v>1.6717151426546575</v>
      </c>
      <c r="I27" s="43">
        <f t="shared" si="3"/>
        <v>129.94833333333332</v>
      </c>
      <c r="J27" s="39">
        <f t="shared" si="15"/>
        <v>2.2680262741457646</v>
      </c>
      <c r="K27" s="39">
        <f t="shared" si="16"/>
        <v>41.127672948904205</v>
      </c>
      <c r="L27" s="15">
        <f t="shared" si="17"/>
        <v>-4.1647042881786573</v>
      </c>
      <c r="M27" s="13"/>
      <c r="N27" s="16">
        <f t="shared" si="4"/>
        <v>129.94833333333332</v>
      </c>
      <c r="O27" s="16">
        <f t="shared" ca="1" si="18"/>
        <v>181.13899480595501</v>
      </c>
      <c r="P27" s="16">
        <f t="shared" ca="1" si="19"/>
        <v>311.08732813928833</v>
      </c>
      <c r="Q27" s="16">
        <f t="shared" ca="1" si="20"/>
        <v>5.4294981372625868</v>
      </c>
      <c r="R27" s="16">
        <f t="shared" ca="1" si="5"/>
        <v>-30.998287491930785</v>
      </c>
      <c r="S27" s="16">
        <f t="shared" ca="1" si="6"/>
        <v>27.029459017147094</v>
      </c>
      <c r="T27" s="13">
        <f t="shared" ca="1" si="7"/>
        <v>1082192.6927125081</v>
      </c>
      <c r="U27" s="13">
        <f t="shared" ca="1" si="8"/>
        <v>455752.05645901716</v>
      </c>
      <c r="V27" s="16">
        <f t="shared" si="9"/>
        <v>1221.0602957118215</v>
      </c>
      <c r="W27" s="16">
        <f t="shared" ca="1" si="10"/>
        <v>1221.5352795144552</v>
      </c>
      <c r="X27" s="47">
        <f ca="1">IF(AND(A27&gt;=CS_Start,A27&lt;=CS_End),IF(OR(LEFT(UPPER(F27))="D"),"",T27),"")</f>
        <v>1082192.6927125081</v>
      </c>
      <c r="Y27" s="47">
        <f t="shared" ca="1" si="21"/>
        <v>455752.05645901716</v>
      </c>
      <c r="Z27" s="47">
        <f ca="1">IF(X27="",NA(),VALUE((-mB*X27+Y27-bA)/(mA-mB)))</f>
        <v>1082192.3987051353</v>
      </c>
      <c r="AA27" s="47">
        <f ca="1">IF(ISNA(Z27),NA(),VALUE(mA*Z27+bA))</f>
        <v>455752.20533820894</v>
      </c>
      <c r="AB27" s="47">
        <f t="shared" ca="1" si="24"/>
        <v>0.32955325671498531</v>
      </c>
      <c r="AC27" s="47">
        <f t="shared" ca="1" si="25"/>
        <v>13.977287991506936</v>
      </c>
      <c r="AD27" s="47">
        <f t="shared" ca="1" si="26"/>
        <v>0.54846979870399082</v>
      </c>
      <c r="AE27" s="44">
        <f t="shared" ca="1" si="27"/>
        <v>45.86</v>
      </c>
      <c r="AF27" s="44">
        <f t="shared" ca="1" si="28"/>
        <v>1.8</v>
      </c>
      <c r="AH27" s="44">
        <v>45.86</v>
      </c>
      <c r="AI27" s="44">
        <f t="shared" ca="1" si="29"/>
        <v>1.8</v>
      </c>
      <c r="AJ27" s="2" t="str">
        <f t="shared" ca="1" si="23"/>
        <v>45.86,1.8</v>
      </c>
    </row>
    <row r="28" spans="1:36" x14ac:dyDescent="0.25">
      <c r="A28" s="44">
        <v>8</v>
      </c>
      <c r="B28" s="48">
        <v>5.6784606481481488</v>
      </c>
      <c r="C28" s="48">
        <v>3.9978703703703702</v>
      </c>
      <c r="D28" s="44">
        <v>42.886000000000003</v>
      </c>
      <c r="E28" s="44">
        <v>1.492</v>
      </c>
      <c r="F28" s="44"/>
      <c r="G28" s="43">
        <f t="shared" si="13"/>
        <v>95.948888888888888</v>
      </c>
      <c r="H28" s="43">
        <f t="shared" si="14"/>
        <v>1.6746240247413149</v>
      </c>
      <c r="I28" s="43">
        <f t="shared" si="3"/>
        <v>136.28305555555556</v>
      </c>
      <c r="J28" s="39">
        <f t="shared" si="15"/>
        <v>2.3785880341227945</v>
      </c>
      <c r="K28" s="39">
        <f t="shared" si="16"/>
        <v>42.655047954843795</v>
      </c>
      <c r="L28" s="15">
        <f t="shared" si="17"/>
        <v>-4.444758707733901</v>
      </c>
      <c r="M28" s="13"/>
      <c r="N28" s="16">
        <f t="shared" si="4"/>
        <v>136.28305555555556</v>
      </c>
      <c r="O28" s="16">
        <f t="shared" ca="1" si="18"/>
        <v>181.13899480595501</v>
      </c>
      <c r="P28" s="16">
        <f t="shared" ca="1" si="19"/>
        <v>317.42205036151057</v>
      </c>
      <c r="Q28" s="16">
        <f t="shared" ca="1" si="20"/>
        <v>5.5400598972396162</v>
      </c>
      <c r="R28" s="16">
        <f t="shared" ca="1" si="5"/>
        <v>-28.860091145162876</v>
      </c>
      <c r="S28" s="16">
        <f t="shared" ca="1" si="6"/>
        <v>31.409365723027822</v>
      </c>
      <c r="T28" s="13">
        <f t="shared" ca="1" si="7"/>
        <v>1082194.830908855</v>
      </c>
      <c r="U28" s="13">
        <f t="shared" ca="1" si="8"/>
        <v>455756.43636572303</v>
      </c>
      <c r="V28" s="16">
        <f t="shared" si="9"/>
        <v>1220.7802412922663</v>
      </c>
      <c r="W28" s="16">
        <f t="shared" ca="1" si="10"/>
        <v>1221.2552250949</v>
      </c>
      <c r="X28" s="47">
        <f ca="1">IF(AND(A28&gt;=CS_Start,A28&lt;=CS_End),IF(OR(LEFT(UPPER(F28))="D"),"",T28),"")</f>
        <v>1082194.830908855</v>
      </c>
      <c r="Y28" s="47">
        <f t="shared" ca="1" si="21"/>
        <v>455756.43636572303</v>
      </c>
      <c r="Z28" s="47">
        <f ca="1">IF(X28="",NA(),VALUE((-mB*X28+Y28-bA)/(mA-mB)))</f>
        <v>1082194.6003332434</v>
      </c>
      <c r="AA28" s="47">
        <f ca="1">IF(ISNA(Z28),NA(),VALUE(mA*Z28+bA))</f>
        <v>455756.55312439613</v>
      </c>
      <c r="AB28" s="47">
        <f t="shared" ca="1" si="24"/>
        <v>0.25845251092048593</v>
      </c>
      <c r="AC28" s="47">
        <f t="shared" ca="1" si="25"/>
        <v>18.850727337152211</v>
      </c>
      <c r="AD28" s="47">
        <f t="shared" ca="1" si="26"/>
        <v>0.26841537914879154</v>
      </c>
      <c r="AE28" s="44">
        <f t="shared" ca="1" si="27"/>
        <v>61.85</v>
      </c>
      <c r="AF28" s="44">
        <f t="shared" ca="1" si="28"/>
        <v>0.88</v>
      </c>
      <c r="AH28" s="44">
        <v>61.85</v>
      </c>
      <c r="AI28" s="44">
        <f t="shared" ca="1" si="29"/>
        <v>0.88</v>
      </c>
      <c r="AJ28" s="2" t="str">
        <f t="shared" ca="1" si="23"/>
        <v>61.85,0.88</v>
      </c>
    </row>
    <row r="29" spans="1:36" x14ac:dyDescent="0.25">
      <c r="A29" s="44">
        <v>9</v>
      </c>
      <c r="B29" s="48">
        <v>5.8407175925925925</v>
      </c>
      <c r="C29" s="48">
        <v>4.0020601851851856</v>
      </c>
      <c r="D29" s="44">
        <v>44.027000000000001</v>
      </c>
      <c r="E29" s="44">
        <v>1.492</v>
      </c>
      <c r="F29" s="49" t="s">
        <v>85</v>
      </c>
      <c r="G29" s="43">
        <f t="shared" si="13"/>
        <v>96.049444444444447</v>
      </c>
      <c r="H29" s="43">
        <f t="shared" si="14"/>
        <v>1.6763790502669313</v>
      </c>
      <c r="I29" s="43">
        <f t="shared" si="3"/>
        <v>140.17722222222221</v>
      </c>
      <c r="J29" s="39">
        <f t="shared" si="15"/>
        <v>2.4465540640775401</v>
      </c>
      <c r="K29" s="39">
        <f t="shared" si="16"/>
        <v>43.781827739129575</v>
      </c>
      <c r="L29" s="15">
        <f t="shared" si="17"/>
        <v>-4.6398587070281092</v>
      </c>
      <c r="M29" s="13"/>
      <c r="N29" s="16">
        <f t="shared" si="4"/>
        <v>140.17722222222221</v>
      </c>
      <c r="O29" s="16">
        <f t="shared" ca="1" si="18"/>
        <v>181.13899480595501</v>
      </c>
      <c r="P29" s="16">
        <f t="shared" ca="1" si="19"/>
        <v>321.31621702817722</v>
      </c>
      <c r="Q29" s="16">
        <f t="shared" ca="1" si="20"/>
        <v>5.6080259271943618</v>
      </c>
      <c r="R29" s="16">
        <f t="shared" ca="1" si="5"/>
        <v>-27.36459405987809</v>
      </c>
      <c r="S29" s="16">
        <f t="shared" ca="1" si="6"/>
        <v>34.176416314717677</v>
      </c>
      <c r="T29" s="13">
        <f t="shared" ca="1" si="7"/>
        <v>1082196.3264059403</v>
      </c>
      <c r="U29" s="13">
        <f t="shared" ca="1" si="8"/>
        <v>455759.20341631473</v>
      </c>
      <c r="V29" s="16">
        <f t="shared" si="9"/>
        <v>1220.5851412929721</v>
      </c>
      <c r="W29" s="16">
        <f t="shared" ca="1" si="10"/>
        <v>1221.0601250956058</v>
      </c>
      <c r="X29" s="47">
        <f ca="1">IF(AND(A29&gt;=CS_Start,A29&lt;=CS_End),IF(OR(LEFT(UPPER(F29))="D"),"",T29),"")</f>
        <v>1082196.3264059403</v>
      </c>
      <c r="Y29" s="47">
        <f t="shared" ca="1" si="21"/>
        <v>455759.20341631473</v>
      </c>
      <c r="Z29" s="47">
        <f ca="1">IF(X29="",NA(),VALUE((-mB*X29+Y29-bA)/(mA-mB)))</f>
        <v>1082196.0207595094</v>
      </c>
      <c r="AA29" s="47">
        <f ca="1">IF(ISNA(Z29),NA(),VALUE(mA*Z29+bA))</f>
        <v>455759.35818928247</v>
      </c>
      <c r="AB29" s="47">
        <f t="shared" ca="1" si="24"/>
        <v>0.34259949253578731</v>
      </c>
      <c r="AC29" s="47">
        <f t="shared" ca="1" si="25"/>
        <v>21.994928315753178</v>
      </c>
      <c r="AD29" s="47">
        <f t="shared" ca="1" si="26"/>
        <v>7.3315379854648199E-2</v>
      </c>
      <c r="AE29" s="44">
        <f t="shared" ca="1" si="27"/>
        <v>72.16</v>
      </c>
      <c r="AF29" s="44">
        <f t="shared" ca="1" si="28"/>
        <v>0.24</v>
      </c>
      <c r="AH29" s="44">
        <v>72.16</v>
      </c>
      <c r="AI29" s="44">
        <f t="shared" ca="1" si="29"/>
        <v>0.24</v>
      </c>
      <c r="AJ29" s="2" t="str">
        <f t="shared" ca="1" si="23"/>
        <v>72.16,0.24</v>
      </c>
    </row>
    <row r="30" spans="1:36" x14ac:dyDescent="0.25">
      <c r="A30" s="44">
        <v>10</v>
      </c>
      <c r="B30" s="48">
        <v>6.0092245370370376</v>
      </c>
      <c r="C30" s="48">
        <v>3.9957060185185185</v>
      </c>
      <c r="D30" s="44">
        <v>45.875</v>
      </c>
      <c r="E30" s="44">
        <v>1.492</v>
      </c>
      <c r="F30" s="44"/>
      <c r="G30" s="43">
        <f t="shared" si="13"/>
        <v>95.896944444444443</v>
      </c>
      <c r="H30" s="43">
        <f t="shared" si="14"/>
        <v>1.6737174231576399</v>
      </c>
      <c r="I30" s="43">
        <f t="shared" si="3"/>
        <v>144.2213888888889</v>
      </c>
      <c r="J30" s="39">
        <f t="shared" si="15"/>
        <v>2.5171380879102778</v>
      </c>
      <c r="K30" s="39">
        <f t="shared" si="16"/>
        <v>45.632243151380784</v>
      </c>
      <c r="L30" s="15">
        <f t="shared" si="17"/>
        <v>-4.7131740868825709</v>
      </c>
      <c r="M30" s="13"/>
      <c r="N30" s="16">
        <f t="shared" si="4"/>
        <v>144.2213888888889</v>
      </c>
      <c r="O30" s="16">
        <f t="shared" ca="1" si="18"/>
        <v>181.13899480595501</v>
      </c>
      <c r="P30" s="16">
        <f t="shared" ca="1" si="19"/>
        <v>325.3603836948439</v>
      </c>
      <c r="Q30" s="16">
        <f t="shared" ca="1" si="20"/>
        <v>5.6786099510270995</v>
      </c>
      <c r="R30" s="16">
        <f t="shared" ca="1" si="5"/>
        <v>-25.937949025232527</v>
      </c>
      <c r="S30" s="16">
        <f t="shared" ca="1" si="6"/>
        <v>37.543633486800097</v>
      </c>
      <c r="T30" s="13">
        <f t="shared" ca="1" si="7"/>
        <v>1082197.7530509748</v>
      </c>
      <c r="U30" s="13">
        <f t="shared" ca="1" si="8"/>
        <v>455762.57063348679</v>
      </c>
      <c r="V30" s="16">
        <f t="shared" si="9"/>
        <v>1220.5118259131175</v>
      </c>
      <c r="W30" s="16">
        <f t="shared" ca="1" si="10"/>
        <v>1220.9868097157512</v>
      </c>
      <c r="X30" s="47">
        <f ca="1">IF(AND(A30&gt;=CS_Start,A30&lt;=CS_End),IF(OR(LEFT(UPPER(F30))="D"),"",T30),"")</f>
        <v>1082197.7530509748</v>
      </c>
      <c r="Y30" s="47">
        <f t="shared" ca="1" si="21"/>
        <v>455762.57063348679</v>
      </c>
      <c r="Z30" s="47">
        <f ca="1">IF(X30="",NA(),VALUE((-mB*X30+Y30-bA)/(mA-mB)))</f>
        <v>1082197.6690210814</v>
      </c>
      <c r="AA30" s="47">
        <f ca="1">IF(ISNA(Z30),NA(),VALUE(mA*Z30+bA))</f>
        <v>455762.61318446929</v>
      </c>
      <c r="AB30" s="47">
        <f t="shared" ca="1" si="24"/>
        <v>9.4189219632540511E-2</v>
      </c>
      <c r="AC30" s="47">
        <f t="shared" ca="1" si="25"/>
        <v>25.643456769241489</v>
      </c>
      <c r="AD30" s="47">
        <f t="shared" ca="1" si="26"/>
        <v>0</v>
      </c>
      <c r="AE30" s="44">
        <f t="shared" ca="1" si="27"/>
        <v>84.13</v>
      </c>
      <c r="AF30" s="44">
        <f t="shared" ca="1" si="28"/>
        <v>0</v>
      </c>
      <c r="AH30" s="44">
        <v>84.13</v>
      </c>
      <c r="AI30" s="44">
        <f t="shared" ca="1" si="29"/>
        <v>0</v>
      </c>
      <c r="AJ30" s="2" t="str">
        <f t="shared" ca="1" si="23"/>
        <v>84.13,0</v>
      </c>
    </row>
    <row r="31" spans="1:36" x14ac:dyDescent="0.25">
      <c r="A31" s="44">
        <v>11</v>
      </c>
      <c r="B31" s="48">
        <v>6.216550925925926</v>
      </c>
      <c r="C31" s="48">
        <v>3.9667129629629634</v>
      </c>
      <c r="D31" s="44">
        <v>49.094000000000001</v>
      </c>
      <c r="E31" s="44">
        <v>1.492</v>
      </c>
      <c r="F31" s="49" t="s">
        <v>85</v>
      </c>
      <c r="G31" s="43">
        <f t="shared" si="13"/>
        <v>95.201111111111118</v>
      </c>
      <c r="H31" s="43">
        <f t="shared" si="14"/>
        <v>1.6615728404458463</v>
      </c>
      <c r="I31" s="43">
        <f t="shared" si="3"/>
        <v>149.19722222222222</v>
      </c>
      <c r="J31" s="39">
        <f t="shared" si="15"/>
        <v>2.6039827626074286</v>
      </c>
      <c r="K31" s="39">
        <f t="shared" si="16"/>
        <v>48.891862369011882</v>
      </c>
      <c r="L31" s="15">
        <f t="shared" si="17"/>
        <v>-4.4504640308174688</v>
      </c>
      <c r="M31" s="13"/>
      <c r="N31" s="16">
        <f t="shared" si="4"/>
        <v>149.19722222222222</v>
      </c>
      <c r="O31" s="16">
        <f t="shared" ca="1" si="18"/>
        <v>181.13899480595501</v>
      </c>
      <c r="P31" s="16">
        <f t="shared" ca="1" si="19"/>
        <v>330.3362170281772</v>
      </c>
      <c r="Q31" s="16">
        <f t="shared" ca="1" si="20"/>
        <v>5.7654546257242503</v>
      </c>
      <c r="R31" s="16">
        <f t="shared" ca="1" si="5"/>
        <v>-24.197047254866767</v>
      </c>
      <c r="S31" s="16">
        <f t="shared" ca="1" si="6"/>
        <v>42.484316047879894</v>
      </c>
      <c r="T31" s="13">
        <f t="shared" ca="1" si="7"/>
        <v>1082199.4939527453</v>
      </c>
      <c r="U31" s="13">
        <f t="shared" ca="1" si="8"/>
        <v>455767.51131604786</v>
      </c>
      <c r="V31" s="16">
        <f t="shared" si="9"/>
        <v>1220.7745359691826</v>
      </c>
      <c r="W31" s="16">
        <f t="shared" ca="1" si="10"/>
        <v>1221.2495197718163</v>
      </c>
      <c r="X31" s="47">
        <f ca="1">IF(AND(A31&gt;=CS_Start,A31&lt;=CS_End),IF(OR(LEFT(UPPER(F31))="D"),"",T31),"")</f>
        <v>1082199.4939527453</v>
      </c>
      <c r="Y31" s="47">
        <f t="shared" ca="1" si="21"/>
        <v>455767.51131604786</v>
      </c>
      <c r="Z31" s="47">
        <f ca="1">IF(X31="",NA(),VALUE((-mB*X31+Y31-bA)/(mA-mB)))</f>
        <v>1082200.0155776448</v>
      </c>
      <c r="AA31" s="47">
        <f ca="1">IF(ISNA(Z31),NA(),VALUE(mA*Z31+bA))</f>
        <v>455767.24717609398</v>
      </c>
      <c r="AB31" s="47">
        <f t="shared" ca="1" si="24"/>
        <v>0.58469004693458915</v>
      </c>
      <c r="AC31" s="47">
        <f t="shared" ca="1" si="25"/>
        <v>30.837704172181972</v>
      </c>
      <c r="AD31" s="47">
        <f t="shared" ca="1" si="26"/>
        <v>0.26271005606508879</v>
      </c>
      <c r="AE31" s="44">
        <f t="shared" ca="1" si="27"/>
        <v>101.17</v>
      </c>
      <c r="AF31" s="44">
        <f t="shared" ca="1" si="28"/>
        <v>0.86</v>
      </c>
      <c r="AH31" s="44">
        <v>101.17</v>
      </c>
      <c r="AI31" s="44">
        <f t="shared" ca="1" si="29"/>
        <v>0.86</v>
      </c>
      <c r="AJ31" s="2" t="str">
        <f t="shared" ca="1" si="23"/>
        <v>101.17,0.86</v>
      </c>
    </row>
    <row r="32" spans="1:36" x14ac:dyDescent="0.25">
      <c r="A32" s="44">
        <v>12</v>
      </c>
      <c r="B32" s="48">
        <v>6.4617939814814811</v>
      </c>
      <c r="C32" s="48">
        <v>3.9395601851851851</v>
      </c>
      <c r="D32" s="44">
        <v>54.131</v>
      </c>
      <c r="E32" s="44">
        <v>1.492</v>
      </c>
      <c r="F32" s="44"/>
      <c r="G32" s="43">
        <f t="shared" si="13"/>
        <v>94.549444444444447</v>
      </c>
      <c r="H32" s="43">
        <f t="shared" si="14"/>
        <v>1.6501991114870165</v>
      </c>
      <c r="I32" s="43">
        <f t="shared" si="3"/>
        <v>155.08305555555555</v>
      </c>
      <c r="J32" s="39">
        <f t="shared" si="15"/>
        <v>2.706709933497728</v>
      </c>
      <c r="K32" s="39">
        <f t="shared" si="16"/>
        <v>53.960447012425959</v>
      </c>
      <c r="L32" s="15">
        <f t="shared" si="17"/>
        <v>-4.2936370618824862</v>
      </c>
      <c r="M32" s="13"/>
      <c r="N32" s="16">
        <f t="shared" si="4"/>
        <v>155.08305555555555</v>
      </c>
      <c r="O32" s="16">
        <f t="shared" ca="1" si="18"/>
        <v>181.13899480595501</v>
      </c>
      <c r="P32" s="16">
        <f t="shared" ca="1" si="19"/>
        <v>336.22205036151058</v>
      </c>
      <c r="Q32" s="16">
        <f t="shared" ca="1" si="20"/>
        <v>5.8681817966145502</v>
      </c>
      <c r="R32" s="16">
        <f t="shared" ca="1" si="5"/>
        <v>-21.756482226385678</v>
      </c>
      <c r="S32" s="16">
        <f t="shared" ca="1" si="6"/>
        <v>49.380009345015253</v>
      </c>
      <c r="T32" s="13">
        <f t="shared" ca="1" si="7"/>
        <v>1082201.9345177738</v>
      </c>
      <c r="U32" s="13">
        <f t="shared" ca="1" si="8"/>
        <v>455774.40700934501</v>
      </c>
      <c r="V32" s="16">
        <f t="shared" si="9"/>
        <v>1220.9313629381177</v>
      </c>
      <c r="W32" s="16">
        <f t="shared" ca="1" si="10"/>
        <v>1221.4063467407514</v>
      </c>
      <c r="X32" s="47">
        <f ca="1">IF(AND(A32&gt;=CS_Start,A32&lt;=CS_End),IF(OR(LEFT(UPPER(F32))="D"),"",T32),"")</f>
        <v>1082201.9345177738</v>
      </c>
      <c r="Y32" s="47">
        <f t="shared" ca="1" si="21"/>
        <v>455774.40700934501</v>
      </c>
      <c r="Z32" s="47">
        <f ca="1">IF(X32="",NA(),VALUE((-mB*X32+Y32-bA)/(mA-mB)))</f>
        <v>1082203.2928614318</v>
      </c>
      <c r="AA32" s="47">
        <f ca="1">IF(ISNA(Z32),NA(),VALUE(mA*Z32+bA))</f>
        <v>455773.71917248983</v>
      </c>
      <c r="AB32" s="47">
        <f t="shared" ca="1" si="24"/>
        <v>1.5225692209815822</v>
      </c>
      <c r="AC32" s="47">
        <f t="shared" ca="1" si="25"/>
        <v>38.092173578596253</v>
      </c>
      <c r="AD32" s="47">
        <f t="shared" ca="1" si="26"/>
        <v>0.41953702500018153</v>
      </c>
      <c r="AE32" s="44">
        <f t="shared" ca="1" si="27"/>
        <v>124.97</v>
      </c>
      <c r="AF32" s="44">
        <f t="shared" ca="1" si="28"/>
        <v>1.38</v>
      </c>
      <c r="AH32" s="44">
        <v>124.97</v>
      </c>
      <c r="AI32" s="44">
        <f t="shared" ref="AI32:AI35" ca="1" si="30">OFFSET($AF$22,MATCH(AH32,$AE$23:$AE$59,0),0)</f>
        <v>1.38</v>
      </c>
      <c r="AJ32" s="44" t="str">
        <f t="shared" ref="AJ32:AJ35" ca="1" si="31">CONCATENATE(AH32,",",AI32)</f>
        <v>124.97,1.38</v>
      </c>
    </row>
    <row r="33" spans="1:36" x14ac:dyDescent="0.25">
      <c r="A33" s="44">
        <v>13</v>
      </c>
      <c r="B33" s="48">
        <v>7.0031712962962969</v>
      </c>
      <c r="C33" s="48">
        <v>3.8913773148148145</v>
      </c>
      <c r="D33" s="44">
        <v>64.713999999999999</v>
      </c>
      <c r="E33" s="44">
        <v>1.492</v>
      </c>
      <c r="F33" s="44"/>
      <c r="G33" s="43">
        <f t="shared" si="13"/>
        <v>93.393055555555549</v>
      </c>
      <c r="H33" s="43">
        <f t="shared" si="14"/>
        <v>1.6300163179424263</v>
      </c>
      <c r="I33" s="43">
        <f t="shared" si="3"/>
        <v>168.07611111111112</v>
      </c>
      <c r="J33" s="39">
        <f t="shared" si="15"/>
        <v>2.9334815328367139</v>
      </c>
      <c r="K33" s="39">
        <f t="shared" si="16"/>
        <v>64.600556922750243</v>
      </c>
      <c r="L33" s="15">
        <f t="shared" si="17"/>
        <v>-3.8301228792958484</v>
      </c>
      <c r="M33" s="13"/>
      <c r="N33" s="16">
        <f t="shared" si="4"/>
        <v>168.07611111111112</v>
      </c>
      <c r="O33" s="16">
        <f t="shared" ca="1" si="18"/>
        <v>181.13899480595501</v>
      </c>
      <c r="P33" s="16">
        <f t="shared" ca="1" si="19"/>
        <v>349.21510591706613</v>
      </c>
      <c r="Q33" s="16">
        <f t="shared" ca="1" si="20"/>
        <v>6.094953395953536</v>
      </c>
      <c r="R33" s="16">
        <f t="shared" ca="1" si="5"/>
        <v>-12.088206731823286</v>
      </c>
      <c r="S33" s="16">
        <f t="shared" ca="1" si="6"/>
        <v>63.459492692096084</v>
      </c>
      <c r="T33" s="13">
        <f t="shared" ca="1" si="7"/>
        <v>1082211.6027932684</v>
      </c>
      <c r="U33" s="13">
        <f t="shared" ca="1" si="8"/>
        <v>455788.48649269209</v>
      </c>
      <c r="V33" s="16">
        <f t="shared" si="9"/>
        <v>1221.3948771207042</v>
      </c>
      <c r="W33" s="16">
        <f t="shared" ca="1" si="10"/>
        <v>1221.8698609233379</v>
      </c>
      <c r="X33" s="47">
        <f ca="1">IF(AND(A33&gt;=CS_Start,A33&lt;=CS_End),IF(OR(LEFT(UPPER(F33))="D"),"",T33),"")</f>
        <v>1082211.6027932684</v>
      </c>
      <c r="Y33" s="47">
        <f t="shared" ca="1" si="21"/>
        <v>455788.48649269209</v>
      </c>
      <c r="Z33" s="47">
        <f ca="1">IF(X33="",NA(),VALUE((-mB*X33+Y33-bA)/(mA-mB)))</f>
        <v>1082210.9405390248</v>
      </c>
      <c r="AA33" s="47">
        <f ca="1">IF(ISNA(Z33),NA(),VALUE(mA*Z33+bA))</f>
        <v>455788.82184440736</v>
      </c>
      <c r="AB33" s="47">
        <f t="shared" ca="1" si="24"/>
        <v>0.74232166621555951</v>
      </c>
      <c r="AC33" s="47">
        <f t="shared" ca="1" si="25"/>
        <v>55.020778707606091</v>
      </c>
      <c r="AD33" s="47">
        <f t="shared" ca="1" si="26"/>
        <v>0.88305120758673183</v>
      </c>
      <c r="AE33" s="44">
        <f t="shared" ca="1" si="27"/>
        <v>180.51</v>
      </c>
      <c r="AF33" s="44">
        <f t="shared" ca="1" si="28"/>
        <v>2.9</v>
      </c>
      <c r="AH33" s="44">
        <v>180.51</v>
      </c>
      <c r="AI33" s="44">
        <f t="shared" ca="1" si="30"/>
        <v>2.9</v>
      </c>
      <c r="AJ33" s="44" t="str">
        <f t="shared" ca="1" si="31"/>
        <v>180.51,2.9</v>
      </c>
    </row>
    <row r="34" spans="1:36" x14ac:dyDescent="0.25">
      <c r="A34" s="44">
        <v>14</v>
      </c>
      <c r="B34" s="48">
        <v>7.1115046296296294</v>
      </c>
      <c r="C34" s="48">
        <v>3.848449074074074</v>
      </c>
      <c r="D34" s="44">
        <v>68.119</v>
      </c>
      <c r="E34" s="44">
        <v>1.492</v>
      </c>
      <c r="F34" s="44"/>
      <c r="G34" s="43">
        <f t="shared" ref="G34:G37" si="32">C34*24</f>
        <v>92.362777777777779</v>
      </c>
      <c r="H34" s="43">
        <f t="shared" ref="H34:H37" si="33">RADIANS(G34)</f>
        <v>1.6120345785100738</v>
      </c>
      <c r="I34" s="43">
        <f t="shared" ref="I34:I37" si="34">B34*24</f>
        <v>170.67611111111111</v>
      </c>
      <c r="J34" s="49">
        <f t="shared" ref="J34:J37" si="35">RADIANS(I34)</f>
        <v>2.9788600933885663</v>
      </c>
      <c r="K34" s="49">
        <f t="shared" ref="K34:K37" si="36">D34*SIN(H34)</f>
        <v>68.061086846863702</v>
      </c>
      <c r="L34" s="46">
        <f t="shared" ref="L34:L37" si="37">D34*COS(H34)</f>
        <v>-2.8083123443943023</v>
      </c>
      <c r="M34" s="45"/>
      <c r="N34" s="47">
        <f t="shared" ref="N34:N37" si="38">I34+M34</f>
        <v>170.67611111111111</v>
      </c>
      <c r="O34" s="47">
        <f t="shared" ca="1" si="18"/>
        <v>181.13899480595501</v>
      </c>
      <c r="P34" s="47">
        <f t="shared" ref="P34:P37" ca="1" si="39">SUM(N34,O34)</f>
        <v>351.81510591706615</v>
      </c>
      <c r="Q34" s="47">
        <f t="shared" ref="Q34:Q37" ca="1" si="40">RADIANS(P34)</f>
        <v>6.1403319565053884</v>
      </c>
      <c r="R34" s="47">
        <f t="shared" ref="R34:R37" ca="1" si="41">K34*SIN(Q34)</f>
        <v>-9.6897191949654733</v>
      </c>
      <c r="S34" s="47">
        <f t="shared" ref="S34:S37" ca="1" si="42">K34*COS(Q34)</f>
        <v>67.36780302710666</v>
      </c>
      <c r="T34" s="45">
        <f t="shared" ref="T34:T37" ca="1" si="43">Old_X0+R34</f>
        <v>1082214.0012808051</v>
      </c>
      <c r="U34" s="45">
        <f t="shared" ref="U34:U37" ca="1" si="44">Old_Y0+S34</f>
        <v>455792.3948030271</v>
      </c>
      <c r="V34" s="47">
        <f t="shared" ref="V34:V37" si="45">Old_Z0+HI+L34-E34</f>
        <v>1222.4166876556058</v>
      </c>
      <c r="W34" s="47">
        <f t="shared" ref="W34:W37" ca="1" si="46">IF(ISNUMBER(T34),V34+dZ,"")</f>
        <v>1222.8916714582394</v>
      </c>
      <c r="X34" s="47">
        <f ca="1">IF(AND(A34&gt;=CS_Start,A34&lt;=CS_End),IF(OR(LEFT(UPPER(F34))="D"),"",T34),"")</f>
        <v>1082214.0012808051</v>
      </c>
      <c r="Y34" s="47">
        <f t="shared" ca="1" si="21"/>
        <v>455792.3948030271</v>
      </c>
      <c r="Z34" s="47">
        <f ca="1">IF(X34="",NA(),VALUE((-mB*X34+Y34-bA)/(mA-mB)))</f>
        <v>1082213.0052202824</v>
      </c>
      <c r="AA34" s="47">
        <f ca="1">IF(ISNA(Z34),NA(),VALUE(mA*Z34+bA))</f>
        <v>455792.89918727009</v>
      </c>
      <c r="AB34" s="47">
        <f t="shared" ref="AB34:AB37" ca="1" si="47">IF(ISNUMBER(X34),SQRT((X34-Z34)^2+(Y34-AA34)^2),"")</f>
        <v>1.1164855706784038</v>
      </c>
      <c r="AC34" s="47">
        <f t="shared" ref="AC34:AC37" ca="1" si="48">IF(ISNUMBER(Z34),SQRT(($Z34-OFFSET($Z$20,MATCH(CS_Start,$A$21:$A$51,0),0))^2+($AA34-OFFSET($AA$20,MATCH(CS_Start,$A$21:$A$51,0),0))^2),"")</f>
        <v>59.59107776955792</v>
      </c>
      <c r="AD34" s="47">
        <f t="shared" ref="AD34:AD37" ca="1" si="49">IF(ISNUMBER(X34),W34-Min_Z,"")</f>
        <v>1.904861742488265</v>
      </c>
      <c r="AE34" s="44">
        <f t="shared" ref="AE34:AE37" ca="1" si="50">ROUND(CONVERT(AC34,"m","ft"),2)</f>
        <v>195.51</v>
      </c>
      <c r="AF34" s="44">
        <f t="shared" ref="AF34:AF37" ca="1" si="51">ROUND(CONVERT(AD34,"m","ft"),2)</f>
        <v>6.25</v>
      </c>
      <c r="AH34" s="44">
        <v>195.51</v>
      </c>
      <c r="AI34" s="44">
        <f t="shared" ca="1" si="30"/>
        <v>6.25</v>
      </c>
      <c r="AJ34" s="44" t="str">
        <f t="shared" ca="1" si="31"/>
        <v>195.51,6.25</v>
      </c>
    </row>
    <row r="35" spans="1:36" x14ac:dyDescent="0.25">
      <c r="A35" s="44">
        <v>15</v>
      </c>
      <c r="B35" s="48">
        <v>7.1479398148148148</v>
      </c>
      <c r="C35" s="48">
        <v>3.7883217592592593</v>
      </c>
      <c r="D35" s="44">
        <v>71.344999999999999</v>
      </c>
      <c r="E35" s="44">
        <v>1.492</v>
      </c>
      <c r="F35" s="44"/>
      <c r="G35" s="43">
        <f t="shared" si="32"/>
        <v>90.919722222222219</v>
      </c>
      <c r="H35" s="43">
        <f t="shared" si="33"/>
        <v>1.5868485077764334</v>
      </c>
      <c r="I35" s="43">
        <f t="shared" si="34"/>
        <v>171.55055555555555</v>
      </c>
      <c r="J35" s="49">
        <f t="shared" si="35"/>
        <v>2.9941220280698944</v>
      </c>
      <c r="K35" s="49">
        <f t="shared" si="36"/>
        <v>71.335808374606557</v>
      </c>
      <c r="L35" s="46">
        <f t="shared" si="37"/>
        <v>-1.1451936698271992</v>
      </c>
      <c r="M35" s="45"/>
      <c r="N35" s="47">
        <f t="shared" si="38"/>
        <v>171.55055555555555</v>
      </c>
      <c r="O35" s="47">
        <f t="shared" ca="1" si="18"/>
        <v>181.13899480595501</v>
      </c>
      <c r="P35" s="47">
        <f t="shared" ca="1" si="39"/>
        <v>352.68955036151056</v>
      </c>
      <c r="Q35" s="47">
        <f t="shared" ca="1" si="40"/>
        <v>6.1555938911867161</v>
      </c>
      <c r="R35" s="47">
        <f t="shared" ca="1" si="41"/>
        <v>-9.0771612314283256</v>
      </c>
      <c r="S35" s="47">
        <f t="shared" ca="1" si="42"/>
        <v>70.755937563127816</v>
      </c>
      <c r="T35" s="45">
        <f t="shared" ca="1" si="43"/>
        <v>1082214.6138387686</v>
      </c>
      <c r="U35" s="45">
        <f t="shared" ca="1" si="44"/>
        <v>455795.78293756314</v>
      </c>
      <c r="V35" s="47">
        <f t="shared" si="45"/>
        <v>1224.0798063301729</v>
      </c>
      <c r="W35" s="47">
        <f t="shared" ca="1" si="46"/>
        <v>1224.5547901328066</v>
      </c>
      <c r="X35" s="47">
        <f ca="1">IF(AND(A35&gt;=CS_Start,A35&lt;=CS_End),IF(OR(LEFT(UPPER(F35))="D"),"",T35),"")</f>
        <v>1082214.6138387686</v>
      </c>
      <c r="Y35" s="47">
        <f t="shared" ca="1" si="21"/>
        <v>455795.78293756314</v>
      </c>
      <c r="Z35" s="47">
        <f ca="1">IF(X35="",NA(),VALUE((-mB*X35+Y35-bA)/(mA-mB)))</f>
        <v>1082214.495767107</v>
      </c>
      <c r="AA35" s="47">
        <f ca="1">IF(ISNA(Z35),NA(),VALUE(mA*Z35+bA))</f>
        <v>455795.84272658592</v>
      </c>
      <c r="AB35" s="47">
        <f t="shared" ca="1" si="47"/>
        <v>0.13234668303126129</v>
      </c>
      <c r="AC35" s="47">
        <f t="shared" ca="1" si="48"/>
        <v>62.890494921164965</v>
      </c>
      <c r="AD35" s="47">
        <f t="shared" ca="1" si="49"/>
        <v>3.5679804170554235</v>
      </c>
      <c r="AE35" s="44">
        <f t="shared" ca="1" si="50"/>
        <v>206.33</v>
      </c>
      <c r="AF35" s="44">
        <f t="shared" ca="1" si="51"/>
        <v>11.71</v>
      </c>
      <c r="AH35" s="44">
        <v>206.33</v>
      </c>
      <c r="AI35" s="44">
        <f t="shared" ref="AI35:AI37" ca="1" si="52">OFFSET($AF$22,MATCH(AH35,$AE$23:$AE$59,0),0)</f>
        <v>11.71</v>
      </c>
      <c r="AJ35" s="44" t="str">
        <f t="shared" ref="AJ35:AJ37" ca="1" si="53">CONCATENATE(AH35,",",AI35)</f>
        <v>206.33,11.71</v>
      </c>
    </row>
    <row r="36" spans="1:36" x14ac:dyDescent="0.25">
      <c r="A36" s="44">
        <v>16</v>
      </c>
      <c r="B36" s="48">
        <v>7.1632523148148151</v>
      </c>
      <c r="C36" s="48">
        <v>3.7957870370370372</v>
      </c>
      <c r="D36" s="44">
        <v>72.885000000000005</v>
      </c>
      <c r="E36" s="44">
        <v>1.492</v>
      </c>
      <c r="F36" s="44"/>
      <c r="G36" s="43">
        <f t="shared" si="32"/>
        <v>91.098888888888894</v>
      </c>
      <c r="H36" s="43">
        <f t="shared" si="33"/>
        <v>1.5899755560195898</v>
      </c>
      <c r="I36" s="43">
        <f t="shared" si="34"/>
        <v>171.91805555555555</v>
      </c>
      <c r="J36" s="49">
        <f t="shared" si="35"/>
        <v>3.0005361130709738</v>
      </c>
      <c r="K36" s="49">
        <f t="shared" si="36"/>
        <v>72.871595298444106</v>
      </c>
      <c r="L36" s="46">
        <f t="shared" si="37"/>
        <v>-1.3977924237097044</v>
      </c>
      <c r="M36" s="45"/>
      <c r="N36" s="47">
        <f t="shared" si="38"/>
        <v>171.91805555555555</v>
      </c>
      <c r="O36" s="47">
        <f t="shared" ca="1" si="18"/>
        <v>181.13899480595501</v>
      </c>
      <c r="P36" s="47">
        <f t="shared" ca="1" si="39"/>
        <v>353.05705036151056</v>
      </c>
      <c r="Q36" s="47">
        <f t="shared" ca="1" si="40"/>
        <v>6.1620079761877955</v>
      </c>
      <c r="R36" s="47">
        <f t="shared" ca="1" si="41"/>
        <v>-8.8087904679842701</v>
      </c>
      <c r="S36" s="47">
        <f t="shared" ca="1" si="42"/>
        <v>72.337228394730261</v>
      </c>
      <c r="T36" s="45">
        <f t="shared" ca="1" si="43"/>
        <v>1082214.8822095322</v>
      </c>
      <c r="U36" s="45">
        <f t="shared" ca="1" si="44"/>
        <v>455797.36422839476</v>
      </c>
      <c r="V36" s="47">
        <f t="shared" si="45"/>
        <v>1223.8272075762904</v>
      </c>
      <c r="W36" s="47">
        <f t="shared" ca="1" si="46"/>
        <v>1224.3021913789241</v>
      </c>
      <c r="X36" s="47">
        <f ca="1">IF(AND(A36&gt;=CS_Start,A36&lt;=CS_End),IF(OR(LEFT(UPPER(F36))="D"),"",T36),"")</f>
        <v>1082214.8822095322</v>
      </c>
      <c r="Y36" s="47">
        <f t="shared" ca="1" si="21"/>
        <v>455797.36422839476</v>
      </c>
      <c r="Z36" s="47">
        <f ca="1">IF(X36="",NA(),VALUE((-mB*X36+Y36-bA)/(mA-mB)))</f>
        <v>1082215.1878512516</v>
      </c>
      <c r="AA36" s="47">
        <f ca="1">IF(ISNA(Z36),NA(),VALUE(mA*Z36+bA))</f>
        <v>455797.20945781237</v>
      </c>
      <c r="AB36" s="47">
        <f t="shared" ca="1" si="47"/>
        <v>0.34259421156046738</v>
      </c>
      <c r="AC36" s="47">
        <f t="shared" ca="1" si="48"/>
        <v>64.42246577875342</v>
      </c>
      <c r="AD36" s="47">
        <f t="shared" ca="1" si="49"/>
        <v>3.3153816631729569</v>
      </c>
      <c r="AE36" s="44">
        <f t="shared" ca="1" si="50"/>
        <v>211.36</v>
      </c>
      <c r="AF36" s="44">
        <f t="shared" ca="1" si="51"/>
        <v>10.88</v>
      </c>
      <c r="AH36" s="44">
        <v>211.36</v>
      </c>
      <c r="AI36" s="44">
        <f t="shared" ca="1" si="52"/>
        <v>10.88</v>
      </c>
      <c r="AJ36" s="44" t="str">
        <f t="shared" ca="1" si="53"/>
        <v>211.36,10.88</v>
      </c>
    </row>
    <row r="37" spans="1:36" x14ac:dyDescent="0.25">
      <c r="A37" s="44">
        <v>17</v>
      </c>
      <c r="B37" s="48">
        <v>7.2072106481481484</v>
      </c>
      <c r="C37" s="48">
        <v>3.7692939814814816</v>
      </c>
      <c r="D37" s="44">
        <v>75.66</v>
      </c>
      <c r="E37" s="44">
        <v>1.492</v>
      </c>
      <c r="F37" s="44"/>
      <c r="G37" s="43">
        <f t="shared" si="32"/>
        <v>90.463055555555556</v>
      </c>
      <c r="H37" s="43">
        <f t="shared" si="33"/>
        <v>1.5788781708589925</v>
      </c>
      <c r="I37" s="43">
        <f t="shared" si="34"/>
        <v>172.97305555555556</v>
      </c>
      <c r="J37" s="49">
        <f t="shared" si="35"/>
        <v>3.0189493366795142</v>
      </c>
      <c r="K37" s="49">
        <f t="shared" si="36"/>
        <v>75.657529101471667</v>
      </c>
      <c r="L37" s="46">
        <f t="shared" si="37"/>
        <v>-0.61146566540280145</v>
      </c>
      <c r="M37" s="45"/>
      <c r="N37" s="47">
        <f t="shared" si="38"/>
        <v>172.97305555555556</v>
      </c>
      <c r="O37" s="47">
        <f t="shared" ca="1" si="18"/>
        <v>181.13899480595501</v>
      </c>
      <c r="P37" s="47">
        <f t="shared" ca="1" si="39"/>
        <v>354.11205036151057</v>
      </c>
      <c r="Q37" s="47">
        <f t="shared" ca="1" si="40"/>
        <v>6.1804211997963359</v>
      </c>
      <c r="R37" s="47">
        <f t="shared" ca="1" si="41"/>
        <v>-7.7612012843635521</v>
      </c>
      <c r="S37" s="47">
        <f t="shared" ca="1" si="42"/>
        <v>75.258391321922531</v>
      </c>
      <c r="T37" s="45">
        <f t="shared" ca="1" si="43"/>
        <v>1082215.9297987157</v>
      </c>
      <c r="U37" s="45">
        <f t="shared" ca="1" si="44"/>
        <v>455800.28539132193</v>
      </c>
      <c r="V37" s="47">
        <f t="shared" si="45"/>
        <v>1224.6135343345973</v>
      </c>
      <c r="W37" s="47">
        <f t="shared" ca="1" si="46"/>
        <v>1225.0885181372309</v>
      </c>
      <c r="X37" s="47">
        <f ca="1">IF(AND(A37&gt;=CS_Start,A37&lt;=CS_End),IF(OR(LEFT(UPPER(F37))="D"),"",T37),"")</f>
        <v>1082215.9297987157</v>
      </c>
      <c r="Y37" s="47">
        <f t="shared" ca="1" si="21"/>
        <v>455800.28539132193</v>
      </c>
      <c r="Z37" s="47">
        <f ca="1">IF(X37="",NA(),VALUE((-mB*X37+Y37-bA)/(mA-mB)))</f>
        <v>1082216.5789774468</v>
      </c>
      <c r="AA37" s="47">
        <f ca="1">IF(ISNA(Z37),NA(),VALUE(mA*Z37+bA))</f>
        <v>455799.95666077221</v>
      </c>
      <c r="AB37" s="47">
        <f t="shared" ca="1" si="47"/>
        <v>0.72766530708290966</v>
      </c>
      <c r="AC37" s="47">
        <f t="shared" ca="1" si="48"/>
        <v>67.501809246693668</v>
      </c>
      <c r="AD37" s="47">
        <f t="shared" ca="1" si="49"/>
        <v>4.1017084214797705</v>
      </c>
      <c r="AE37" s="44">
        <f t="shared" ca="1" si="50"/>
        <v>221.46</v>
      </c>
      <c r="AF37" s="44">
        <f t="shared" ca="1" si="51"/>
        <v>13.46</v>
      </c>
      <c r="AH37" s="44">
        <v>221.46</v>
      </c>
      <c r="AI37" s="44">
        <f t="shared" ca="1" si="52"/>
        <v>13.46</v>
      </c>
      <c r="AJ37" s="44" t="str">
        <f t="shared" ca="1" si="53"/>
        <v>221.46,13.46</v>
      </c>
    </row>
    <row r="38" spans="1:36" x14ac:dyDescent="0.25">
      <c r="A38" s="44">
        <v>18</v>
      </c>
      <c r="B38" s="48">
        <v>1.6821180555555555</v>
      </c>
      <c r="C38" s="48">
        <v>3.8081365740740742</v>
      </c>
      <c r="D38" s="44">
        <v>30.308</v>
      </c>
      <c r="E38" s="44">
        <v>1.492</v>
      </c>
      <c r="F38" s="49" t="s">
        <v>71</v>
      </c>
      <c r="G38" s="43">
        <f t="shared" ref="G38:G39" si="54">C38*24</f>
        <v>91.395277777777778</v>
      </c>
      <c r="H38" s="43">
        <f t="shared" ref="H38:H39" si="55">RADIANS(G38)</f>
        <v>1.5951485179970286</v>
      </c>
      <c r="I38" s="43">
        <f t="shared" ref="I38:I39" si="56">B38*24</f>
        <v>40.37083333333333</v>
      </c>
      <c r="J38" s="49">
        <f t="shared" ref="J38:J39" si="57">RADIANS(I38)</f>
        <v>0.7046039634405441</v>
      </c>
      <c r="K38" s="49">
        <f t="shared" ref="K38:K39" si="58">D38*SIN(H38)</f>
        <v>30.299013679364563</v>
      </c>
      <c r="L38" s="46">
        <f t="shared" ref="L38:L39" si="59">D38*COS(H38)</f>
        <v>-0.73799326397945231</v>
      </c>
      <c r="M38" s="45"/>
      <c r="N38" s="47">
        <f t="shared" ref="N38:N39" si="60">I38+M38</f>
        <v>40.37083333333333</v>
      </c>
      <c r="O38" s="47">
        <f t="shared" ca="1" si="18"/>
        <v>181.13899480595501</v>
      </c>
      <c r="P38" s="47">
        <f t="shared" ref="P38:P39" ca="1" si="61">SUM(N38,O38)</f>
        <v>221.50982813928835</v>
      </c>
      <c r="Q38" s="47">
        <f t="shared" ref="Q38:Q39" ca="1" si="62">RADIANS(P38)</f>
        <v>3.866075826557366</v>
      </c>
      <c r="R38" s="47">
        <f t="shared" ref="R38:R39" ca="1" si="63">K38*SIN(Q38)</f>
        <v>-20.080626151696148</v>
      </c>
      <c r="S38" s="47">
        <f t="shared" ref="S38:S39" ca="1" si="64">K38*COS(Q38)</f>
        <v>-22.689175465365366</v>
      </c>
      <c r="T38" s="45">
        <f t="shared" ref="T38:T39" ca="1" si="65">Old_X0+R38</f>
        <v>1082203.6103738484</v>
      </c>
      <c r="U38" s="45">
        <f t="shared" ref="U38:U39" ca="1" si="66">Old_Y0+S38</f>
        <v>455702.33782453462</v>
      </c>
      <c r="V38" s="47">
        <f t="shared" ref="V38:V39" si="67">Old_Z0+HI+L38-E38</f>
        <v>1224.4870067360207</v>
      </c>
      <c r="W38" s="47">
        <f t="shared" ref="W38:W39" ca="1" si="68">IF(ISNUMBER(T38),V38+dZ,"")</f>
        <v>1224.9619905386544</v>
      </c>
      <c r="X38" s="47" t="str">
        <f>IF(AND(A38&gt;=CS_Start,A38&lt;=CS_End),IF(OR(LEFT(UPPER(F38))="D"),"",T38),"")</f>
        <v/>
      </c>
      <c r="Y38" s="47" t="str">
        <f t="shared" ref="Y38:Y39" si="69">IF(ISNUMBER(X38),U38,"")</f>
        <v/>
      </c>
      <c r="Z38" s="47" t="e">
        <f>IF(X38="",NA(),VALUE((-mB*X38+Y38-bA)/(mA-mB)))</f>
        <v>#N/A</v>
      </c>
      <c r="AA38" s="47" t="e">
        <f>IF(ISNA(Z38),NA(),VALUE(mA*Z38+bA))</f>
        <v>#N/A</v>
      </c>
      <c r="AB38" s="47" t="str">
        <f t="shared" ref="AB38:AB39" si="70">IF(ISNUMBER(X38),SQRT((X38-Z38)^2+(Y38-AA38)^2),"")</f>
        <v/>
      </c>
      <c r="AC38" s="47" t="str">
        <f t="shared" ref="AC38:AC39" ca="1" si="71">IF(ISNUMBER(Z38),SQRT(($Z38-OFFSET($Z$20,MATCH(CS_Start,$A$21:$A$51,0),0))^2+($AA38-OFFSET($AA$20,MATCH(CS_Start,$A$21:$A$51,0),0))^2),"")</f>
        <v/>
      </c>
      <c r="AD38" s="47" t="str">
        <f t="shared" ref="AD38:AD39" si="72">IF(ISNUMBER(X38),W38-Min_Z,"")</f>
        <v/>
      </c>
      <c r="AE38" s="44" t="e">
        <f t="shared" ref="AE38:AE39" ca="1" si="73">ROUND(CONVERT(AC38,"m","ft"),2)</f>
        <v>#VALUE!</v>
      </c>
      <c r="AF38" s="44" t="e">
        <f t="shared" ref="AF38:AF39" si="74">ROUND(CONVERT(AD38,"m","ft"),2)</f>
        <v>#VALUE!</v>
      </c>
      <c r="AH38" s="44"/>
      <c r="AI38" s="44"/>
      <c r="AJ38" s="44"/>
    </row>
    <row r="39" spans="1:36" x14ac:dyDescent="0.25">
      <c r="A39" s="44">
        <v>19</v>
      </c>
      <c r="B39" s="48">
        <v>14.998645833333333</v>
      </c>
      <c r="C39" s="48">
        <v>3.7336921296296297</v>
      </c>
      <c r="D39" s="44">
        <v>56.765999999999998</v>
      </c>
      <c r="E39" s="44">
        <v>1.492</v>
      </c>
      <c r="F39" s="49" t="s">
        <v>70</v>
      </c>
      <c r="G39" s="43">
        <f t="shared" si="54"/>
        <v>89.608611111111117</v>
      </c>
      <c r="H39" s="43">
        <f t="shared" si="55"/>
        <v>1.5639653020280633</v>
      </c>
      <c r="I39" s="43">
        <f t="shared" si="56"/>
        <v>359.96749999999997</v>
      </c>
      <c r="J39" s="49">
        <f t="shared" si="57"/>
        <v>6.2826180751726879</v>
      </c>
      <c r="K39" s="49">
        <f t="shared" si="58"/>
        <v>56.764675572077465</v>
      </c>
      <c r="L39" s="46">
        <f t="shared" si="59"/>
        <v>0.38776693617605723</v>
      </c>
      <c r="M39" s="45"/>
      <c r="N39" s="47">
        <f t="shared" si="60"/>
        <v>359.96749999999997</v>
      </c>
      <c r="O39" s="47">
        <f t="shared" ca="1" si="18"/>
        <v>181.13899480595501</v>
      </c>
      <c r="P39" s="47">
        <f t="shared" ca="1" si="61"/>
        <v>541.10649480595498</v>
      </c>
      <c r="Q39" s="47">
        <f t="shared" ca="1" si="62"/>
        <v>9.44408993828951</v>
      </c>
      <c r="R39" s="47">
        <f t="shared" ca="1" si="63"/>
        <v>-1.0961699990681397</v>
      </c>
      <c r="S39" s="47">
        <f t="shared" ca="1" si="64"/>
        <v>-56.754090637912178</v>
      </c>
      <c r="T39" s="45">
        <f t="shared" ca="1" si="65"/>
        <v>1082222.594830001</v>
      </c>
      <c r="U39" s="45">
        <f t="shared" ca="1" si="66"/>
        <v>455668.2729093621</v>
      </c>
      <c r="V39" s="47">
        <f t="shared" si="67"/>
        <v>1225.6127669361763</v>
      </c>
      <c r="W39" s="47">
        <f t="shared" ca="1" si="68"/>
        <v>1226.08775073881</v>
      </c>
      <c r="X39" s="47" t="str">
        <f>IF(AND(A39&gt;=CS_Start,A39&lt;=CS_End),IF(OR(LEFT(UPPER(F39))="D"),"",T39),"")</f>
        <v/>
      </c>
      <c r="Y39" s="47" t="str">
        <f t="shared" si="69"/>
        <v/>
      </c>
      <c r="Z39" s="47" t="e">
        <f>IF(X39="",NA(),VALUE((-mB*X39+Y39-bA)/(mA-mB)))</f>
        <v>#N/A</v>
      </c>
      <c r="AA39" s="47" t="e">
        <f>IF(ISNA(Z39),NA(),VALUE(mA*Z39+bA))</f>
        <v>#N/A</v>
      </c>
      <c r="AB39" s="47" t="str">
        <f t="shared" si="70"/>
        <v/>
      </c>
      <c r="AC39" s="47" t="str">
        <f t="shared" ca="1" si="71"/>
        <v/>
      </c>
      <c r="AD39" s="47" t="str">
        <f t="shared" si="72"/>
        <v/>
      </c>
      <c r="AE39" s="44" t="e">
        <f t="shared" ca="1" si="73"/>
        <v>#VALUE!</v>
      </c>
      <c r="AF39" s="44" t="e">
        <f t="shared" si="74"/>
        <v>#VALUE!</v>
      </c>
      <c r="AH39" s="44"/>
      <c r="AI39" s="44"/>
      <c r="AJ39" s="44"/>
    </row>
    <row r="40" spans="1:36" x14ac:dyDescent="0.25">
      <c r="A40" s="44"/>
      <c r="B40" s="48"/>
      <c r="C40" s="48"/>
      <c r="D40" s="44"/>
      <c r="E40" s="44"/>
      <c r="F40" s="44"/>
      <c r="G40" s="43"/>
      <c r="H40" s="43"/>
      <c r="I40" s="43"/>
      <c r="J40" s="49"/>
      <c r="K40" s="49"/>
      <c r="L40" s="46"/>
      <c r="M40" s="45"/>
      <c r="N40" s="47"/>
      <c r="O40" s="47"/>
      <c r="P40" s="47"/>
      <c r="Q40" s="47"/>
      <c r="R40" s="47"/>
      <c r="S40" s="47"/>
      <c r="T40" s="45"/>
      <c r="U40" s="45"/>
      <c r="V40" s="47"/>
      <c r="W40" s="47"/>
      <c r="X40" s="47"/>
      <c r="Y40" s="47"/>
      <c r="Z40" s="47"/>
      <c r="AA40" s="47"/>
      <c r="AB40" s="47"/>
      <c r="AC40" s="47"/>
      <c r="AD40" s="47"/>
      <c r="AE40" s="44"/>
      <c r="AF40" s="44"/>
      <c r="AH40" s="44"/>
      <c r="AI40" s="44"/>
      <c r="AJ40" s="44"/>
    </row>
    <row r="41" spans="1:36" x14ac:dyDescent="0.25">
      <c r="A41" s="44"/>
      <c r="B41" s="48"/>
      <c r="C41" s="48"/>
      <c r="D41" s="44"/>
      <c r="E41" s="44"/>
      <c r="F41" s="44"/>
      <c r="G41" s="43"/>
      <c r="H41" s="43"/>
      <c r="I41" s="43"/>
      <c r="J41" s="49"/>
      <c r="K41" s="49"/>
      <c r="L41" s="46"/>
      <c r="M41" s="45"/>
      <c r="N41" s="47"/>
      <c r="O41" s="47"/>
      <c r="P41" s="47"/>
      <c r="Q41" s="47"/>
      <c r="R41" s="47"/>
      <c r="S41" s="47"/>
      <c r="T41" s="45"/>
      <c r="U41" s="45"/>
      <c r="V41" s="47"/>
      <c r="W41" s="47"/>
      <c r="X41" s="47"/>
      <c r="Y41" s="47"/>
      <c r="Z41" s="47"/>
      <c r="AA41" s="47"/>
      <c r="AB41" s="47"/>
      <c r="AC41" s="47"/>
      <c r="AD41" s="47"/>
      <c r="AE41" s="44"/>
      <c r="AF41" s="44"/>
    </row>
    <row r="42" spans="1:36" x14ac:dyDescent="0.25">
      <c r="A42" s="44"/>
      <c r="B42" s="48"/>
      <c r="C42" s="48"/>
      <c r="D42" s="44"/>
      <c r="E42" s="44"/>
      <c r="F42" s="44"/>
      <c r="G42" s="43"/>
      <c r="H42" s="43"/>
      <c r="I42" s="43"/>
      <c r="J42" s="49"/>
      <c r="K42" s="49"/>
      <c r="L42" s="46"/>
      <c r="M42" s="45"/>
      <c r="N42" s="47"/>
      <c r="O42" s="47"/>
      <c r="P42" s="47"/>
      <c r="Q42" s="47"/>
      <c r="R42" s="47"/>
      <c r="S42" s="47"/>
      <c r="T42" s="45"/>
      <c r="U42" s="45"/>
      <c r="V42" s="47"/>
      <c r="W42" s="47"/>
      <c r="X42" s="47"/>
      <c r="Y42" s="47"/>
      <c r="Z42" s="47"/>
      <c r="AA42" s="47"/>
      <c r="AB42" s="47"/>
      <c r="AC42" s="47"/>
      <c r="AD42" s="47"/>
      <c r="AE42" s="44"/>
      <c r="AF42" s="44"/>
    </row>
    <row r="43" spans="1:36" x14ac:dyDescent="0.25">
      <c r="A43" s="44"/>
      <c r="B43" s="48"/>
      <c r="C43" s="48"/>
      <c r="D43" s="44"/>
      <c r="E43" s="44"/>
      <c r="F43" s="44"/>
      <c r="G43" s="43"/>
      <c r="H43" s="43"/>
      <c r="I43" s="43"/>
      <c r="J43" s="49"/>
      <c r="K43" s="49"/>
      <c r="L43" s="46"/>
      <c r="M43" s="45"/>
      <c r="N43" s="47"/>
      <c r="O43" s="47"/>
      <c r="P43" s="47"/>
      <c r="Q43" s="47"/>
      <c r="R43" s="47"/>
      <c r="S43" s="47"/>
      <c r="T43" s="45"/>
      <c r="U43" s="45"/>
      <c r="V43" s="47"/>
      <c r="W43" s="47"/>
      <c r="X43" s="47"/>
      <c r="Y43" s="47"/>
      <c r="Z43" s="47"/>
      <c r="AA43" s="47"/>
      <c r="AB43" s="47"/>
      <c r="AC43" s="47"/>
      <c r="AD43" s="47"/>
      <c r="AE43" s="44"/>
      <c r="AF43" s="44"/>
    </row>
    <row r="44" spans="1:36" x14ac:dyDescent="0.25">
      <c r="A44" s="44"/>
      <c r="B44" s="48"/>
      <c r="C44" s="48"/>
      <c r="D44" s="44"/>
      <c r="E44" s="44"/>
      <c r="F44" s="49"/>
      <c r="G44" s="43"/>
      <c r="H44" s="43"/>
      <c r="I44" s="43"/>
      <c r="J44" s="49"/>
      <c r="K44" s="49"/>
      <c r="L44" s="46"/>
      <c r="M44" s="45"/>
      <c r="N44" s="47"/>
      <c r="O44" s="47"/>
      <c r="P44" s="47"/>
      <c r="Q44" s="47"/>
      <c r="R44" s="47"/>
      <c r="S44" s="47"/>
      <c r="T44" s="45"/>
      <c r="U44" s="45"/>
      <c r="V44" s="47"/>
      <c r="W44" s="47"/>
      <c r="X44" s="47"/>
      <c r="Y44" s="47"/>
      <c r="Z44" s="47"/>
      <c r="AA44" s="47"/>
      <c r="AB44" s="47"/>
      <c r="AC44" s="47"/>
      <c r="AD44" s="47"/>
      <c r="AE44" s="44"/>
      <c r="AF44" s="44"/>
    </row>
    <row r="45" spans="1:36" x14ac:dyDescent="0.25">
      <c r="A45" s="44"/>
      <c r="B45" s="48"/>
      <c r="C45" s="48"/>
      <c r="D45" s="44"/>
      <c r="E45" s="44"/>
      <c r="F45" s="49"/>
      <c r="G45" s="43"/>
      <c r="H45" s="43"/>
      <c r="I45" s="43"/>
      <c r="J45" s="49"/>
      <c r="K45" s="49"/>
      <c r="L45" s="46"/>
      <c r="M45" s="45"/>
      <c r="N45" s="47"/>
      <c r="O45" s="47"/>
      <c r="P45" s="47"/>
      <c r="Q45" s="47"/>
      <c r="R45" s="47"/>
      <c r="S45" s="47"/>
      <c r="T45" s="45"/>
      <c r="U45" s="45"/>
      <c r="V45" s="47"/>
      <c r="W45" s="47"/>
      <c r="X45" s="47"/>
      <c r="Y45" s="47"/>
      <c r="Z45" s="47"/>
      <c r="AA45" s="47"/>
      <c r="AB45" s="47"/>
      <c r="AC45" s="47"/>
      <c r="AD45" s="47"/>
      <c r="AE45" s="44"/>
      <c r="AF45" s="44"/>
    </row>
    <row r="46" spans="1:36" x14ac:dyDescent="0.25">
      <c r="A46" s="44"/>
      <c r="B46" s="48"/>
      <c r="C46" s="48"/>
      <c r="D46" s="44"/>
      <c r="E46" s="44"/>
      <c r="F46" s="49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4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9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4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9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48"/>
      <c r="D55" s="44"/>
      <c r="E55" s="44"/>
      <c r="F55" s="44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50"/>
      <c r="D56" s="44"/>
      <c r="E56" s="44"/>
      <c r="F56" s="50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4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4"/>
      <c r="B61" s="48"/>
      <c r="C61" s="48"/>
      <c r="D61" s="44"/>
      <c r="E61" s="44"/>
      <c r="F61" s="49"/>
      <c r="G61" s="43"/>
      <c r="H61" s="43"/>
      <c r="I61" s="43"/>
      <c r="J61" s="49"/>
      <c r="K61" s="49"/>
      <c r="L61" s="46"/>
      <c r="M61" s="45"/>
      <c r="N61" s="47"/>
      <c r="O61" s="47"/>
      <c r="P61" s="47"/>
      <c r="Q61" s="47"/>
      <c r="R61" s="47"/>
      <c r="S61" s="47"/>
      <c r="T61" s="45"/>
      <c r="U61" s="45"/>
      <c r="V61" s="47"/>
      <c r="W61" s="47"/>
      <c r="X61" s="47"/>
      <c r="Y61" s="47"/>
      <c r="Z61" s="47"/>
      <c r="AA61" s="47"/>
      <c r="AB61" s="47"/>
      <c r="AC61" s="47"/>
      <c r="AD61" s="47"/>
      <c r="AE61" s="44"/>
      <c r="AF61" s="44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  <c r="AH66" s="44"/>
      <c r="AI66" s="44"/>
      <c r="AJ66" s="44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V70" s="2"/>
      <c r="W70" s="13"/>
      <c r="X70" s="2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W73" s="2"/>
      <c r="X73" s="13"/>
      <c r="Y73" s="2"/>
      <c r="Z73" s="2"/>
      <c r="AA73" s="2"/>
    </row>
    <row r="74" spans="1:36" x14ac:dyDescent="0.25">
      <c r="A74" s="40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  <row r="85" spans="1:27" x14ac:dyDescent="0.25">
      <c r="A85" s="17"/>
      <c r="C85" s="2"/>
      <c r="D85" s="42"/>
      <c r="E85" s="42"/>
      <c r="F85" s="42"/>
      <c r="G85" s="42"/>
      <c r="H85" s="42"/>
      <c r="I85" s="10"/>
      <c r="J85" s="10"/>
      <c r="K85" s="10"/>
      <c r="L85" s="10"/>
      <c r="M85" s="10"/>
      <c r="X85" s="13"/>
      <c r="Y85" s="2"/>
      <c r="Z85" s="2"/>
      <c r="AA85" s="2"/>
    </row>
  </sheetData>
  <sortState ref="AH23:AH35">
    <sortCondition ref="AH23"/>
  </sortState>
  <mergeCells count="20">
    <mergeCell ref="A1:B1"/>
    <mergeCell ref="A6:B6"/>
    <mergeCell ref="A7:B7"/>
    <mergeCell ref="A4:B4"/>
    <mergeCell ref="A3:B3"/>
    <mergeCell ref="A2:B2"/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3550602.6607611557</v>
      </c>
      <c r="C2" s="33">
        <f>IF(ISNUMBER(Calculations!O4),CONVERT(Calculations!O4,Units_In,Units_Out),"")</f>
        <v>1495160.8497375329</v>
      </c>
      <c r="D2" s="33" t="s">
        <v>60</v>
      </c>
      <c r="E2" s="10" t="str">
        <f>CONCATENATE("0503 ",B2,"EUSft ",C2,"NUSft")</f>
        <v>0503 3550602.66076116EUSft 1495160.84973753NUSft</v>
      </c>
      <c r="F2" s="34">
        <v>98</v>
      </c>
      <c r="G2" s="10" t="str">
        <f>IF(F2=98,"Lime",IF(F2=94,"Yellow",""))</f>
        <v>Lime</v>
      </c>
      <c r="H2" s="10" t="str">
        <f>Calculations!$A$1</f>
        <v>CSS16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3550670.3248031498</v>
      </c>
      <c r="C3" s="33">
        <f>IF(ISNUMBER(Calculations!O5),CONVERT(Calculations!O5,Units_In,Units_Out),"")</f>
        <v>1495334.6227034121</v>
      </c>
      <c r="D3" s="33" t="s">
        <v>60</v>
      </c>
      <c r="E3" s="10" t="str">
        <f t="shared" ref="E3:E4" si="0">CONCATENATE("0503 ",B3,"EUSft ",C3,"NUSft")</f>
        <v>0503 3550670.32480315EUSft 1495334.62270341NUSft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CSS16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3550692.1391076115</v>
      </c>
      <c r="C4" s="33">
        <f>IF(ISNUMBER(Calculations!O6),CONVERT(Calculations!O6,Units_In,Units_Out),"")</f>
        <v>1495211.3549868767</v>
      </c>
      <c r="D4" s="33" t="s">
        <v>60</v>
      </c>
      <c r="E4" s="10" t="str">
        <f t="shared" si="0"/>
        <v>0503 3550692.13910761EUSft 1495211.35498688NUSft</v>
      </c>
      <c r="F4" s="34">
        <v>98</v>
      </c>
      <c r="G4" s="10" t="str">
        <f t="shared" si="1"/>
        <v>Lime</v>
      </c>
      <c r="H4" s="10" t="str">
        <f>Calculations!$A$1</f>
        <v>CSS16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3550598.9573340346</v>
      </c>
      <c r="C5" s="33">
        <f ca="1">IF(ISNUMBER(A5),CONVERT(Calculations!U21,Units_In,Units_Out),"")</f>
        <v>1494974.5323294471</v>
      </c>
      <c r="D5" s="33" t="str">
        <f>IF(ISTEXT(Calculations!F21),Calculations!F21,"")</f>
        <v>BS/ZERO</v>
      </c>
      <c r="E5" t="str">
        <f ca="1">IF(ISNUMBER(A5),CONCATENATE("0503 ",B5,"EUSft ",C5,"NUSft"),"")</f>
        <v>0503 3550598.95733403EUSft 1494974.53232945NUSft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CSS16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3550537.0545527823</v>
      </c>
      <c r="C6" s="33">
        <f ca="1">IF(ISNUMBER(A6),CONVERT(Calculations!U22,Units_In,Units_Out),"")</f>
        <v>1495086.2902190418</v>
      </c>
      <c r="D6" s="33" t="str">
        <f>IF(ISTEXT(Calculations!F22),Calculations!F22,"")</f>
        <v>BS</v>
      </c>
      <c r="E6" s="10" t="str">
        <f t="shared" ref="E6:E65" ca="1" si="2">IF(ISNUMBER(A6),CONCATENATE("0503 ",B6,"EUSft ",C6,"NUSft"),"")</f>
        <v>0503 3550537.05455278EUSft 1495086.29021904NUSft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CSS16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3550479.6760049541</v>
      </c>
      <c r="C7" s="33">
        <f ca="1">IF(ISNUMBER(A7),CONVERT(Calculations!U23,Units_In,Units_Out),"")</f>
        <v>1495208.9055630125</v>
      </c>
      <c r="D7" s="33" t="str">
        <f>IF(ISTEXT(Calculations!F23),Calculations!F23,"")</f>
        <v/>
      </c>
      <c r="E7" s="10" t="str">
        <f t="shared" ca="1" si="2"/>
        <v>0503 3550479.67600495EUSft 1495208.90556301NUSft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CSS16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3550481.637324593</v>
      </c>
      <c r="C8" s="33">
        <f ca="1">IF(ISNUMBER(A8),CONVERT(Calculations!U24,Units_In,Units_Out),"")</f>
        <v>1495216.0163205497</v>
      </c>
      <c r="D8" s="33" t="str">
        <f>IF(ISTEXT(Calculations!F24),Calculations!F24,"")</f>
        <v/>
      </c>
      <c r="E8" s="10" t="str">
        <f t="shared" ca="1" si="2"/>
        <v>0503 3550481.63732459EUSft 1495216.01632055NUSft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CSS16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3550486.7120844154</v>
      </c>
      <c r="C9" s="33">
        <f ca="1">IF(ISNUMBER(A9),CONVERT(Calculations!U25,Units_In,Units_Out),"")</f>
        <v>1495221.8908885352</v>
      </c>
      <c r="D9" s="33" t="str">
        <f>IF(ISTEXT(Calculations!F25),Calculations!F25,"")</f>
        <v/>
      </c>
      <c r="E9" s="10" t="str">
        <f t="shared" ca="1" si="2"/>
        <v>0503 3550486.71208442EUSft 1495221.89088854NUSft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CSS16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3550489.6594140334</v>
      </c>
      <c r="C10" s="33">
        <f ca="1">IF(ISNUMBER(A10),CONVERT(Calculations!U26,Units_In,Units_Out),"")</f>
        <v>1495229.0571486761</v>
      </c>
      <c r="D10" s="33" t="str">
        <f>IF(ISTEXT(Calculations!F26),Calculations!F26,"")</f>
        <v/>
      </c>
      <c r="E10" s="10" t="str">
        <f t="shared" ca="1" si="2"/>
        <v>0503 3550489.65941403EUSft 1495229.05714868NUSft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CSS16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3550500.9603428748</v>
      </c>
      <c r="C11" s="33">
        <f ca="1">IF(ISNUMBER(A11),CONVERT(Calculations!U27,Units_In,Units_Out),"")</f>
        <v>1495249.5290650171</v>
      </c>
      <c r="D11" s="33" t="str">
        <f>IF(ISTEXT(Calculations!F27),Calculations!F27,"")</f>
        <v/>
      </c>
      <c r="E11" s="10" t="str">
        <f t="shared" ca="1" si="2"/>
        <v>0503 3550500.96034287EUSft 1495249.52906502NUSft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CSS16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3550507.9754227526</v>
      </c>
      <c r="C12" s="33">
        <f ca="1">IF(ISNUMBER(A12),CONVERT(Calculations!U28,Units_In,Units_Out),"")</f>
        <v>1495263.8988376739</v>
      </c>
      <c r="D12" s="33" t="str">
        <f>IF(ISTEXT(Calculations!F28),Calculations!F28,"")</f>
        <v/>
      </c>
      <c r="E12" s="10" t="str">
        <f t="shared" ca="1" si="2"/>
        <v>0503 3550507.97542275EUSft 1495263.89883767NUSft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CSS16</v>
      </c>
    </row>
    <row r="13" spans="1:8" x14ac:dyDescent="0.25">
      <c r="A13" s="10">
        <f>IF(ISNUMBER(Calculations!A29),Calculations!A29,"")</f>
        <v>9</v>
      </c>
      <c r="B13" s="33">
        <f ca="1">IF(ISNUMBER(A13),CONVERT(Calculations!T29,Units_In,Units_Out),"")</f>
        <v>3550512.8819092531</v>
      </c>
      <c r="C13" s="33">
        <f ca="1">IF(ISNUMBER(A13),CONVERT(Calculations!U29,Units_In,Units_Out),"")</f>
        <v>1495272.9770876467</v>
      </c>
      <c r="D13" s="33" t="str">
        <f>IF(ISTEXT(Calculations!F29),Calculations!F29,"")</f>
        <v>WS</v>
      </c>
      <c r="E13" s="10" t="str">
        <f t="shared" ca="1" si="2"/>
        <v>0503 3550512.88190925EUSft 1495272.97708765NUSft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CSS16</v>
      </c>
    </row>
    <row r="14" spans="1:8" x14ac:dyDescent="0.25">
      <c r="A14" s="10">
        <f>IF(ISNUMBER(Calculations!A30),Calculations!A30,"")</f>
        <v>10</v>
      </c>
      <c r="B14" s="33">
        <f ca="1">IF(ISNUMBER(A14),CONVERT(Calculations!T30,Units_In,Units_Out),"")</f>
        <v>3550517.5625031982</v>
      </c>
      <c r="C14" s="33">
        <f ca="1">IF(ISNUMBER(A14),CONVERT(Calculations!U30,Units_In,Units_Out),"")</f>
        <v>1495284.02438808</v>
      </c>
      <c r="D14" s="33" t="str">
        <f>IF(ISTEXT(Calculations!F30),Calculations!F30,"")</f>
        <v/>
      </c>
      <c r="E14" s="10" t="str">
        <f t="shared" ca="1" si="2"/>
        <v>0503 3550517.5625032EUSft 1495284.02438808NUSft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CSS16</v>
      </c>
    </row>
    <row r="15" spans="1:8" x14ac:dyDescent="0.25">
      <c r="A15" s="10">
        <f>IF(ISNUMBER(Calculations!A31),Calculations!A31,"")</f>
        <v>11</v>
      </c>
      <c r="B15" s="33">
        <f ca="1">IF(ISNUMBER(A15),CONVERT(Calculations!T31,Units_In,Units_Out),"")</f>
        <v>3550523.2741231807</v>
      </c>
      <c r="C15" s="33">
        <f ca="1">IF(ISNUMBER(A15),CONVERT(Calculations!U31,Units_In,Units_Out),"")</f>
        <v>1495300.233976535</v>
      </c>
      <c r="D15" s="33" t="str">
        <f>IF(ISTEXT(Calculations!F31),Calculations!F31,"")</f>
        <v>WS</v>
      </c>
      <c r="E15" s="10" t="str">
        <f t="shared" ca="1" si="2"/>
        <v>0503 3550523.27412318EUSft 1495300.23397654NUSft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CSS16</v>
      </c>
    </row>
    <row r="16" spans="1:8" x14ac:dyDescent="0.25">
      <c r="A16" s="10">
        <f>IF(ISNUMBER(Calculations!A32),Calculations!A32,"")</f>
        <v>12</v>
      </c>
      <c r="B16" s="33">
        <f ca="1">IF(ISNUMBER(A16),CONVERT(Calculations!T32,Units_In,Units_Out),"")</f>
        <v>3550531.2812262918</v>
      </c>
      <c r="C16" s="33">
        <f ca="1">IF(ISNUMBER(A16),CONVERT(Calculations!U32,Units_In,Units_Out),"")</f>
        <v>1495322.857642208</v>
      </c>
      <c r="D16" s="33" t="str">
        <f>IF(ISTEXT(Calculations!F32),Calculations!F32,"")</f>
        <v/>
      </c>
      <c r="E16" s="10" t="str">
        <f t="shared" ca="1" si="2"/>
        <v>0503 3550531.28122629EUSft 1495322.85764221NUSft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CSS16</v>
      </c>
    </row>
    <row r="17" spans="1:8" x14ac:dyDescent="0.25">
      <c r="A17" s="10">
        <f>IF(ISNUMBER(Calculations!A33),Calculations!A33,"")</f>
        <v>13</v>
      </c>
      <c r="B17" s="33">
        <f ca="1">IF(ISNUMBER(A17),CONVERT(Calculations!T33,Units_In,Units_Out),"")</f>
        <v>3550563.0012902506</v>
      </c>
      <c r="C17" s="33">
        <f ca="1">IF(ISNUMBER(A17),CONVERT(Calculations!U33,Units_In,Units_Out),"")</f>
        <v>1495369.0501728742</v>
      </c>
      <c r="D17" s="33" t="str">
        <f>IF(ISTEXT(Calculations!F33),Calculations!F33,"")</f>
        <v/>
      </c>
      <c r="E17" s="10" t="str">
        <f t="shared" ca="1" si="2"/>
        <v>0503 3550563.00129025EUSft 1495369.05017287NUSft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CSS16</v>
      </c>
    </row>
    <row r="18" spans="1:8" x14ac:dyDescent="0.25">
      <c r="A18" s="10">
        <f>IF(ISNUMBER(Calculations!A34),Calculations!A34,"")</f>
        <v>14</v>
      </c>
      <c r="B18" s="33">
        <f ca="1">IF(ISNUMBER(A18),CONVERT(Calculations!T34,Units_In,Units_Out),"")</f>
        <v>3550570.8703438486</v>
      </c>
      <c r="C18" s="33">
        <f ca="1">IF(ISNUMBER(A18),CONVERT(Calculations!U34,Units_In,Units_Out),"")</f>
        <v>1495381.8727133435</v>
      </c>
      <c r="D18" s="33" t="str">
        <f>IF(ISTEXT(Calculations!F34),Calculations!F34,"")</f>
        <v/>
      </c>
      <c r="E18" s="10" t="str">
        <f t="shared" ca="1" si="2"/>
        <v>0503 3550570.87034385EUSft 1495381.87271334NUSft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CSS16</v>
      </c>
    </row>
    <row r="19" spans="1:8" x14ac:dyDescent="0.25">
      <c r="A19" s="10">
        <f>IF(ISNUMBER(Calculations!A35),Calculations!A35,"")</f>
        <v>15</v>
      </c>
      <c r="B19" s="33">
        <f ca="1">IF(ISNUMBER(A19),CONVERT(Calculations!T35,Units_In,Units_Out),"")</f>
        <v>3550572.8800484533</v>
      </c>
      <c r="C19" s="33">
        <f ca="1">IF(ISNUMBER(A19),CONVERT(Calculations!U35,Units_In,Units_Out),"")</f>
        <v>1495392.9886402988</v>
      </c>
      <c r="D19" s="33" t="str">
        <f>IF(ISTEXT(Calculations!F35),Calculations!F35,"")</f>
        <v/>
      </c>
      <c r="E19" s="10" t="str">
        <f t="shared" ca="1" si="2"/>
        <v>0503 3550572.88004845EUSft 1495392.9886403NUSft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CSS16</v>
      </c>
    </row>
    <row r="20" spans="1:8" x14ac:dyDescent="0.25">
      <c r="A20" s="10">
        <f>IF(ISNUMBER(Calculations!A36),Calculations!A36,"")</f>
        <v>16</v>
      </c>
      <c r="B20" s="33">
        <f ca="1">IF(ISNUMBER(A20),CONVERT(Calculations!T36,Units_In,Units_Out),"")</f>
        <v>3550573.7605299614</v>
      </c>
      <c r="C20" s="33">
        <f ca="1">IF(ISNUMBER(A20),CONVERT(Calculations!U36,Units_In,Units_Out),"")</f>
        <v>1495398.1766023452</v>
      </c>
      <c r="D20" s="33" t="str">
        <f>IF(ISTEXT(Calculations!F36),Calculations!F36,"")</f>
        <v/>
      </c>
      <c r="E20" s="10" t="str">
        <f t="shared" ca="1" si="2"/>
        <v>0503 3550573.76052996EUSft 1495398.17660235NUSft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CSS16</v>
      </c>
    </row>
    <row r="21" spans="1:8" x14ac:dyDescent="0.25">
      <c r="A21" s="10">
        <f>IF(ISNUMBER(Calculations!A37),Calculations!A37,"")</f>
        <v>17</v>
      </c>
      <c r="B21" s="33">
        <f ca="1">IF(ISNUMBER(A21),CONVERT(Calculations!T37,Units_In,Units_Out),"")</f>
        <v>3550577.1975023486</v>
      </c>
      <c r="C21" s="33">
        <f ca="1">IF(ISNUMBER(A21),CONVERT(Calculations!U37,Units_In,Units_Out),"")</f>
        <v>1495407.7604702162</v>
      </c>
      <c r="D21" s="33" t="str">
        <f>IF(ISTEXT(Calculations!F37),Calculations!F37,"")</f>
        <v/>
      </c>
      <c r="E21" s="10" t="str">
        <f t="shared" ca="1" si="2"/>
        <v>0503 3550577.19750235EUSft 1495407.76047022NUSft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CSS16</v>
      </c>
    </row>
    <row r="22" spans="1:8" x14ac:dyDescent="0.25">
      <c r="A22" s="10">
        <f>IF(ISNUMBER(Calculations!A38),Calculations!A38,"")</f>
        <v>18</v>
      </c>
      <c r="B22" s="33">
        <f ca="1">IF(ISNUMBER(A22),CONVERT(Calculations!T38,Units_In,Units_Out),"")</f>
        <v>3550536.7794417599</v>
      </c>
      <c r="C22" s="33">
        <f ca="1">IF(ISNUMBER(A22),CONVERT(Calculations!U38,Units_In,Units_Out),"")</f>
        <v>1495086.410185481</v>
      </c>
      <c r="D22" s="33" t="str">
        <f>IF(ISTEXT(Calculations!F38),Calculations!F38,"")</f>
        <v>PT2</v>
      </c>
      <c r="E22" s="10" t="str">
        <f t="shared" ca="1" si="2"/>
        <v>0503 3550536.77944176EUSft 1495086.41018548NUSft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CSS16</v>
      </c>
    </row>
    <row r="23" spans="1:8" x14ac:dyDescent="0.25">
      <c r="A23" s="10">
        <f>IF(ISNUMBER(Calculations!A39),Calculations!A39,"")</f>
        <v>19</v>
      </c>
      <c r="B23" s="33">
        <f ca="1">IF(ISNUMBER(A23),CONVERT(Calculations!T39,Units_In,Units_Out),"")</f>
        <v>3550599.0644028904</v>
      </c>
      <c r="C23" s="33">
        <f ca="1">IF(ISNUMBER(A23),CONVERT(Calculations!U39,Units_In,Units_Out),"")</f>
        <v>1494974.6486527629</v>
      </c>
      <c r="D23" s="33" t="str">
        <f>IF(ISTEXT(Calculations!F39),Calculations!F39,"")</f>
        <v>PT1</v>
      </c>
      <c r="E23" s="10" t="str">
        <f t="shared" ca="1" si="2"/>
        <v>0503 3550599.06440289EUSft 1494974.64865276NUSft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CSS16</v>
      </c>
    </row>
    <row r="24" spans="1:8" x14ac:dyDescent="0.25">
      <c r="A24" s="10" t="str">
        <f>IF(ISNUMBER(Calculations!A40),Calculations!A40,"")</f>
        <v/>
      </c>
      <c r="B24" s="33" t="str">
        <f>IF(ISNUMBER(A24),CONVERT(Calculations!T40,Units_In,Units_Out),"")</f>
        <v/>
      </c>
      <c r="C24" s="33" t="str">
        <f>IF(ISNUMBER(A24),CONVERT(Calculations!U40,Units_In,Units_Out),"")</f>
        <v/>
      </c>
      <c r="D24" s="33" t="str">
        <f>IF(ISTEXT(Calculations!F40),Calculations!F40,"")</f>
        <v/>
      </c>
      <c r="E24" s="10" t="str">
        <f t="shared" si="2"/>
        <v/>
      </c>
      <c r="F24" s="34" t="str">
        <f t="shared" si="3"/>
        <v/>
      </c>
      <c r="G24" s="10" t="str">
        <f t="shared" si="1"/>
        <v/>
      </c>
      <c r="H24" s="10" t="str">
        <f>IF(ISNUMBER(A24),Calculations!$A$1,"")</f>
        <v/>
      </c>
    </row>
    <row r="25" spans="1:8" x14ac:dyDescent="0.25">
      <c r="A25" s="10" t="str">
        <f>IF(ISNUMBER(Calculations!A41),Calculations!A41,"")</f>
        <v/>
      </c>
      <c r="B25" s="33" t="str">
        <f>IF(ISNUMBER(A25),CONVERT(Calculations!T41,Units_In,Units_Out),"")</f>
        <v/>
      </c>
      <c r="C25" s="33" t="str">
        <f>IF(ISNUMBER(A25),CONVERT(Calculations!U41,Units_In,Units_Out),"")</f>
        <v/>
      </c>
      <c r="D25" s="33" t="str">
        <f>IF(ISTEXT(Calculations!F41),Calculations!F41,"")</f>
        <v/>
      </c>
      <c r="E25" s="10" t="str">
        <f t="shared" si="2"/>
        <v/>
      </c>
      <c r="F25" s="34" t="str">
        <f t="shared" si="3"/>
        <v/>
      </c>
      <c r="G25" s="10" t="str">
        <f t="shared" si="1"/>
        <v/>
      </c>
      <c r="H25" s="10" t="str">
        <f>IF(ISNUMBER(A25),Calculations!$A$1,"")</f>
        <v/>
      </c>
    </row>
    <row r="26" spans="1:8" x14ac:dyDescent="0.25">
      <c r="A26" s="10" t="str">
        <f>IF(ISNUMBER(Calculations!A42),Calculations!A42,"")</f>
        <v/>
      </c>
      <c r="B26" s="33" t="str">
        <f>IF(ISNUMBER(A26),CONVERT(Calculations!T42,Units_In,Units_Out),"")</f>
        <v/>
      </c>
      <c r="C26" s="33" t="str">
        <f>IF(ISNUMBER(A26),CONVERT(Calculations!U42,Units_In,Units_Out),"")</f>
        <v/>
      </c>
      <c r="D26" s="33" t="str">
        <f>IF(ISTEXT(Calculations!F42),Calculations!F42,"")</f>
        <v/>
      </c>
      <c r="E26" s="10" t="str">
        <f t="shared" si="2"/>
        <v/>
      </c>
      <c r="F26" s="34" t="str">
        <f t="shared" si="3"/>
        <v/>
      </c>
      <c r="G26" s="10" t="str">
        <f t="shared" si="1"/>
        <v/>
      </c>
      <c r="H26" s="10" t="str">
        <f>IF(ISNUMBER(A26),Calculations!$A$1,"")</f>
        <v/>
      </c>
    </row>
    <row r="27" spans="1:8" x14ac:dyDescent="0.25">
      <c r="A27" s="10" t="str">
        <f>IF(ISNUMBER(Calculations!A43),Calculations!A43,"")</f>
        <v/>
      </c>
      <c r="B27" s="33" t="str">
        <f>IF(ISNUMBER(A27),CONVERT(Calculations!T43,Units_In,Units_Out),"")</f>
        <v/>
      </c>
      <c r="C27" s="33" t="str">
        <f>IF(ISNUMBER(A27),CONVERT(Calculations!U43,Units_In,Units_Out),"")</f>
        <v/>
      </c>
      <c r="D27" s="33" t="str">
        <f>IF(ISTEXT(Calculations!F43),Calculations!F43,"")</f>
        <v/>
      </c>
      <c r="E27" s="10" t="str">
        <f t="shared" si="2"/>
        <v/>
      </c>
      <c r="F27" s="34" t="str">
        <f t="shared" si="3"/>
        <v/>
      </c>
      <c r="G27" s="10" t="str">
        <f t="shared" si="1"/>
        <v/>
      </c>
      <c r="H27" s="10" t="str">
        <f>IF(ISNUMBER(A27),Calculations!$A$1,"")</f>
        <v/>
      </c>
    </row>
    <row r="28" spans="1:8" x14ac:dyDescent="0.25">
      <c r="A28" s="10" t="str">
        <f>IF(ISNUMBER(Calculations!A44),Calculations!A44,"")</f>
        <v/>
      </c>
      <c r="B28" s="33" t="str">
        <f>IF(ISNUMBER(A28),CONVERT(Calculations!T44,Units_In,Units_Out),"")</f>
        <v/>
      </c>
      <c r="C28" s="33" t="str">
        <f>IF(ISNUMBER(A28),CONVERT(Calculations!U44,Units_In,Units_Out),"")</f>
        <v/>
      </c>
      <c r="D28" s="33" t="str">
        <f>IF(ISTEXT(Calculations!F44),Calculations!F44,"")</f>
        <v/>
      </c>
      <c r="E28" s="10" t="str">
        <f t="shared" si="2"/>
        <v/>
      </c>
      <c r="F28" s="34" t="str">
        <f t="shared" si="3"/>
        <v/>
      </c>
      <c r="G28" s="10" t="str">
        <f t="shared" si="1"/>
        <v/>
      </c>
      <c r="H28" s="10" t="str">
        <f>IF(ISNUMBER(A28),Calculations!$A$1,"")</f>
        <v/>
      </c>
    </row>
    <row r="29" spans="1:8" x14ac:dyDescent="0.25">
      <c r="A29" s="10" t="str">
        <f>IF(ISNUMBER(Calculations!A45),Calculations!A45,"")</f>
        <v/>
      </c>
      <c r="B29" s="33" t="str">
        <f>IF(ISNUMBER(A29),CONVERT(Calculations!T45,Units_In,Units_Out),"")</f>
        <v/>
      </c>
      <c r="C29" s="33" t="str">
        <f>IF(ISNUMBER(A29),CONVERT(Calculations!U45,Units_In,Units_Out),"")</f>
        <v/>
      </c>
      <c r="D29" s="33" t="str">
        <f>IF(ISTEXT(Calculations!F45),Calculations!F45,"")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IF(ISNUMBER(Calculations!A46),Calculations!A46,"")</f>
        <v/>
      </c>
      <c r="B30" s="33" t="str">
        <f>IF(ISNUMBER(A30),CONVERT(Calculations!T46,Units_In,Units_Out),"")</f>
        <v/>
      </c>
      <c r="C30" s="33" t="str">
        <f>IF(ISNUMBER(A30),CONVERT(Calculations!U46,Units_In,Units_Out),"")</f>
        <v/>
      </c>
      <c r="D30" s="33" t="str">
        <f>IF(ISTEXT(Calculations!F46),Calculations!F46,"")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IF(ISNUMBER(Calculations!A47),Calculations!A47,"")</f>
        <v/>
      </c>
      <c r="B31" s="33" t="str">
        <f>IF(ISNUMBER(A31),CONVERT(Calculations!T47,Units_In,Units_Out),"")</f>
        <v/>
      </c>
      <c r="C31" s="33" t="str">
        <f>IF(ISNUMBER(A31),CONVERT(Calculations!U47,Units_In,Units_Out),"")</f>
        <v/>
      </c>
      <c r="D31" s="33" t="str">
        <f>IF(ISTEXT(Calculations!F47),Calculations!F47,"")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IF(ISNUMBER(Calculations!A48),Calculations!A48,"")</f>
        <v/>
      </c>
      <c r="B32" s="33" t="str">
        <f>IF(ISNUMBER(A32),CONVERT(Calculations!T48,Units_In,Units_Out),"")</f>
        <v/>
      </c>
      <c r="C32" s="33" t="str">
        <f>IF(ISNUMBER(A32),CONVERT(Calculations!U48,Units_In,Units_Out),"")</f>
        <v/>
      </c>
      <c r="D32" s="33" t="str">
        <f>IF(ISTEXT(Calculations!F48),Calculations!F48,"")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IF(ISNUMBER(Calculations!A49),Calculations!A49,"")</f>
        <v/>
      </c>
      <c r="B33" s="33" t="str">
        <f>IF(ISNUMBER(A33),CONVERT(Calculations!T49,Units_In,Units_Out),"")</f>
        <v/>
      </c>
      <c r="C33" s="33" t="str">
        <f>IF(ISNUMBER(A33),CONVERT(Calculations!U49,Units_In,Units_Out),"")</f>
        <v/>
      </c>
      <c r="D33" s="33" t="str">
        <f>IF(ISTEXT(Calculations!F49),Calculations!F49,"")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IF(ISNUMBER(Calculations!A50),Calculations!A50,"")</f>
        <v/>
      </c>
      <c r="B34" s="33" t="str">
        <f>IF(ISNUMBER(A34),CONVERT(Calculations!T50,Units_In,Units_Out),"")</f>
        <v/>
      </c>
      <c r="C34" s="33" t="str">
        <f>IF(ISNUMBER(A34),CONVERT(Calculations!U50,Units_In,Units_Out),"")</f>
        <v/>
      </c>
      <c r="D34" s="33" t="str">
        <f>IF(ISTEXT(Calculations!F50),Calculations!F50,"")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IF(ISNUMBER(Calculations!A51),Calculations!A51,"")</f>
        <v/>
      </c>
      <c r="B35" s="33" t="str">
        <f>IF(ISNUMBER(A35),CONVERT(Calculations!T51,Units_In,Units_Out),"")</f>
        <v/>
      </c>
      <c r="C35" s="33" t="str">
        <f>IF(ISNUMBER(A35),CONVERT(Calculations!U51,Units_In,Units_Out),"")</f>
        <v/>
      </c>
      <c r="D35" s="33" t="str">
        <f>IF(ISTEXT(Calculations!F51),Calculations!F51,"")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IF(ISNUMBER(Calculations!A52),Calculations!A52,"")</f>
        <v/>
      </c>
      <c r="B36" s="33" t="str">
        <f>IF(ISNUMBER(A36),CONVERT(Calculations!U52,Units_In,Units_Out),"")</f>
        <v/>
      </c>
      <c r="C36" s="33" t="str">
        <f>IF(ISNUMBER(A36),CONVERT(Calculations!V52,Units_In,Units_Out),"")</f>
        <v/>
      </c>
      <c r="D36" s="33" t="str">
        <f>IF(ISTEXT(Calculations!F52),Calculations!F52,"")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IF(ISNUMBER(Calculations!A53),Calculations!A53,"")</f>
        <v/>
      </c>
      <c r="B37" s="33" t="str">
        <f>IF(ISNUMBER(A37),CONVERT(Calculations!U53,Units_In,Units_Out),"")</f>
        <v/>
      </c>
      <c r="C37" s="33" t="str">
        <f>IF(ISNUMBER(A37),CONVERT(Calculations!V53,Units_In,Units_Out),"")</f>
        <v/>
      </c>
      <c r="D37" s="33" t="str">
        <f>IF(ISTEXT(Calculations!F53),Calculations!F53,"")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Tschan</cp:lastModifiedBy>
  <dcterms:created xsi:type="dcterms:W3CDTF">2011-11-09T05:33:48Z</dcterms:created>
  <dcterms:modified xsi:type="dcterms:W3CDTF">2013-08-28T10:40:16Z</dcterms:modified>
</cp:coreProperties>
</file>