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G40" i="1" l="1"/>
  <c r="H40" i="1" s="1"/>
  <c r="I40" i="1"/>
  <c r="J40" i="1" s="1"/>
  <c r="N40" i="1"/>
  <c r="G41" i="1"/>
  <c r="H41" i="1"/>
  <c r="K41" i="1" s="1"/>
  <c r="I41" i="1"/>
  <c r="J41" i="1"/>
  <c r="L41" i="1"/>
  <c r="V41" i="1" s="1"/>
  <c r="N41" i="1"/>
  <c r="G42" i="1"/>
  <c r="H42" i="1" s="1"/>
  <c r="I42" i="1"/>
  <c r="J42" i="1" s="1"/>
  <c r="N42" i="1"/>
  <c r="X42" i="1"/>
  <c r="Y42" i="1" s="1"/>
  <c r="Z42" i="1"/>
  <c r="AA42" i="1" s="1"/>
  <c r="AB42" i="1"/>
  <c r="AD42" i="1"/>
  <c r="AF42" i="1"/>
  <c r="G43" i="1"/>
  <c r="H43" i="1"/>
  <c r="K43" i="1" s="1"/>
  <c r="I43" i="1"/>
  <c r="J43" i="1"/>
  <c r="L43" i="1"/>
  <c r="V43" i="1" s="1"/>
  <c r="N43" i="1"/>
  <c r="X43" i="1"/>
  <c r="Y43" i="1"/>
  <c r="Z43" i="1"/>
  <c r="AA43" i="1"/>
  <c r="AB43" i="1"/>
  <c r="AC43" i="1"/>
  <c r="AE43" i="1" s="1"/>
  <c r="AD43" i="1"/>
  <c r="AF43" i="1"/>
  <c r="K42" i="1" l="1"/>
  <c r="L42" i="1"/>
  <c r="V42" i="1" s="1"/>
  <c r="K40" i="1"/>
  <c r="L40" i="1"/>
  <c r="V40" i="1" s="1"/>
  <c r="AC42" i="1"/>
  <c r="AE42" i="1" s="1"/>
  <c r="G38" i="1" l="1"/>
  <c r="H38" i="1" s="1"/>
  <c r="I38" i="1"/>
  <c r="J38" i="1" s="1"/>
  <c r="G39" i="1"/>
  <c r="H39" i="1"/>
  <c r="K39" i="1" s="1"/>
  <c r="I39" i="1"/>
  <c r="J39" i="1"/>
  <c r="N39" i="1"/>
  <c r="L39" i="1" l="1"/>
  <c r="N38" i="1"/>
  <c r="K38" i="1"/>
  <c r="L38" i="1"/>
  <c r="X22" i="1" l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/>
  <c r="G36" i="1"/>
  <c r="H36" i="1" s="1"/>
  <c r="I36" i="1"/>
  <c r="J36" i="1" s="1"/>
  <c r="G37" i="1"/>
  <c r="H37" i="1"/>
  <c r="K37" i="1" s="1"/>
  <c r="I37" i="1"/>
  <c r="J37" i="1"/>
  <c r="N37" i="1"/>
  <c r="Y22" i="1" l="1"/>
  <c r="Y21" i="1"/>
  <c r="K34" i="1"/>
  <c r="L34" i="1"/>
  <c r="L37" i="1"/>
  <c r="N36" i="1"/>
  <c r="L35" i="1"/>
  <c r="N34" i="1"/>
  <c r="K36" i="1"/>
  <c r="L36" i="1"/>
  <c r="P5" i="1" l="1"/>
  <c r="P6" i="1"/>
  <c r="P4" i="1"/>
  <c r="O5" i="1"/>
  <c r="O6" i="1"/>
  <c r="O4" i="1"/>
  <c r="N5" i="1"/>
  <c r="N6" i="1"/>
  <c r="N4" i="1"/>
  <c r="V34" i="1" l="1"/>
  <c r="V39" i="1"/>
  <c r="V38" i="1"/>
  <c r="V37" i="1"/>
  <c r="V36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41" i="1" l="1"/>
  <c r="P41" i="1" s="1"/>
  <c r="Q41" i="1" s="1"/>
  <c r="O40" i="1"/>
  <c r="P40" i="1" s="1"/>
  <c r="Q40" i="1" s="1"/>
  <c r="O42" i="1"/>
  <c r="P42" i="1" s="1"/>
  <c r="Q42" i="1" s="1"/>
  <c r="O43" i="1"/>
  <c r="P43" i="1" s="1"/>
  <c r="Q43" i="1" s="1"/>
  <c r="O38" i="1"/>
  <c r="P38" i="1" s="1"/>
  <c r="Q38" i="1" s="1"/>
  <c r="O39" i="1"/>
  <c r="P39" i="1" s="1"/>
  <c r="Q39" i="1" s="1"/>
  <c r="O35" i="1"/>
  <c r="P35" i="1" s="1"/>
  <c r="Q35" i="1" s="1"/>
  <c r="O34" i="1"/>
  <c r="P34" i="1" s="1"/>
  <c r="Q34" i="1" s="1"/>
  <c r="O36" i="1"/>
  <c r="P36" i="1" s="1"/>
  <c r="Q36" i="1" s="1"/>
  <c r="O37" i="1"/>
  <c r="P37" i="1" s="1"/>
  <c r="Q37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R43" i="1" l="1"/>
  <c r="T43" i="1" s="1"/>
  <c r="S43" i="1"/>
  <c r="U43" i="1" s="1"/>
  <c r="S40" i="1"/>
  <c r="U40" i="1" s="1"/>
  <c r="R40" i="1"/>
  <c r="T40" i="1" s="1"/>
  <c r="S42" i="1"/>
  <c r="U42" i="1" s="1"/>
  <c r="R42" i="1"/>
  <c r="T42" i="1" s="1"/>
  <c r="R41" i="1"/>
  <c r="T41" i="1" s="1"/>
  <c r="S41" i="1"/>
  <c r="U41" i="1" s="1"/>
  <c r="S39" i="1"/>
  <c r="U39" i="1" s="1"/>
  <c r="R39" i="1"/>
  <c r="T39" i="1" s="1"/>
  <c r="X39" i="1" s="1"/>
  <c r="S38" i="1"/>
  <c r="U38" i="1" s="1"/>
  <c r="R38" i="1"/>
  <c r="T38" i="1" s="1"/>
  <c r="X38" i="1" s="1"/>
  <c r="S36" i="1"/>
  <c r="U36" i="1" s="1"/>
  <c r="R36" i="1"/>
  <c r="T36" i="1" s="1"/>
  <c r="X36" i="1" s="1"/>
  <c r="S37" i="1"/>
  <c r="U37" i="1" s="1"/>
  <c r="R37" i="1"/>
  <c r="T37" i="1" s="1"/>
  <c r="X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X40" i="1" l="1"/>
  <c r="X41" i="1"/>
  <c r="Y38" i="1"/>
  <c r="Y39" i="1"/>
  <c r="Y37" i="1"/>
  <c r="Y36" i="1"/>
  <c r="Y35" i="1"/>
  <c r="Y34" i="1"/>
  <c r="Y5" i="1"/>
  <c r="Y8" i="1" s="1"/>
  <c r="X9" i="1"/>
  <c r="Y9" i="1"/>
  <c r="Y40" i="1" l="1"/>
  <c r="Y41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42" i="1" l="1"/>
  <c r="W40" i="1"/>
  <c r="W41" i="1"/>
  <c r="W43" i="1"/>
  <c r="W38" i="1"/>
  <c r="W39" i="1"/>
  <c r="W35" i="1"/>
  <c r="W37" i="1"/>
  <c r="W34" i="1"/>
  <c r="W36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Y28" i="1" l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40" i="1" l="1"/>
  <c r="AF40" i="1" s="1"/>
  <c r="AD41" i="1"/>
  <c r="AF41" i="1" s="1"/>
  <c r="AD39" i="1"/>
  <c r="AF39" i="1" s="1"/>
  <c r="AD38" i="1"/>
  <c r="AF38" i="1" s="1"/>
  <c r="AD36" i="1"/>
  <c r="AF36" i="1" s="1"/>
  <c r="AD37" i="1"/>
  <c r="AF37" i="1" s="1"/>
  <c r="AD34" i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40" i="1" l="1"/>
  <c r="Z41" i="1"/>
  <c r="Z38" i="1"/>
  <c r="Z39" i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Z29" i="1"/>
  <c r="AA29" i="1" s="1"/>
  <c r="Z33" i="1"/>
  <c r="AA33" i="1" s="1"/>
  <c r="Z27" i="1"/>
  <c r="AA27" i="1" s="1"/>
  <c r="Z26" i="1"/>
  <c r="AA26" i="1" s="1"/>
  <c r="Z30" i="1"/>
  <c r="AA30" i="1" s="1"/>
  <c r="AA31" i="1"/>
  <c r="AA41" i="1" l="1"/>
  <c r="AB41" i="1" s="1"/>
  <c r="AA40" i="1"/>
  <c r="AB40" i="1" s="1"/>
  <c r="AA39" i="1"/>
  <c r="AB39" i="1" s="1"/>
  <c r="AA38" i="1"/>
  <c r="AB38" i="1" s="1"/>
  <c r="AA23" i="1"/>
  <c r="AC23" i="1" s="1"/>
  <c r="AE23" i="1" s="1"/>
  <c r="AA36" i="1"/>
  <c r="AB36" i="1" s="1"/>
  <c r="AA37" i="1"/>
  <c r="AB37" i="1" s="1"/>
  <c r="AA22" i="1"/>
  <c r="AC22" i="1"/>
  <c r="AA21" i="1"/>
  <c r="AC21" i="1"/>
  <c r="AB35" i="1"/>
  <c r="AB34" i="1"/>
  <c r="AB32" i="1"/>
  <c r="AB33" i="1"/>
  <c r="AB28" i="1"/>
  <c r="AB27" i="1"/>
  <c r="AB29" i="1"/>
  <c r="AB26" i="1"/>
  <c r="AB24" i="1"/>
  <c r="AB31" i="1"/>
  <c r="AB25" i="1"/>
  <c r="AB30" i="1"/>
  <c r="AC41" i="1" l="1"/>
  <c r="AE41" i="1" s="1"/>
  <c r="AC39" i="1"/>
  <c r="AE39" i="1" s="1"/>
  <c r="AC40" i="1"/>
  <c r="AE40" i="1" s="1"/>
  <c r="AC33" i="1"/>
  <c r="AE33" i="1" s="1"/>
  <c r="AC24" i="1"/>
  <c r="AE24" i="1" s="1"/>
  <c r="AC38" i="1"/>
  <c r="AE38" i="1" s="1"/>
  <c r="AC35" i="1"/>
  <c r="AE35" i="1" s="1"/>
  <c r="AC34" i="1"/>
  <c r="AE34" i="1" s="1"/>
  <c r="AC27" i="1"/>
  <c r="AE27" i="1" s="1"/>
  <c r="AC25" i="1"/>
  <c r="AE25" i="1" s="1"/>
  <c r="AC31" i="1"/>
  <c r="AE31" i="1" s="1"/>
  <c r="AC26" i="1"/>
  <c r="AE26" i="1" s="1"/>
  <c r="AC32" i="1"/>
  <c r="AE32" i="1" s="1"/>
  <c r="AC29" i="1"/>
  <c r="AE29" i="1" s="1"/>
  <c r="AC30" i="1"/>
  <c r="AE30" i="1" s="1"/>
  <c r="AC28" i="1"/>
  <c r="AE28" i="1" s="1"/>
  <c r="AB23" i="1"/>
  <c r="AC9" i="1" s="1"/>
  <c r="AC37" i="1"/>
  <c r="AE37" i="1" s="1"/>
  <c r="AC36" i="1"/>
  <c r="AE36" i="1" s="1"/>
  <c r="AI41" i="1" l="1"/>
  <c r="AJ41" i="1" s="1"/>
  <c r="AI38" i="1"/>
  <c r="AJ38" i="1" s="1"/>
  <c r="AI40" i="1"/>
  <c r="AJ40" i="1" s="1"/>
  <c r="AI39" i="1"/>
  <c r="AJ39" i="1" s="1"/>
  <c r="AC10" i="1"/>
  <c r="AI36" i="1"/>
  <c r="AJ36" i="1" s="1"/>
  <c r="AI37" i="1"/>
  <c r="AJ37" i="1" s="1"/>
  <c r="AI35" i="1"/>
  <c r="AJ35" i="1" s="1"/>
  <c r="AI34" i="1"/>
  <c r="AJ34" i="1" s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<sst xmlns="http://schemas.openxmlformats.org/spreadsheetml/2006/main" count="105" uniqueCount="92">
  <si>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</si>
  <si>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</si>
  <si>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</si>
  <si>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</si>
  <si>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</si>
  <si>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</si>
  <si>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</si>
  <si>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</si>
  <si>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</si>
  <si>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</si>
  <si>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</si>
  <si>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</si>
  <si>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</si>
  <si>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</si>
  <si>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</si>
  <si>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</si>
  <si>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</si>
  <si>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</si>
  <si>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</si>
  <si>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</si>
  <si>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</si>
  <si>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</si>
  <si>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</si>
  <si>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</si>
  <si>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</si>
  <si>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</si>
  <si>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</si>
  <si>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</si>
  <si>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</si>
  <si>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</si>
  <si>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</si>
  <si>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</si>
  <si>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</si>
  <si>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</si>
  <si>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</si>
  <si>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</si>
  <si>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</si>
  <si>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</si>
  <si>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</si>
  <si>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</si>
  <si>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</si>
  <si>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</si>
  <si>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</si>
  <si>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</si>
  <si>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</si>
  <si>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</si>
  <si>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</si>
  <si>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</si>
  <si>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</si>
  <si>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</si>
  <si>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</si>
  <si>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</si>
  <si>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</si>
  <si>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</si>
  <si>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</si>
  <si>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</si>
  <si>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</si>
  <si>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</si>
  <si>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</si>
  <si>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</si>
  <si>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</si>
  <si>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</si>
  <si>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</si>
  <si>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</si>
  <si>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</si>
  <si>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</si>
  <si>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</si>
  <si>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</si>
  <si>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</si>
  <si>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</si>
  <si>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</si>
  <si>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</si>
  <si>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</si>
  <si>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</si>
  <si>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</si>
  <si>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</si>
  <si>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</si>
  <si>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</si>
  <si>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</si>
  <si>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</si>
  <si>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</si>
  <si>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</si>
  <si>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</si>
  <si>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</si>
  <si>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</si>
  <si>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</si>
  <si>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>CSS17</t>
  </si>
  <si>
    <t>1,453596.602,1085576.919,1218.031,1218.031,</t>
  </si>
  <si>
    <t>2,453577.173,1085589.806,1218.244,1218.244,</t>
  </si>
  <si>
    <t>3,453584.465,1085564.888,1217.714,1217.714,</t>
  </si>
  <si>
    <t xml:space="preserve">BS </t>
  </si>
  <si>
    <t>SAND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</si>
</sst>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10.33</c:v>
                </c:pt>
                <c:pt idx="2">
                  <c:v>18.350000000000001</c:v>
                </c:pt>
                <c:pt idx="3">
                  <c:v>20.059999999999999</c:v>
                </c:pt>
                <c:pt idx="4">
                  <c:v>21</c:v>
                </c:pt>
                <c:pt idx="5">
                  <c:v>23.77</c:v>
                </c:pt>
                <c:pt idx="6">
                  <c:v>26.97</c:v>
                </c:pt>
                <c:pt idx="7">
                  <c:v>45.42</c:v>
                </c:pt>
                <c:pt idx="8">
                  <c:v>53.57</c:v>
                </c:pt>
                <c:pt idx="9">
                  <c:v>110.24</c:v>
                </c:pt>
                <c:pt idx="10">
                  <c:v>154.94999999999999</c:v>
                </c:pt>
                <c:pt idx="11">
                  <c:v>156.41999999999999</c:v>
                </c:pt>
                <c:pt idx="12">
                  <c:v>159.09</c:v>
                </c:pt>
                <c:pt idx="13">
                  <c:v>167.2</c:v>
                </c:pt>
                <c:pt idx="14">
                  <c:v>186.73</c:v>
                </c:pt>
                <c:pt idx="15">
                  <c:v>194.23</c:v>
                </c:pt>
                <c:pt idx="16">
                  <c:v>230.1</c:v>
                </c:pt>
                <c:pt idx="17">
                  <c:v>237.86</c:v>
                </c:pt>
                <c:pt idx="18">
                  <c:v>548.53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10.89</c:v>
                </c:pt>
                <c:pt idx="1">
                  <c:v>4.21</c:v>
                </c:pt>
                <c:pt idx="2">
                  <c:v>3.65</c:v>
                </c:pt>
                <c:pt idx="3">
                  <c:v>2.33</c:v>
                </c:pt>
                <c:pt idx="4">
                  <c:v>1.64</c:v>
                </c:pt>
                <c:pt idx="5">
                  <c:v>1.3</c:v>
                </c:pt>
                <c:pt idx="6">
                  <c:v>1.64</c:v>
                </c:pt>
                <c:pt idx="7">
                  <c:v>2.54</c:v>
                </c:pt>
                <c:pt idx="8">
                  <c:v>1.59</c:v>
                </c:pt>
                <c:pt idx="9">
                  <c:v>0.86</c:v>
                </c:pt>
                <c:pt idx="10">
                  <c:v>0</c:v>
                </c:pt>
                <c:pt idx="11">
                  <c:v>1.69</c:v>
                </c:pt>
                <c:pt idx="12">
                  <c:v>2.44</c:v>
                </c:pt>
                <c:pt idx="13">
                  <c:v>3.3</c:v>
                </c:pt>
                <c:pt idx="14">
                  <c:v>4.07</c:v>
                </c:pt>
                <c:pt idx="15">
                  <c:v>5.51</c:v>
                </c:pt>
                <c:pt idx="16">
                  <c:v>6.29</c:v>
                </c:pt>
                <c:pt idx="17">
                  <c:v>7.47</c:v>
                </c:pt>
                <c:pt idx="18">
                  <c:v>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Calculations!$R$23:$R$41</c:f>
              <c:numCache>
                <c:formatCode>0.00</c:formatCode>
                <c:ptCount val="19"/>
                <c:pt idx="0">
                  <c:v>-0.14573348030167949</c:v>
                </c:pt>
                <c:pt idx="1">
                  <c:v>-0.44205114742960533</c:v>
                </c:pt>
                <c:pt idx="2">
                  <c:v>-0.43809047357723169</c:v>
                </c:pt>
                <c:pt idx="3">
                  <c:v>-0.49659129586650785</c:v>
                </c:pt>
                <c:pt idx="4">
                  <c:v>-0.47103858157363299</c:v>
                </c:pt>
                <c:pt idx="5">
                  <c:v>-0.44384593753806595</c:v>
                </c:pt>
                <c:pt idx="6">
                  <c:v>-0.37114570712667017</c:v>
                </c:pt>
                <c:pt idx="7">
                  <c:v>0.90000372764023118</c:v>
                </c:pt>
                <c:pt idx="8">
                  <c:v>1.0565529322422569</c:v>
                </c:pt>
                <c:pt idx="9">
                  <c:v>3.6822631650591338</c:v>
                </c:pt>
                <c:pt idx="10">
                  <c:v>4.9219463093488018</c:v>
                </c:pt>
                <c:pt idx="11">
                  <c:v>5.2548888136303473</c:v>
                </c:pt>
                <c:pt idx="12">
                  <c:v>5.6374705385081141</c:v>
                </c:pt>
                <c:pt idx="13">
                  <c:v>5.9515962586081308</c:v>
                </c:pt>
                <c:pt idx="14">
                  <c:v>6.7419418110407063</c:v>
                </c:pt>
                <c:pt idx="15">
                  <c:v>6.839683556555765</c:v>
                </c:pt>
                <c:pt idx="16">
                  <c:v>8.1606547078447687</c:v>
                </c:pt>
                <c:pt idx="17">
                  <c:v>8.5935382640085685</c:v>
                </c:pt>
                <c:pt idx="18">
                  <c:v>12.177832283912235</c:v>
                </c:pt>
              </c:numCache>
            </c:numRef>
          </c:xVal>
          <c:yVal>
            <c:numRef>
              <c:f>Calculations!$S$23:$S$41</c:f>
              <c:numCache>
                <c:formatCode>0.00</c:formatCode>
                <c:ptCount val="19"/>
                <c:pt idx="0">
                  <c:v>6.554148488409572</c:v>
                </c:pt>
                <c:pt idx="1">
                  <c:v>9.7518269864751339</c:v>
                </c:pt>
                <c:pt idx="2">
                  <c:v>12.209884226452251</c:v>
                </c:pt>
                <c:pt idx="3">
                  <c:v>12.740482386592822</c:v>
                </c:pt>
                <c:pt idx="4">
                  <c:v>13.024205309287499</c:v>
                </c:pt>
                <c:pt idx="5">
                  <c:v>13.869380549345069</c:v>
                </c:pt>
                <c:pt idx="6">
                  <c:v>14.842779119242964</c:v>
                </c:pt>
                <c:pt idx="7">
                  <c:v>20.363371653761142</c:v>
                </c:pt>
                <c:pt idx="8">
                  <c:v>22.8457290312877</c:v>
                </c:pt>
                <c:pt idx="9">
                  <c:v>39.93694117586341</c:v>
                </c:pt>
                <c:pt idx="10">
                  <c:v>53.509934391124574</c:v>
                </c:pt>
                <c:pt idx="11">
                  <c:v>53.926229871150937</c:v>
                </c:pt>
                <c:pt idx="12">
                  <c:v>54.704682542371749</c:v>
                </c:pt>
                <c:pt idx="13">
                  <c:v>57.154985614089462</c:v>
                </c:pt>
                <c:pt idx="14">
                  <c:v>63.05875418931376</c:v>
                </c:pt>
                <c:pt idx="15">
                  <c:v>65.348311124749074</c:v>
                </c:pt>
                <c:pt idx="16">
                  <c:v>76.202444341728466</c:v>
                </c:pt>
                <c:pt idx="17">
                  <c:v>78.536013713015819</c:v>
                </c:pt>
                <c:pt idx="18">
                  <c:v>173.37326889029367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1085576.4788733467</c:v>
                </c:pt>
                <c:pt idx="3">
                  <c:v>1085576.808602277</c:v>
                </c:pt>
                <c:pt idx="4">
                  <c:v>1085577.0646057669</c:v>
                </c:pt>
                <c:pt idx="5">
                  <c:v>1085577.1192161352</c:v>
                </c:pt>
                <c:pt idx="6">
                  <c:v>1085577.1490406459</c:v>
                </c:pt>
                <c:pt idx="7">
                  <c:v>1085577.2373477519</c:v>
                </c:pt>
                <c:pt idx="8">
                  <c:v>1085577.3395058084</c:v>
                </c:pt>
                <c:pt idx="9">
                  <c:v>1085577.9283070846</c:v>
                </c:pt>
                <c:pt idx="10">
                  <c:v>1085578.1885138734</c:v>
                </c:pt>
                <c:pt idx="11">
                  <c:v>1085579.9970265413</c:v>
                </c:pt>
                <c:pt idx="12">
                  <c:v>1085581.423987729</c:v>
                </c:pt>
                <c:pt idx="13">
                  <c:v>1085581.4709872177</c:v>
                </c:pt>
                <c:pt idx="14">
                  <c:v>1085581.5562427314</c:v>
                </c:pt>
                <c:pt idx="15">
                  <c:v>1085581.8148392574</c:v>
                </c:pt>
                <c:pt idx="16">
                  <c:v>1085582.4382697751</c:v>
                </c:pt>
                <c:pt idx="17">
                  <c:v>1085582.6777553183</c:v>
                </c:pt>
                <c:pt idx="18">
                  <c:v>1085583.8224899743</c:v>
                </c:pt>
                <c:pt idx="19">
                  <c:v>1085584.0702328964</c:v>
                </c:pt>
                <c:pt idx="20">
                  <c:v>1085593.9850316129</c:v>
                </c:pt>
                <c:pt idx="21">
                  <c:v>#N/A</c:v>
                </c:pt>
                <c:pt idx="22">
                  <c:v>#N/A</c:v>
                </c:pt>
              </c:numCache>
            </c:numRef>
          </c:xVal>
          <c:yVal>
            <c:numRef>
              <c:f>Calculations!$AA$21:$AA$46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453603.18714377284</c:v>
                </c:pt>
                <c:pt idx="3">
                  <c:v>453606.3189087417</c:v>
                </c:pt>
                <c:pt idx="4">
                  <c:v>453608.75042957067</c:v>
                </c:pt>
                <c:pt idx="5">
                  <c:v>453609.26911878213</c:v>
                </c:pt>
                <c:pt idx="6">
                  <c:v>453609.55239194632</c:v>
                </c:pt>
                <c:pt idx="7">
                  <c:v>453610.39113272913</c:v>
                </c:pt>
                <c:pt idx="8">
                  <c:v>453611.36142982356</c:v>
                </c:pt>
                <c:pt idx="9">
                  <c:v>453616.95386360958</c:v>
                </c:pt>
                <c:pt idx="10">
                  <c:v>453619.425307367</c:v>
                </c:pt>
                <c:pt idx="11">
                  <c:v>453636.60255843215</c:v>
                </c:pt>
                <c:pt idx="12">
                  <c:v>453650.15583401546</c:v>
                </c:pt>
                <c:pt idx="13">
                  <c:v>453650.60223510116</c:v>
                </c:pt>
                <c:pt idx="14">
                  <c:v>453651.41199186444</c:v>
                </c:pt>
                <c:pt idx="15">
                  <c:v>453653.86814134568</c:v>
                </c:pt>
                <c:pt idx="16">
                  <c:v>453659.78948362544</c:v>
                </c:pt>
                <c:pt idx="17">
                  <c:v>453662.06411701813</c:v>
                </c:pt>
                <c:pt idx="18">
                  <c:v>453672.93680535443</c:v>
                </c:pt>
                <c:pt idx="19">
                  <c:v>453675.28986731917</c:v>
                </c:pt>
                <c:pt idx="20">
                  <c:v>453769.46061317623</c:v>
                </c:pt>
                <c:pt idx="21">
                  <c:v>#N/A</c:v>
                </c:pt>
                <c:pt idx="2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4352"/>
        <c:axId val="148318464"/>
      </c:scatterChart>
      <c:valAx>
        <c:axId val="14832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8318464"/>
        <c:crosses val="autoZero"/>
        <c:crossBetween val="midCat"/>
      </c:valAx>
      <c:valAx>
        <c:axId val="148318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3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711321</xdr:colOff>
      <xdr:row>42</xdr:row>
      <xdr:rowOff>179779</xdr:rowOff>
    </xdr:from>
    <xdr:to>
      <xdr:col>34</xdr:col>
      <xdr:colOff>279892</xdr:colOff>
      <xdr:row>57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78442</xdr:colOff>
      <xdr:row>43</xdr:row>
      <xdr:rowOff>65017</xdr:rowOff>
    </xdr:from>
    <xdr:to>
      <xdr:col>21</xdr:col>
      <xdr:colOff>26571</xdr:colOff>
      <xdr:row>57</xdr:row>
      <xdr:rowOff>141217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134470</xdr:colOff>
      <xdr:row>43</xdr:row>
      <xdr:rowOff>62753</xdr:rowOff>
    </xdr:from>
    <xdr:to>
      <xdr:col>27</xdr:col>
      <xdr:colOff>347382</xdr:colOff>
      <xdr:row>57</xdr:row>
      <xdr:rowOff>138953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86</v>
      </c>
      <c r="B1" s="61"/>
      <c r="C1" s="51">
        <v>40825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1.347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72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9.4979987541198803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1085576.919</v>
      </c>
      <c r="O4" s="20">
        <f>VALUE(MID(C10,FIND(",",C10,1)+1,FIND(",",C10,5)-FIND(",",C10,1)-1))</f>
        <v>453596.60200000001</v>
      </c>
      <c r="P4" s="20">
        <f>VALUE(MID(C10,FIND(",",C10,17)+1,FIND(",",C10,27)-FIND(",",C10,17)-1))</f>
        <v>1218.0309999999999</v>
      </c>
      <c r="Q4" s="23"/>
      <c r="R4" s="22"/>
      <c r="W4" s="27"/>
      <c r="X4" s="20">
        <f ca="1">VALUE(OFFSET($P$3,MATCH($O$10,$M$4:$M$6,0),0))</f>
        <v>1218.2439999999999</v>
      </c>
      <c r="Y4" s="20">
        <f ca="1">OFFSET($P$3,MATCH($Q$10,$M$4:$M$6,0),0)</f>
        <v>1217.7139999999999</v>
      </c>
      <c r="Z4" s="2"/>
      <c r="AA4" s="26" t="s">
        <v>41</v>
      </c>
      <c r="AB4" s="26" t="s">
        <v>54</v>
      </c>
      <c r="AC4" s="28">
        <f ca="1">INTERCEPT(yB,xB)</f>
        <v>-9857200.8566971198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1085589.8060000001</v>
      </c>
      <c r="O5" s="20">
        <f t="shared" ref="O5:O6" si="1">VALUE(MID(C11,FIND(",",C11,1)+1,FIND(",",C11,5)-FIND(",",C11,1)-1))</f>
        <v>453577.17300000001</v>
      </c>
      <c r="P5" s="20">
        <f t="shared" ref="P5:P6" si="2">VALUE(MID(C11,FIND(",",C11,17)+1,FIND(",",C11,27)-FIND(",",C11,17)-1))</f>
        <v>1218.2439999999999</v>
      </c>
      <c r="Q5" s="24">
        <f>DEGREES(ATAN2(Old_Y1-Old_Y0,Old_X1-Old_X0))+IF(Old_X1-Old_X0&lt;0,360)</f>
        <v>146.44420696376906</v>
      </c>
      <c r="R5" s="22"/>
      <c r="W5" s="21"/>
      <c r="X5" s="20">
        <f ca="1">VALUE(OFFSET($V$20,MATCH($O11,$A$21:$A$51,0),0))</f>
        <v>1221.2209820496876</v>
      </c>
      <c r="Y5" s="20">
        <f ca="1">OFFSET($V$20,MATCH($Q11,$A$21:$A$51,0),0)</f>
        <v>1218.4449682973363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1085564.888</v>
      </c>
      <c r="O6" s="20">
        <f t="shared" si="1"/>
        <v>453584.46500000003</v>
      </c>
      <c r="P6" s="20">
        <f t="shared" si="2"/>
        <v>1217.7139999999999</v>
      </c>
      <c r="Q6" s="24">
        <f>DEGREES(ATAN2(Old_Y2-Old_Y0,Old_X2-Old_X0))+IF(Old_X2-Old_X0&lt;0,360)</f>
        <v>224.74870433272204</v>
      </c>
      <c r="R6" s="22"/>
      <c r="W6" s="21"/>
      <c r="X6" s="20">
        <f ca="1">VALUE(OFFSET($V$20,MATCH($O12,$A$21:$A$61,0),0))</f>
        <v>1218.3550539771722</v>
      </c>
      <c r="Y6" s="20">
        <f ca="1">VALUE(OFFSET($V$20,MATCH($O12,$A$21:$A$61,0),0))</f>
        <v>1218.3550539771722</v>
      </c>
      <c r="Z6" s="5"/>
      <c r="AA6" s="26" t="s">
        <v>42</v>
      </c>
      <c r="AB6" s="21" t="s">
        <v>55</v>
      </c>
      <c r="AC6" s="20">
        <f ca="1">-1/mA</f>
        <v>-0.10528533703652436</v>
      </c>
    </row>
    <row r="7" spans="1:29" x14ac:dyDescent="0.25">
      <c r="A7" s="62" t="s">
        <v>18</v>
      </c>
      <c r="B7" s="62"/>
      <c r="C7" s="38">
        <v>21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2.9769820496876491</v>
      </c>
      <c r="Y8" s="20">
        <f ca="1">Y5-Y4</f>
        <v>0.73096829733640334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0.11105397717233245</v>
      </c>
      <c r="Y9" s="20">
        <f ca="1">Y6-Y4</f>
        <v>0.64105397717230517</v>
      </c>
      <c r="AA9" s="31" t="s">
        <v>49</v>
      </c>
      <c r="AB9" s="31"/>
      <c r="AC9" s="20">
        <f ca="1">AVERAGE(DfromL)</f>
        <v>0.96081250521322925</v>
      </c>
    </row>
    <row r="10" spans="1:29" s="16" customFormat="1" x14ac:dyDescent="0.25">
      <c r="A10" s="53"/>
      <c r="B10" s="48"/>
      <c r="C10" s="35" t="s">
        <v>87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146.44420696376906</v>
      </c>
      <c r="Q10" s="32">
        <v>2</v>
      </c>
      <c r="R10" s="20">
        <f ca="1">OFFSET($Q$3,MATCH($O$10,$M$4:$M$6,0),0)</f>
        <v>146.44420696376906</v>
      </c>
      <c r="W10" s="22"/>
      <c r="X10" s="22"/>
      <c r="Y10" s="22"/>
      <c r="AA10" s="31" t="s">
        <v>50</v>
      </c>
      <c r="AB10" s="31"/>
      <c r="AC10" s="20">
        <f ca="1">_xlfn.STDEV.P(DfromL)</f>
        <v>1.0001744837127386</v>
      </c>
    </row>
    <row r="11" spans="1:29" s="16" customFormat="1" x14ac:dyDescent="0.25">
      <c r="A11" s="14"/>
      <c r="B11" s="48"/>
      <c r="C11" s="35" t="s">
        <v>88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359.9997222222222</v>
      </c>
      <c r="Q11" s="32">
        <v>2</v>
      </c>
      <c r="R11" s="20">
        <f ca="1">OFFSET($N$20,MATCH($Q11,$A$21:$A$51,0),0)</f>
        <v>81.451388888888886</v>
      </c>
      <c r="W11" s="21" t="s">
        <v>37</v>
      </c>
      <c r="X11" s="20">
        <f ca="1">AVERAGE(X8:Y9)</f>
        <v>1.1150145753421725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89</v>
      </c>
      <c r="D12" s="36"/>
      <c r="E12" s="37"/>
      <c r="F12" s="47"/>
      <c r="M12" s="55" t="s">
        <v>30</v>
      </c>
      <c r="N12" s="55"/>
      <c r="O12" s="32">
        <v>22</v>
      </c>
      <c r="P12" s="20">
        <f ca="1">OFFSET($N$20,MATCH($O12,$A$21:$A$61,0),0)</f>
        <v>259.97194444444443</v>
      </c>
      <c r="Q12" s="32">
        <v>23</v>
      </c>
      <c r="R12" s="20">
        <f ca="1">OFFSET($N$20,MATCH($Q12,$A$21:$A$51,0),0)</f>
        <v>81.557777777777773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1214.9807705547098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146.44448474154686</v>
      </c>
      <c r="Q14" s="20"/>
      <c r="R14" s="20">
        <f ca="1">R10-R11+IF(R11&gt;R10,360)</f>
        <v>64.992818074880176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246.47226251932463</v>
      </c>
      <c r="Q15" s="20"/>
      <c r="R15" s="20">
        <f ca="1">R10-R12+IF(R12&gt;R10,360)</f>
        <v>64.88642918599129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130.69899863043574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83</v>
      </c>
      <c r="H20" s="12" t="s">
        <v>77</v>
      </c>
      <c r="I20" s="12" t="s">
        <v>82</v>
      </c>
      <c r="J20" s="12" t="s">
        <v>81</v>
      </c>
      <c r="K20" s="3" t="s">
        <v>75</v>
      </c>
      <c r="L20" s="3" t="s">
        <v>76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80</v>
      </c>
      <c r="R20" s="19" t="s">
        <v>78</v>
      </c>
      <c r="S20" s="19" t="s">
        <v>79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73</v>
      </c>
      <c r="AF20" s="19" t="s">
        <v>74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3.4108564814814812</v>
      </c>
      <c r="D21" s="44">
        <v>23.555</v>
      </c>
      <c r="E21" s="44">
        <v>1.492</v>
      </c>
      <c r="F21" s="49" t="s">
        <v>85</v>
      </c>
      <c r="G21" s="43">
        <f>C21*24</f>
        <v>81.86055555555555</v>
      </c>
      <c r="H21" s="43">
        <f>RADIANS(G21)</f>
        <v>1.4287362219561803</v>
      </c>
      <c r="I21" s="43">
        <f t="shared" ref="I21:I34" si="3">B21*24</f>
        <v>359.9997222222222</v>
      </c>
      <c r="J21" s="39">
        <f>RADIANS(I21)</f>
        <v>6.2831804590427751</v>
      </c>
      <c r="K21" s="39">
        <f>D21*SIN(H21)</f>
        <v>23.317716863540927</v>
      </c>
      <c r="L21" s="15">
        <f>D21*COS(H21)</f>
        <v>3.3349820496876861</v>
      </c>
      <c r="M21" s="13"/>
      <c r="N21" s="16">
        <f t="shared" ref="N21:N34" si="4">I21+M21</f>
        <v>359.9997222222222</v>
      </c>
      <c r="O21" s="16">
        <f ca="1">$O$17</f>
        <v>130.69899863043574</v>
      </c>
      <c r="P21" s="16">
        <f ca="1">SUM(N21,O21)</f>
        <v>490.69872085265797</v>
      </c>
      <c r="Q21" s="16">
        <f ca="1">RADIANS(P21)</f>
        <v>8.5643083142034389</v>
      </c>
      <c r="R21" s="16">
        <f t="shared" ref="R21:R34" ca="1" si="5">K21*SIN(Q21)</f>
        <v>17.678301258220031</v>
      </c>
      <c r="S21" s="16">
        <f t="shared" ref="S21:S34" ca="1" si="6">K21*COS(Q21)</f>
        <v>-15.20505127751554</v>
      </c>
      <c r="T21" s="13">
        <f t="shared" ref="T21:T34" ca="1" si="7">Old_X0+R21</f>
        <v>1085594.5973012582</v>
      </c>
      <c r="U21" s="13">
        <f t="shared" ref="U21:U34" ca="1" si="8">Old_Y0+S21</f>
        <v>453581.39694872248</v>
      </c>
      <c r="V21" s="16">
        <f t="shared" ref="V21:V34" si="9">Old_Z0+HI+L21-E21</f>
        <v>1221.2209820496876</v>
      </c>
      <c r="W21" s="16">
        <f t="shared" ref="W21:W34" ca="1" si="10">IF(ISNUMBER(T21),V21+dZ,"")</f>
        <v>1222.3359966250298</v>
      </c>
      <c r="X21" s="16" t="str">
        <f>IF(AND(A21&gt;=CS_Start,A21&lt;=CS_End),IF(OR(LEFT(UPPER(F21))="D"),"",T21),"")</f>
        <v/>
      </c>
      <c r="Y21" s="16" t="str">
        <f>IF(ISNUMBER(X21),U21,"")</f>
        <v/>
      </c>
      <c r="Z21" s="16" t="e">
        <f>IF(X21="",NA(),VALUE((-mB*X21+Y21-bA)/(mA-mB)))</f>
        <v>#N/A</v>
      </c>
      <c r="AA21" s="16" t="e">
        <f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1">IF(ISNUMBER(Z21),SQRT(($Z21-OFFSET($Z$20,MATCH(CS_Start,$A$21:$A$51,0),0))^2+($AA21-OFFSET($AA$20,MATCH(CS_Start,$A$21:$A$51,0),0))^2),"")</f>
        <v/>
      </c>
      <c r="AD21" s="16" t="str">
        <f t="shared" ref="AD21:AD23" si="12">IF(ISNUMBER(X21),W21-Min_Z,"")</f>
        <v/>
      </c>
    </row>
    <row r="22" spans="1:36" x14ac:dyDescent="0.25">
      <c r="A22" s="44">
        <v>2</v>
      </c>
      <c r="B22" s="48">
        <v>3.3938078703703702</v>
      </c>
      <c r="C22" s="50">
        <v>3.6702314814814816</v>
      </c>
      <c r="D22" s="44">
        <v>16.731999999999999</v>
      </c>
      <c r="E22" s="44">
        <v>1.492</v>
      </c>
      <c r="F22" s="49" t="s">
        <v>90</v>
      </c>
      <c r="G22" s="43">
        <f t="shared" ref="G22:G34" si="13">C22*24</f>
        <v>88.085555555555558</v>
      </c>
      <c r="H22" s="43">
        <f t="shared" ref="H22:H34" si="14">RADIANS(G22)</f>
        <v>1.5373829678928275</v>
      </c>
      <c r="I22" s="43">
        <f t="shared" si="3"/>
        <v>81.451388888888886</v>
      </c>
      <c r="J22" s="39">
        <f t="shared" ref="J22:J34" si="15">RADIANS(I22)</f>
        <v>1.4215949164334369</v>
      </c>
      <c r="K22" s="39">
        <f t="shared" ref="K22:K34" si="16">D22*SIN(H22)</f>
        <v>16.722660626903028</v>
      </c>
      <c r="L22" s="15">
        <f t="shared" ref="L22:L34" si="17">D22*COS(H22)</f>
        <v>0.55896829733641917</v>
      </c>
      <c r="M22" s="13"/>
      <c r="N22" s="16">
        <f t="shared" si="4"/>
        <v>81.451388888888886</v>
      </c>
      <c r="O22" s="16">
        <f t="shared" ref="O22:O43" ca="1" si="18">$O$17</f>
        <v>130.69899863043574</v>
      </c>
      <c r="P22" s="16">
        <f t="shared" ref="P22:P34" ca="1" si="19">SUM(N22,O22)</f>
        <v>212.15038751932462</v>
      </c>
      <c r="Q22" s="16">
        <f t="shared" ref="Q22:Q34" ca="1" si="20">RADIANS(P22)</f>
        <v>3.7027227715940998</v>
      </c>
      <c r="R22" s="16">
        <f t="shared" ca="1" si="5"/>
        <v>-8.8988527600527725</v>
      </c>
      <c r="S22" s="16">
        <f t="shared" ca="1" si="6"/>
        <v>-14.158311975566647</v>
      </c>
      <c r="T22" s="13">
        <f t="shared" ca="1" si="7"/>
        <v>1085568.02014724</v>
      </c>
      <c r="U22" s="13">
        <f t="shared" ca="1" si="8"/>
        <v>453582.44368802448</v>
      </c>
      <c r="V22" s="16">
        <f t="shared" si="9"/>
        <v>1218.4449682973363</v>
      </c>
      <c r="W22" s="16">
        <f t="shared" ca="1" si="10"/>
        <v>1219.5599828726786</v>
      </c>
      <c r="X22" s="47" t="str">
        <f>IF(AND(A22&gt;=CS_Start,A22&lt;=CS_End),IF(OR(LEFT(UPPER(F22))="D"),"",T22),"")</f>
        <v/>
      </c>
      <c r="Y22" s="47" t="str">
        <f t="shared" ref="Y22:Y37" si="21">IF(ISNUMBER(X22),U22,"")</f>
        <v/>
      </c>
      <c r="Z22" s="47" t="e">
        <f>IF(X22="",NA(),VALUE((-mB*X22+Y22-bA)/(mA-mB)))</f>
        <v>#N/A</v>
      </c>
      <c r="AA22" s="47" t="e">
        <f>IF(ISNA(Z22),NA(),VALUE(mA*Z22+bA))</f>
        <v>#N/A</v>
      </c>
      <c r="AB22" s="16" t="str">
        <f t="shared" ref="AB22:AB23" si="22">IF(ISNUMBER(X22),SQRT((X22-Z22)^2+(Y22-AA22)^2),"")</f>
        <v/>
      </c>
      <c r="AC22" s="16" t="str">
        <f t="shared" ca="1" si="11"/>
        <v/>
      </c>
      <c r="AD22" s="16" t="str">
        <f t="shared" si="12"/>
        <v/>
      </c>
    </row>
    <row r="23" spans="1:36" x14ac:dyDescent="0.25">
      <c r="A23" s="44">
        <v>3</v>
      </c>
      <c r="B23" s="48">
        <v>9.5011342592592598</v>
      </c>
      <c r="C23" s="48">
        <v>4.0038310185185191</v>
      </c>
      <c r="D23" s="44">
        <v>6.593</v>
      </c>
      <c r="E23" s="44">
        <v>1.492</v>
      </c>
      <c r="F23" s="44"/>
      <c r="G23" s="43">
        <f t="shared" si="13"/>
        <v>96.091944444444465</v>
      </c>
      <c r="H23" s="43">
        <f t="shared" si="14"/>
        <v>1.6771208151990293</v>
      </c>
      <c r="I23" s="43">
        <f t="shared" si="3"/>
        <v>228.02722222222224</v>
      </c>
      <c r="J23" s="39">
        <f t="shared" si="15"/>
        <v>3.9798258119545591</v>
      </c>
      <c r="K23" s="39">
        <f t="shared" si="16"/>
        <v>6.5557685022735752</v>
      </c>
      <c r="L23" s="15">
        <f t="shared" si="17"/>
        <v>-0.69967731462273863</v>
      </c>
      <c r="M23" s="13"/>
      <c r="N23" s="16">
        <f t="shared" si="4"/>
        <v>228.02722222222224</v>
      </c>
      <c r="O23" s="16">
        <f t="shared" ca="1" si="18"/>
        <v>130.69899863043574</v>
      </c>
      <c r="P23" s="16">
        <f t="shared" ca="1" si="19"/>
        <v>358.726220852658</v>
      </c>
      <c r="Q23" s="16">
        <f t="shared" ca="1" si="20"/>
        <v>6.2609536671152224</v>
      </c>
      <c r="R23" s="16">
        <f t="shared" ca="1" si="5"/>
        <v>-0.14573348030167949</v>
      </c>
      <c r="S23" s="16">
        <f t="shared" ca="1" si="6"/>
        <v>6.554148488409572</v>
      </c>
      <c r="T23" s="13">
        <f t="shared" ca="1" si="7"/>
        <v>1085576.7732665197</v>
      </c>
      <c r="U23" s="13">
        <f t="shared" ca="1" si="8"/>
        <v>453603.1561484884</v>
      </c>
      <c r="V23" s="16">
        <f t="shared" si="9"/>
        <v>1217.1863226853773</v>
      </c>
      <c r="W23" s="16">
        <f t="shared" ca="1" si="10"/>
        <v>1218.3013372607195</v>
      </c>
      <c r="X23" s="47">
        <f ca="1">IF(AND(A23&gt;=CS_Start,A23&lt;=CS_End),IF(OR(LEFT(UPPER(F23))="D"),"",T23),"")</f>
        <v>1085576.7732665197</v>
      </c>
      <c r="Y23" s="47">
        <f t="shared" ca="1" si="21"/>
        <v>453603.1561484884</v>
      </c>
      <c r="Z23" s="47">
        <f ca="1">IF(X23="",NA(),VALUE((-mB*X23+Y23-bA)/(mA-mB)))</f>
        <v>1085576.4788733467</v>
      </c>
      <c r="AA23" s="47">
        <f ca="1">IF(ISNA(Z23),NA(),VALUE(mA*Z23+bA))</f>
        <v>453603.18714377284</v>
      </c>
      <c r="AB23" s="16">
        <f t="shared" ca="1" si="22"/>
        <v>0.29602035054876685</v>
      </c>
      <c r="AC23" s="16">
        <f t="shared" ca="1" si="11"/>
        <v>0</v>
      </c>
      <c r="AD23" s="16">
        <f t="shared" ca="1" si="12"/>
        <v>3.3205667060096857</v>
      </c>
      <c r="AE23" s="2">
        <f ca="1">ROUND(CONVERT(AC23,"m","ft"),2)</f>
        <v>0</v>
      </c>
      <c r="AF23" s="2">
        <f ca="1">ROUND(CONVERT(AD23,"m","ft"),2)</f>
        <v>10.89</v>
      </c>
      <c r="AH23" s="44">
        <v>0</v>
      </c>
      <c r="AI23" s="2">
        <f ca="1">OFFSET($AF$22,MATCH(AH23,$AE$23:$AE$59,0),0)</f>
        <v>10.89</v>
      </c>
      <c r="AJ23" s="2" t="str">
        <f t="shared" ref="AJ23:AJ31" ca="1" si="23">CONCATENATE(AH23,",",AI23)</f>
        <v>0,10.89</v>
      </c>
    </row>
    <row r="24" spans="1:36" x14ac:dyDescent="0.25">
      <c r="A24" s="44">
        <v>4</v>
      </c>
      <c r="B24" s="48">
        <v>9.4460648148148145</v>
      </c>
      <c r="C24" s="48">
        <v>4.4023611111111114</v>
      </c>
      <c r="D24" s="44">
        <v>10.138</v>
      </c>
      <c r="E24" s="44">
        <v>1.492</v>
      </c>
      <c r="F24" s="44"/>
      <c r="G24" s="43">
        <f t="shared" si="13"/>
        <v>105.65666666666667</v>
      </c>
      <c r="H24" s="43">
        <f t="shared" si="14"/>
        <v>1.8440567100154754</v>
      </c>
      <c r="I24" s="43">
        <f t="shared" si="3"/>
        <v>226.70555555555555</v>
      </c>
      <c r="J24" s="39">
        <f t="shared" si="15"/>
        <v>3.9567583770073669</v>
      </c>
      <c r="K24" s="39">
        <f t="shared" si="16"/>
        <v>9.7618409529703207</v>
      </c>
      <c r="L24" s="15">
        <f t="shared" si="17"/>
        <v>-2.7359651329853394</v>
      </c>
      <c r="M24" s="13"/>
      <c r="N24" s="16">
        <f t="shared" si="4"/>
        <v>226.70555555555555</v>
      </c>
      <c r="O24" s="16">
        <f t="shared" ca="1" si="18"/>
        <v>130.69899863043574</v>
      </c>
      <c r="P24" s="16">
        <f t="shared" ca="1" si="19"/>
        <v>357.40455418599129</v>
      </c>
      <c r="Q24" s="16">
        <f t="shared" ca="1" si="20"/>
        <v>6.2378862321680302</v>
      </c>
      <c r="R24" s="16">
        <f t="shared" ca="1" si="5"/>
        <v>-0.44205114742960533</v>
      </c>
      <c r="S24" s="16">
        <f t="shared" ca="1" si="6"/>
        <v>9.7518269864751339</v>
      </c>
      <c r="T24" s="13">
        <f t="shared" ca="1" si="7"/>
        <v>1085576.4769488527</v>
      </c>
      <c r="U24" s="13">
        <f t="shared" ca="1" si="8"/>
        <v>453606.35382698651</v>
      </c>
      <c r="V24" s="16">
        <f t="shared" si="9"/>
        <v>1215.1500348670147</v>
      </c>
      <c r="W24" s="16">
        <f t="shared" ca="1" si="10"/>
        <v>1216.2650494423569</v>
      </c>
      <c r="X24" s="47">
        <f ca="1">IF(AND(A24&gt;=CS_Start,A24&lt;=CS_End),IF(OR(LEFT(UPPER(F24))="D"),"",T24),"")</f>
        <v>1085576.4769488527</v>
      </c>
      <c r="Y24" s="47">
        <f t="shared" ca="1" si="21"/>
        <v>453606.35382698651</v>
      </c>
      <c r="Z24" s="47">
        <f ca="1">IF(X24="",NA(),VALUE((-mB*X24+Y24-bA)/(mA-mB)))</f>
        <v>1085576.808602277</v>
      </c>
      <c r="AA24" s="47">
        <f ca="1">IF(ISNA(Z24),NA(),VALUE(mA*Z24+bA))</f>
        <v>453606.3189087417</v>
      </c>
      <c r="AB24" s="47">
        <f t="shared" ref="AB24:AB34" ca="1" si="24">IF(ISNUMBER(X24),SQRT((X24-Z24)^2+(Y24-AA24)^2),"")</f>
        <v>0.33348654796636201</v>
      </c>
      <c r="AC24" s="47">
        <f t="shared" ref="AC24:AC34" ca="1" si="25">IF(ISNUMBER(Z24),SQRT(($Z24-OFFSET($Z$20,MATCH(CS_Start,$A$21:$A$51,0),0))^2+($AA24-OFFSET($AA$20,MATCH(CS_Start,$A$21:$A$51,0),0))^2),"")</f>
        <v>3.1490749415676893</v>
      </c>
      <c r="AD24" s="47">
        <f t="shared" ref="AD24:AD34" ca="1" si="26">IF(ISNUMBER(X24),W24-Min_Z,"")</f>
        <v>1.2842788876471332</v>
      </c>
      <c r="AE24" s="44">
        <f t="shared" ref="AE24:AE34" ca="1" si="27">ROUND(CONVERT(AC24,"m","ft"),2)</f>
        <v>10.33</v>
      </c>
      <c r="AF24" s="44">
        <f t="shared" ref="AF24:AF34" ca="1" si="28">ROUND(CONVERT(AD24,"m","ft"),2)</f>
        <v>4.21</v>
      </c>
      <c r="AH24" s="44">
        <v>10.33</v>
      </c>
      <c r="AI24" s="44">
        <f t="shared" ref="AI24:AI31" ca="1" si="29">OFFSET($AF$22,MATCH(AH24,$AE$23:$AE$59,0),0)</f>
        <v>4.21</v>
      </c>
      <c r="AJ24" s="2" t="str">
        <f t="shared" ca="1" si="23"/>
        <v>10.33,4.21</v>
      </c>
    </row>
    <row r="25" spans="1:36" x14ac:dyDescent="0.25">
      <c r="A25" s="44">
        <v>5</v>
      </c>
      <c r="B25" s="48">
        <v>9.4685879629629621</v>
      </c>
      <c r="C25" s="48">
        <v>4.3078009259259256</v>
      </c>
      <c r="D25" s="44">
        <v>12.558999999999999</v>
      </c>
      <c r="E25" s="44">
        <v>1.492</v>
      </c>
      <c r="F25" s="44"/>
      <c r="G25" s="43">
        <f t="shared" si="13"/>
        <v>103.38722222222222</v>
      </c>
      <c r="H25" s="43">
        <f t="shared" si="14"/>
        <v>1.8044474322688264</v>
      </c>
      <c r="I25" s="43">
        <f t="shared" si="3"/>
        <v>227.24611111111108</v>
      </c>
      <c r="J25" s="39">
        <f t="shared" si="15"/>
        <v>3.9661928512417579</v>
      </c>
      <c r="K25" s="39">
        <f t="shared" si="16"/>
        <v>12.217741038604748</v>
      </c>
      <c r="L25" s="15">
        <f t="shared" si="17"/>
        <v>-2.9077972614323273</v>
      </c>
      <c r="M25" s="13"/>
      <c r="N25" s="16">
        <f t="shared" si="4"/>
        <v>227.24611111111108</v>
      </c>
      <c r="O25" s="16">
        <f t="shared" ca="1" si="18"/>
        <v>130.69899863043574</v>
      </c>
      <c r="P25" s="16">
        <f t="shared" ca="1" si="19"/>
        <v>357.94510974154684</v>
      </c>
      <c r="Q25" s="16">
        <f t="shared" ca="1" si="20"/>
        <v>6.2473207064024212</v>
      </c>
      <c r="R25" s="16">
        <f t="shared" ca="1" si="5"/>
        <v>-0.43809047357723169</v>
      </c>
      <c r="S25" s="16">
        <f t="shared" ca="1" si="6"/>
        <v>12.209884226452251</v>
      </c>
      <c r="T25" s="13">
        <f t="shared" ca="1" si="7"/>
        <v>1085576.4809095263</v>
      </c>
      <c r="U25" s="13">
        <f t="shared" ca="1" si="8"/>
        <v>453608.81188422645</v>
      </c>
      <c r="V25" s="16">
        <f t="shared" si="9"/>
        <v>1214.9782027385677</v>
      </c>
      <c r="W25" s="16">
        <f t="shared" ca="1" si="10"/>
        <v>1216.0932173139099</v>
      </c>
      <c r="X25" s="47">
        <f ca="1">IF(AND(A25&gt;=CS_Start,A25&lt;=CS_End),IF(OR(LEFT(UPPER(F25))="D"),"",T25),"")</f>
        <v>1085576.4809095263</v>
      </c>
      <c r="Y25" s="47">
        <f t="shared" ca="1" si="21"/>
        <v>453608.81188422645</v>
      </c>
      <c r="Z25" s="47">
        <f ca="1">IF(X25="",NA(),VALUE((-mB*X25+Y25-bA)/(mA-mB)))</f>
        <v>1085577.0646057669</v>
      </c>
      <c r="AA25" s="47">
        <f ca="1">IF(ISNA(Z25),NA(),VALUE(mA*Z25+bA))</f>
        <v>453608.75042957067</v>
      </c>
      <c r="AB25" s="47">
        <f t="shared" ca="1" si="24"/>
        <v>0.58692246162475414</v>
      </c>
      <c r="AC25" s="47">
        <f t="shared" ca="1" si="25"/>
        <v>5.5940353356471153</v>
      </c>
      <c r="AD25" s="47">
        <f t="shared" ca="1" si="26"/>
        <v>1.112446759200111</v>
      </c>
      <c r="AE25" s="44">
        <f t="shared" ca="1" si="27"/>
        <v>18.350000000000001</v>
      </c>
      <c r="AF25" s="44">
        <f t="shared" ca="1" si="28"/>
        <v>3.65</v>
      </c>
      <c r="AH25" s="44">
        <v>18.350000000000001</v>
      </c>
      <c r="AI25" s="44">
        <f t="shared" ca="1" si="29"/>
        <v>3.65</v>
      </c>
      <c r="AJ25" s="2" t="str">
        <f t="shared" ca="1" si="23"/>
        <v>18.35,3.65</v>
      </c>
    </row>
    <row r="26" spans="1:36" x14ac:dyDescent="0.25">
      <c r="A26" s="44">
        <v>6</v>
      </c>
      <c r="B26" s="48">
        <v>9.4612037037037044</v>
      </c>
      <c r="C26" s="48">
        <v>4.3565162037037037</v>
      </c>
      <c r="D26" s="44">
        <v>13.173</v>
      </c>
      <c r="E26" s="44">
        <v>1.492</v>
      </c>
      <c r="F26" s="44"/>
      <c r="G26" s="43">
        <f t="shared" si="13"/>
        <v>104.55638888888889</v>
      </c>
      <c r="H26" s="43">
        <f t="shared" si="14"/>
        <v>1.8248532401067268</v>
      </c>
      <c r="I26" s="43">
        <f t="shared" si="3"/>
        <v>227.06888888888892</v>
      </c>
      <c r="J26" s="39">
        <f t="shared" si="15"/>
        <v>3.9630997399562804</v>
      </c>
      <c r="K26" s="39">
        <f t="shared" si="16"/>
        <v>12.750156640536316</v>
      </c>
      <c r="L26" s="15">
        <f t="shared" si="17"/>
        <v>-3.3108057390592469</v>
      </c>
      <c r="M26" s="13"/>
      <c r="N26" s="16">
        <f t="shared" si="4"/>
        <v>227.06888888888892</v>
      </c>
      <c r="O26" s="16">
        <f t="shared" ca="1" si="18"/>
        <v>130.69899863043574</v>
      </c>
      <c r="P26" s="16">
        <f t="shared" ca="1" si="19"/>
        <v>357.76788751932463</v>
      </c>
      <c r="Q26" s="16">
        <f t="shared" ca="1" si="20"/>
        <v>6.2442275951169428</v>
      </c>
      <c r="R26" s="16">
        <f t="shared" ca="1" si="5"/>
        <v>-0.49659129586650785</v>
      </c>
      <c r="S26" s="16">
        <f t="shared" ca="1" si="6"/>
        <v>12.740482386592822</v>
      </c>
      <c r="T26" s="13">
        <f t="shared" ca="1" si="7"/>
        <v>1085576.4224087042</v>
      </c>
      <c r="U26" s="13">
        <f t="shared" ca="1" si="8"/>
        <v>453609.34248238662</v>
      </c>
      <c r="V26" s="16">
        <f t="shared" si="9"/>
        <v>1214.5751942609406</v>
      </c>
      <c r="W26" s="16">
        <f t="shared" ca="1" si="10"/>
        <v>1215.6902088362829</v>
      </c>
      <c r="X26" s="47">
        <f ca="1">IF(AND(A26&gt;=CS_Start,A26&lt;=CS_End),IF(OR(LEFT(UPPER(F26))="D"),"",T26),"")</f>
        <v>1085576.4224087042</v>
      </c>
      <c r="Y26" s="47">
        <f t="shared" ca="1" si="21"/>
        <v>453609.34248238662</v>
      </c>
      <c r="Z26" s="47">
        <f ca="1">IF(X26="",NA(),VALUE((-mB*X26+Y26-bA)/(mA-mB)))</f>
        <v>1085577.1192161352</v>
      </c>
      <c r="AA26" s="47">
        <f ca="1">IF(ISNA(Z26),NA(),VALUE(mA*Z26+bA))</f>
        <v>453609.26911878213</v>
      </c>
      <c r="AB26" s="47">
        <f t="shared" ca="1" si="24"/>
        <v>0.70065884311846949</v>
      </c>
      <c r="AC26" s="47">
        <f t="shared" ca="1" si="25"/>
        <v>6.1155914595801297</v>
      </c>
      <c r="AD26" s="47">
        <f t="shared" ca="1" si="26"/>
        <v>0.70943828157305688</v>
      </c>
      <c r="AE26" s="44">
        <f t="shared" ca="1" si="27"/>
        <v>20.059999999999999</v>
      </c>
      <c r="AF26" s="44">
        <f t="shared" ca="1" si="28"/>
        <v>2.33</v>
      </c>
      <c r="AH26" s="44">
        <v>20.059999999999999</v>
      </c>
      <c r="AI26" s="44">
        <f t="shared" ca="1" si="29"/>
        <v>2.33</v>
      </c>
      <c r="AJ26" s="2" t="str">
        <f t="shared" ca="1" si="23"/>
        <v>20.06,2.33</v>
      </c>
    </row>
    <row r="27" spans="1:36" x14ac:dyDescent="0.25">
      <c r="A27" s="44">
        <v>7</v>
      </c>
      <c r="B27" s="48">
        <v>9.4679050925925932</v>
      </c>
      <c r="C27" s="48">
        <v>4.3799537037037037</v>
      </c>
      <c r="D27" s="44">
        <v>13.5</v>
      </c>
      <c r="E27" s="44">
        <v>1.492</v>
      </c>
      <c r="F27" s="44"/>
      <c r="G27" s="43">
        <f t="shared" si="13"/>
        <v>105.11888888888889</v>
      </c>
      <c r="H27" s="43">
        <f t="shared" si="14"/>
        <v>1.8346707171491949</v>
      </c>
      <c r="I27" s="43">
        <f t="shared" si="3"/>
        <v>227.22972222222222</v>
      </c>
      <c r="J27" s="39">
        <f t="shared" si="15"/>
        <v>3.9659068111699041</v>
      </c>
      <c r="K27" s="39">
        <f t="shared" si="16"/>
        <v>13.032720409945252</v>
      </c>
      <c r="L27" s="15">
        <f t="shared" si="17"/>
        <v>-3.5211075979294453</v>
      </c>
      <c r="M27" s="13"/>
      <c r="N27" s="16">
        <f t="shared" si="4"/>
        <v>227.22972222222222</v>
      </c>
      <c r="O27" s="16">
        <f t="shared" ca="1" si="18"/>
        <v>130.69899863043574</v>
      </c>
      <c r="P27" s="16">
        <f t="shared" ca="1" si="19"/>
        <v>357.92872085265799</v>
      </c>
      <c r="Q27" s="16">
        <f t="shared" ca="1" si="20"/>
        <v>6.2470346663305678</v>
      </c>
      <c r="R27" s="16">
        <f t="shared" ca="1" si="5"/>
        <v>-0.47103858157363299</v>
      </c>
      <c r="S27" s="16">
        <f t="shared" ca="1" si="6"/>
        <v>13.024205309287499</v>
      </c>
      <c r="T27" s="13">
        <f t="shared" ca="1" si="7"/>
        <v>1085576.4479614184</v>
      </c>
      <c r="U27" s="13">
        <f t="shared" ca="1" si="8"/>
        <v>453609.62620530929</v>
      </c>
      <c r="V27" s="16">
        <f t="shared" si="9"/>
        <v>1214.3648924020706</v>
      </c>
      <c r="W27" s="16">
        <f t="shared" ca="1" si="10"/>
        <v>1215.4799069774128</v>
      </c>
      <c r="X27" s="47">
        <f ca="1">IF(AND(A27&gt;=CS_Start,A27&lt;=CS_End),IF(OR(LEFT(UPPER(F27))="D"),"",T27),"")</f>
        <v>1085576.4479614184</v>
      </c>
      <c r="Y27" s="47">
        <f t="shared" ca="1" si="21"/>
        <v>453609.62620530929</v>
      </c>
      <c r="Z27" s="47">
        <f ca="1">IF(X27="",NA(),VALUE((-mB*X27+Y27-bA)/(mA-mB)))</f>
        <v>1085577.1490406459</v>
      </c>
      <c r="AA27" s="47">
        <f ca="1">IF(ISNA(Z27),NA(),VALUE(mA*Z27+bA))</f>
        <v>453609.55239194632</v>
      </c>
      <c r="AB27" s="47">
        <f t="shared" ca="1" si="24"/>
        <v>0.70495425084219676</v>
      </c>
      <c r="AC27" s="47">
        <f t="shared" ca="1" si="25"/>
        <v>6.4004303385690005</v>
      </c>
      <c r="AD27" s="47">
        <f t="shared" ca="1" si="26"/>
        <v>0.49913642270303171</v>
      </c>
      <c r="AE27" s="44">
        <f t="shared" ca="1" si="27"/>
        <v>21</v>
      </c>
      <c r="AF27" s="44">
        <f t="shared" ca="1" si="28"/>
        <v>1.64</v>
      </c>
      <c r="AH27" s="44">
        <v>21</v>
      </c>
      <c r="AI27" s="44">
        <f t="shared" ca="1" si="29"/>
        <v>1.64</v>
      </c>
      <c r="AJ27" s="2" t="str">
        <f t="shared" ca="1" si="23"/>
        <v>21,1.64</v>
      </c>
    </row>
    <row r="28" spans="1:36" x14ac:dyDescent="0.25">
      <c r="A28" s="44">
        <v>8</v>
      </c>
      <c r="B28" s="48">
        <v>9.4778356481481492</v>
      </c>
      <c r="C28" s="48">
        <v>4.3599189814814814</v>
      </c>
      <c r="D28" s="44">
        <v>14.342000000000001</v>
      </c>
      <c r="E28" s="44">
        <v>1.492</v>
      </c>
      <c r="F28" s="44"/>
      <c r="G28" s="43">
        <f t="shared" si="13"/>
        <v>104.63805555555555</v>
      </c>
      <c r="H28" s="43">
        <f t="shared" si="14"/>
        <v>1.8262785923291887</v>
      </c>
      <c r="I28" s="43">
        <f t="shared" si="3"/>
        <v>227.46805555555557</v>
      </c>
      <c r="J28" s="39">
        <f t="shared" si="15"/>
        <v>3.9700665125538239</v>
      </c>
      <c r="K28" s="39">
        <f t="shared" si="16"/>
        <v>13.876480679149896</v>
      </c>
      <c r="L28" s="15">
        <f t="shared" si="17"/>
        <v>-3.6243962202247739</v>
      </c>
      <c r="M28" s="13"/>
      <c r="N28" s="16">
        <f t="shared" si="4"/>
        <v>227.46805555555557</v>
      </c>
      <c r="O28" s="16">
        <f t="shared" ca="1" si="18"/>
        <v>130.69899863043574</v>
      </c>
      <c r="P28" s="16">
        <f t="shared" ca="1" si="19"/>
        <v>358.16705418599133</v>
      </c>
      <c r="Q28" s="16">
        <f t="shared" ca="1" si="20"/>
        <v>6.2511943677144872</v>
      </c>
      <c r="R28" s="16">
        <f t="shared" ca="1" si="5"/>
        <v>-0.44384593753806595</v>
      </c>
      <c r="S28" s="16">
        <f t="shared" ca="1" si="6"/>
        <v>13.869380549345069</v>
      </c>
      <c r="T28" s="13">
        <f t="shared" ca="1" si="7"/>
        <v>1085576.4751540625</v>
      </c>
      <c r="U28" s="13">
        <f t="shared" ca="1" si="8"/>
        <v>453610.47138054937</v>
      </c>
      <c r="V28" s="16">
        <f t="shared" si="9"/>
        <v>1214.2616037797752</v>
      </c>
      <c r="W28" s="16">
        <f t="shared" ca="1" si="10"/>
        <v>1215.3766183551174</v>
      </c>
      <c r="X28" s="47">
        <f ca="1">IF(AND(A28&gt;=CS_Start,A28&lt;=CS_End),IF(OR(LEFT(UPPER(F28))="D"),"",T28),"")</f>
        <v>1085576.4751540625</v>
      </c>
      <c r="Y28" s="47">
        <f t="shared" ca="1" si="21"/>
        <v>453610.47138054937</v>
      </c>
      <c r="Z28" s="47">
        <f ca="1">IF(X28="",NA(),VALUE((-mB*X28+Y28-bA)/(mA-mB)))</f>
        <v>1085577.2373477519</v>
      </c>
      <c r="AA28" s="47">
        <f ca="1">IF(ISNA(Z28),NA(),VALUE(mA*Z28+bA))</f>
        <v>453610.39113272913</v>
      </c>
      <c r="AB28" s="47">
        <f t="shared" ca="1" si="24"/>
        <v>0.76640650620058381</v>
      </c>
      <c r="AC28" s="47">
        <f t="shared" ca="1" si="25"/>
        <v>7.2438070312225831</v>
      </c>
      <c r="AD28" s="47">
        <f t="shared" ca="1" si="26"/>
        <v>0.3958478004076369</v>
      </c>
      <c r="AE28" s="44">
        <f t="shared" ca="1" si="27"/>
        <v>23.77</v>
      </c>
      <c r="AF28" s="44">
        <f t="shared" ca="1" si="28"/>
        <v>1.3</v>
      </c>
      <c r="AH28" s="44">
        <v>23.77</v>
      </c>
      <c r="AI28" s="44">
        <f t="shared" ca="1" si="29"/>
        <v>1.3</v>
      </c>
      <c r="AJ28" s="2" t="str">
        <f t="shared" ca="1" si="23"/>
        <v>23.77,1.3</v>
      </c>
    </row>
    <row r="29" spans="1:36" x14ac:dyDescent="0.25">
      <c r="A29" s="44">
        <v>9</v>
      </c>
      <c r="B29" s="48">
        <v>9.4945254629629634</v>
      </c>
      <c r="C29" s="48">
        <v>4.3057407407407409</v>
      </c>
      <c r="D29" s="44">
        <v>15.259</v>
      </c>
      <c r="E29" s="44">
        <v>1.492</v>
      </c>
      <c r="F29" s="49" t="s">
        <v>84</v>
      </c>
      <c r="G29" s="43">
        <f t="shared" si="13"/>
        <v>103.33777777777777</v>
      </c>
      <c r="H29" s="43">
        <f t="shared" si="14"/>
        <v>1.8035844639164513</v>
      </c>
      <c r="I29" s="43">
        <f t="shared" si="3"/>
        <v>227.86861111111114</v>
      </c>
      <c r="J29" s="39">
        <f t="shared" si="15"/>
        <v>3.9770575258354235</v>
      </c>
      <c r="K29" s="39">
        <f t="shared" si="16"/>
        <v>14.847418668527991</v>
      </c>
      <c r="L29" s="15">
        <f t="shared" si="17"/>
        <v>-3.5201192993201995</v>
      </c>
      <c r="M29" s="13"/>
      <c r="N29" s="16">
        <f t="shared" si="4"/>
        <v>227.86861111111114</v>
      </c>
      <c r="O29" s="16">
        <f t="shared" ca="1" si="18"/>
        <v>130.69899863043574</v>
      </c>
      <c r="P29" s="16">
        <f t="shared" ca="1" si="19"/>
        <v>358.5676097415469</v>
      </c>
      <c r="Q29" s="16">
        <f t="shared" ca="1" si="20"/>
        <v>6.2581853809960872</v>
      </c>
      <c r="R29" s="16">
        <f t="shared" ca="1" si="5"/>
        <v>-0.37114570712667017</v>
      </c>
      <c r="S29" s="16">
        <f t="shared" ca="1" si="6"/>
        <v>14.842779119242964</v>
      </c>
      <c r="T29" s="13">
        <f t="shared" ca="1" si="7"/>
        <v>1085576.5478542929</v>
      </c>
      <c r="U29" s="13">
        <f t="shared" ca="1" si="8"/>
        <v>453611.44477911928</v>
      </c>
      <c r="V29" s="16">
        <f t="shared" si="9"/>
        <v>1214.3658807006798</v>
      </c>
      <c r="W29" s="16">
        <f t="shared" ca="1" si="10"/>
        <v>1215.480895276022</v>
      </c>
      <c r="X29" s="47">
        <f ca="1">IF(AND(A29&gt;=CS_Start,A29&lt;=CS_End),IF(OR(LEFT(UPPER(F29))="D"),"",T29),"")</f>
        <v>1085576.5478542929</v>
      </c>
      <c r="Y29" s="47">
        <f t="shared" ca="1" si="21"/>
        <v>453611.44477911928</v>
      </c>
      <c r="Z29" s="47">
        <f ca="1">IF(X29="",NA(),VALUE((-mB*X29+Y29-bA)/(mA-mB)))</f>
        <v>1085577.3395058084</v>
      </c>
      <c r="AA29" s="47">
        <f ca="1">IF(ISNA(Z29),NA(),VALUE(mA*Z29+bA))</f>
        <v>453611.36142982356</v>
      </c>
      <c r="AB29" s="47">
        <f t="shared" ca="1" si="24"/>
        <v>0.79602715225447607</v>
      </c>
      <c r="AC29" s="47">
        <f t="shared" ca="1" si="25"/>
        <v>8.2194671769652583</v>
      </c>
      <c r="AD29" s="47">
        <f t="shared" ca="1" si="26"/>
        <v>0.5001247213122042</v>
      </c>
      <c r="AE29" s="44">
        <f t="shared" ca="1" si="27"/>
        <v>26.97</v>
      </c>
      <c r="AF29" s="44">
        <f t="shared" ca="1" si="28"/>
        <v>1.64</v>
      </c>
      <c r="AH29" s="44">
        <v>26.97</v>
      </c>
      <c r="AI29" s="44">
        <f t="shared" ca="1" si="29"/>
        <v>1.64</v>
      </c>
      <c r="AJ29" s="2" t="str">
        <f t="shared" ca="1" si="23"/>
        <v>26.97,1.64</v>
      </c>
    </row>
    <row r="30" spans="1:36" x14ac:dyDescent="0.25">
      <c r="A30" s="44">
        <v>10</v>
      </c>
      <c r="B30" s="48">
        <v>9.6596527777777776</v>
      </c>
      <c r="C30" s="48">
        <v>4.1269444444444447</v>
      </c>
      <c r="D30" s="44">
        <v>20.64</v>
      </c>
      <c r="E30" s="44">
        <v>1.492</v>
      </c>
      <c r="F30" s="49" t="s">
        <v>91</v>
      </c>
      <c r="G30" s="43">
        <f t="shared" si="13"/>
        <v>99.046666666666681</v>
      </c>
      <c r="H30" s="43">
        <f t="shared" si="14"/>
        <v>1.7286904464586506</v>
      </c>
      <c r="I30" s="43">
        <f t="shared" si="3"/>
        <v>231.83166666666665</v>
      </c>
      <c r="J30" s="39">
        <f t="shared" si="15"/>
        <v>4.0462258937193205</v>
      </c>
      <c r="K30" s="39">
        <f t="shared" si="16"/>
        <v>20.383250766719449</v>
      </c>
      <c r="L30" s="15">
        <f t="shared" si="17"/>
        <v>-3.24541032552604</v>
      </c>
      <c r="M30" s="13"/>
      <c r="N30" s="16">
        <f t="shared" si="4"/>
        <v>231.83166666666665</v>
      </c>
      <c r="O30" s="16">
        <f t="shared" ca="1" si="18"/>
        <v>130.69899863043574</v>
      </c>
      <c r="P30" s="16">
        <f t="shared" ca="1" si="19"/>
        <v>362.53066529710236</v>
      </c>
      <c r="Q30" s="16">
        <f t="shared" ca="1" si="20"/>
        <v>6.3273537488799834</v>
      </c>
      <c r="R30" s="16">
        <f t="shared" ca="1" si="5"/>
        <v>0.90000372764023118</v>
      </c>
      <c r="S30" s="16">
        <f t="shared" ca="1" si="6"/>
        <v>20.363371653761142</v>
      </c>
      <c r="T30" s="13">
        <f t="shared" ca="1" si="7"/>
        <v>1085577.8190037275</v>
      </c>
      <c r="U30" s="13">
        <f t="shared" ca="1" si="8"/>
        <v>453616.96537165379</v>
      </c>
      <c r="V30" s="16">
        <f t="shared" si="9"/>
        <v>1214.6405896744739</v>
      </c>
      <c r="W30" s="16">
        <f t="shared" ca="1" si="10"/>
        <v>1215.7556042498161</v>
      </c>
      <c r="X30" s="47">
        <f ca="1">IF(AND(A30&gt;=CS_Start,A30&lt;=CS_End),IF(OR(LEFT(UPPER(F30))="D"),"",T30),"")</f>
        <v>1085577.8190037275</v>
      </c>
      <c r="Y30" s="47">
        <f t="shared" ca="1" si="21"/>
        <v>453616.96537165379</v>
      </c>
      <c r="Z30" s="47">
        <f ca="1">IF(X30="",NA(),VALUE((-mB*X30+Y30-bA)/(mA-mB)))</f>
        <v>1085577.9283070846</v>
      </c>
      <c r="AA30" s="47">
        <f ca="1">IF(ISNA(Z30),NA(),VALUE(mA*Z30+bA))</f>
        <v>453616.95386360958</v>
      </c>
      <c r="AB30" s="47">
        <f t="shared" ca="1" si="24"/>
        <v>0.10990750179261097</v>
      </c>
      <c r="AC30" s="47">
        <f t="shared" ca="1" si="25"/>
        <v>13.842811608336657</v>
      </c>
      <c r="AD30" s="47">
        <f t="shared" ca="1" si="26"/>
        <v>0.77483369510628108</v>
      </c>
      <c r="AE30" s="44">
        <f t="shared" ca="1" si="27"/>
        <v>45.42</v>
      </c>
      <c r="AF30" s="44">
        <f t="shared" ca="1" si="28"/>
        <v>2.54</v>
      </c>
      <c r="AH30" s="44">
        <v>45.42</v>
      </c>
      <c r="AI30" s="44">
        <f t="shared" ca="1" si="29"/>
        <v>2.54</v>
      </c>
      <c r="AJ30" s="2" t="str">
        <f t="shared" ca="1" si="23"/>
        <v>45.42,2.54</v>
      </c>
    </row>
    <row r="31" spans="1:36" x14ac:dyDescent="0.25">
      <c r="A31" s="44">
        <v>11</v>
      </c>
      <c r="B31" s="48">
        <v>9.6645370370370376</v>
      </c>
      <c r="C31" s="48">
        <v>4.1162847222222227</v>
      </c>
      <c r="D31" s="44">
        <v>23.141999999999999</v>
      </c>
      <c r="E31" s="44">
        <v>1.492</v>
      </c>
      <c r="F31" s="49" t="s">
        <v>84</v>
      </c>
      <c r="G31" s="43">
        <f t="shared" si="13"/>
        <v>98.790833333333353</v>
      </c>
      <c r="H31" s="43">
        <f t="shared" si="14"/>
        <v>1.7242253124556317</v>
      </c>
      <c r="I31" s="43">
        <f t="shared" si="3"/>
        <v>231.94888888888892</v>
      </c>
      <c r="J31" s="39">
        <f t="shared" si="15"/>
        <v>4.0482718074536033</v>
      </c>
      <c r="K31" s="39">
        <f t="shared" si="16"/>
        <v>22.870147333798517</v>
      </c>
      <c r="L31" s="15">
        <f t="shared" si="17"/>
        <v>-3.5367393076601705</v>
      </c>
      <c r="M31" s="13"/>
      <c r="N31" s="16">
        <f t="shared" si="4"/>
        <v>231.94888888888892</v>
      </c>
      <c r="O31" s="16">
        <f t="shared" ca="1" si="18"/>
        <v>130.69899863043574</v>
      </c>
      <c r="P31" s="16">
        <f t="shared" ca="1" si="19"/>
        <v>362.64788751932463</v>
      </c>
      <c r="Q31" s="16">
        <f t="shared" ca="1" si="20"/>
        <v>6.3293996626142661</v>
      </c>
      <c r="R31" s="16">
        <f t="shared" ca="1" si="5"/>
        <v>1.0565529322422569</v>
      </c>
      <c r="S31" s="16">
        <f t="shared" ca="1" si="6"/>
        <v>22.8457290312877</v>
      </c>
      <c r="T31" s="13">
        <f t="shared" ca="1" si="7"/>
        <v>1085577.9755529321</v>
      </c>
      <c r="U31" s="13">
        <f t="shared" ca="1" si="8"/>
        <v>453619.44772903132</v>
      </c>
      <c r="V31" s="16">
        <f t="shared" si="9"/>
        <v>1214.3492606923398</v>
      </c>
      <c r="W31" s="16">
        <f t="shared" ca="1" si="10"/>
        <v>1215.4642752676821</v>
      </c>
      <c r="X31" s="47">
        <f ca="1">IF(AND(A31&gt;=CS_Start,A31&lt;=CS_End),IF(OR(LEFT(UPPER(F31))="D"),"",T31),"")</f>
        <v>1085577.9755529321</v>
      </c>
      <c r="Y31" s="47">
        <f t="shared" ca="1" si="21"/>
        <v>453619.44772903132</v>
      </c>
      <c r="Z31" s="47">
        <f ca="1">IF(X31="",NA(),VALUE((-mB*X31+Y31-bA)/(mA-mB)))</f>
        <v>1085578.1885138734</v>
      </c>
      <c r="AA31" s="47">
        <f ca="1">IF(ISNA(Z31),NA(),VALUE(mA*Z31+bA))</f>
        <v>453619.425307367</v>
      </c>
      <c r="AB31" s="47">
        <f t="shared" ca="1" si="24"/>
        <v>0.21413802448373023</v>
      </c>
      <c r="AC31" s="47">
        <f t="shared" ca="1" si="25"/>
        <v>16.32791559388555</v>
      </c>
      <c r="AD31" s="47">
        <f t="shared" ca="1" si="26"/>
        <v>0.4835047129722625</v>
      </c>
      <c r="AE31" s="44">
        <f t="shared" ca="1" si="27"/>
        <v>53.57</v>
      </c>
      <c r="AF31" s="44">
        <f t="shared" ca="1" si="28"/>
        <v>1.59</v>
      </c>
      <c r="AH31" s="44">
        <v>53.57</v>
      </c>
      <c r="AI31" s="44">
        <f t="shared" ca="1" si="29"/>
        <v>1.59</v>
      </c>
      <c r="AJ31" s="2" t="str">
        <f t="shared" ca="1" si="23"/>
        <v>53.57,1.59</v>
      </c>
    </row>
    <row r="32" spans="1:36" x14ac:dyDescent="0.25">
      <c r="A32" s="44">
        <v>12</v>
      </c>
      <c r="B32" s="48">
        <v>9.7737037037037044</v>
      </c>
      <c r="C32" s="48">
        <v>3.9730324074074073</v>
      </c>
      <c r="D32" s="44">
        <v>40.281999999999996</v>
      </c>
      <c r="E32" s="44">
        <v>1.492</v>
      </c>
      <c r="F32" s="44"/>
      <c r="G32" s="43">
        <f t="shared" si="13"/>
        <v>95.352777777777774</v>
      </c>
      <c r="H32" s="43">
        <f t="shared" si="14"/>
        <v>1.6642199231447041</v>
      </c>
      <c r="I32" s="43">
        <f t="shared" si="3"/>
        <v>234.56888888888892</v>
      </c>
      <c r="J32" s="39">
        <f t="shared" si="15"/>
        <v>4.0939994338558554</v>
      </c>
      <c r="K32" s="39">
        <f t="shared" si="16"/>
        <v>40.106337809642078</v>
      </c>
      <c r="L32" s="15">
        <f t="shared" si="17"/>
        <v>-3.7578173849821539</v>
      </c>
      <c r="M32" s="13"/>
      <c r="N32" s="16">
        <f t="shared" si="4"/>
        <v>234.56888888888892</v>
      </c>
      <c r="O32" s="16">
        <f t="shared" ca="1" si="18"/>
        <v>130.69899863043574</v>
      </c>
      <c r="P32" s="16">
        <f t="shared" ca="1" si="19"/>
        <v>365.26788751932463</v>
      </c>
      <c r="Q32" s="16">
        <f t="shared" ca="1" si="20"/>
        <v>6.3751272890165174</v>
      </c>
      <c r="R32" s="16">
        <f t="shared" ca="1" si="5"/>
        <v>3.6822631650591338</v>
      </c>
      <c r="S32" s="16">
        <f t="shared" ca="1" si="6"/>
        <v>39.93694117586341</v>
      </c>
      <c r="T32" s="13">
        <f t="shared" ca="1" si="7"/>
        <v>1085580.601263165</v>
      </c>
      <c r="U32" s="13">
        <f t="shared" ca="1" si="8"/>
        <v>453636.53894117585</v>
      </c>
      <c r="V32" s="16">
        <f t="shared" si="9"/>
        <v>1214.1281826150177</v>
      </c>
      <c r="W32" s="16">
        <f t="shared" ca="1" si="10"/>
        <v>1215.24319719036</v>
      </c>
      <c r="X32" s="47">
        <f ca="1">IF(AND(A32&gt;=CS_Start,A32&lt;=CS_End),IF(OR(LEFT(UPPER(F32))="D"),"",T32),"")</f>
        <v>1085580.601263165</v>
      </c>
      <c r="Y32" s="47">
        <f t="shared" ca="1" si="21"/>
        <v>453636.53894117585</v>
      </c>
      <c r="Z32" s="47">
        <f ca="1">IF(X32="",NA(),VALUE((-mB*X32+Y32-bA)/(mA-mB)))</f>
        <v>1085579.9970265413</v>
      </c>
      <c r="AA32" s="47">
        <f ca="1">IF(ISNA(Z32),NA(),VALUE(mA*Z32+bA))</f>
        <v>453636.60255843215</v>
      </c>
      <c r="AB32" s="47">
        <f t="shared" ca="1" si="24"/>
        <v>0.6075763760753089</v>
      </c>
      <c r="AC32" s="47">
        <f t="shared" ca="1" si="25"/>
        <v>33.600109207469238</v>
      </c>
      <c r="AD32" s="47">
        <f t="shared" ca="1" si="26"/>
        <v>0.2624266356501721</v>
      </c>
      <c r="AE32" s="44">
        <f t="shared" ca="1" si="27"/>
        <v>110.24</v>
      </c>
      <c r="AF32" s="44">
        <f t="shared" ca="1" si="28"/>
        <v>0.86</v>
      </c>
      <c r="AH32" s="44">
        <v>110.24</v>
      </c>
      <c r="AI32" s="44">
        <f t="shared" ref="AI32:AI35" ca="1" si="30">OFFSET($AF$22,MATCH(AH32,$AE$23:$AE$59,0),0)</f>
        <v>0.86</v>
      </c>
      <c r="AJ32" s="44" t="str">
        <f t="shared" ref="AJ32:AJ35" ca="1" si="31">CONCATENATE(AH32,",",AI32)</f>
        <v>110.24,0.86</v>
      </c>
    </row>
    <row r="33" spans="1:36" x14ac:dyDescent="0.25">
      <c r="A33" s="44">
        <v>13</v>
      </c>
      <c r="B33" s="48">
        <v>9.7731828703703698</v>
      </c>
      <c r="C33" s="48">
        <v>3.9282754629629628</v>
      </c>
      <c r="D33" s="44">
        <v>53.886000000000003</v>
      </c>
      <c r="E33" s="44">
        <v>1.492</v>
      </c>
      <c r="F33" s="49" t="s">
        <v>84</v>
      </c>
      <c r="G33" s="43">
        <f t="shared" si="13"/>
        <v>94.278611111111104</v>
      </c>
      <c r="H33" s="43">
        <f t="shared" si="14"/>
        <v>1.6454721780961983</v>
      </c>
      <c r="I33" s="43">
        <f t="shared" si="3"/>
        <v>234.55638888888888</v>
      </c>
      <c r="J33" s="39">
        <f t="shared" si="15"/>
        <v>4.093781267699355</v>
      </c>
      <c r="K33" s="39">
        <f t="shared" si="16"/>
        <v>53.735822632714658</v>
      </c>
      <c r="L33" s="15">
        <f t="shared" si="17"/>
        <v>-4.0202440206324468</v>
      </c>
      <c r="M33" s="13"/>
      <c r="N33" s="16">
        <f t="shared" si="4"/>
        <v>234.55638888888888</v>
      </c>
      <c r="O33" s="16">
        <f t="shared" ca="1" si="18"/>
        <v>130.69899863043574</v>
      </c>
      <c r="P33" s="16">
        <f t="shared" ca="1" si="19"/>
        <v>365.25538751932459</v>
      </c>
      <c r="Q33" s="16">
        <f t="shared" ca="1" si="20"/>
        <v>6.3749091228600179</v>
      </c>
      <c r="R33" s="16">
        <f t="shared" ca="1" si="5"/>
        <v>4.9219463093488018</v>
      </c>
      <c r="S33" s="16">
        <f t="shared" ca="1" si="6"/>
        <v>53.509934391124574</v>
      </c>
      <c r="T33" s="13">
        <f t="shared" ca="1" si="7"/>
        <v>1085581.8409463093</v>
      </c>
      <c r="U33" s="13">
        <f t="shared" ca="1" si="8"/>
        <v>453650.11193439114</v>
      </c>
      <c r="V33" s="16">
        <f t="shared" si="9"/>
        <v>1213.8657559793676</v>
      </c>
      <c r="W33" s="16">
        <f t="shared" ca="1" si="10"/>
        <v>1214.9807705547098</v>
      </c>
      <c r="X33" s="47">
        <f ca="1">IF(AND(A33&gt;=CS_Start,A33&lt;=CS_End),IF(OR(LEFT(UPPER(F33))="D"),"",T33),"")</f>
        <v>1085581.8409463093</v>
      </c>
      <c r="Y33" s="47">
        <f t="shared" ca="1" si="21"/>
        <v>453650.11193439114</v>
      </c>
      <c r="Z33" s="47">
        <f ca="1">IF(X33="",NA(),VALUE((-mB*X33+Y33-bA)/(mA-mB)))</f>
        <v>1085581.423987729</v>
      </c>
      <c r="AA33" s="47">
        <f ca="1">IF(ISNA(Z33),NA(),VALUE(mA*Z33+bA))</f>
        <v>453650.15583401546</v>
      </c>
      <c r="AB33" s="47">
        <f t="shared" ca="1" si="24"/>
        <v>0.41926320452313287</v>
      </c>
      <c r="AC33" s="47">
        <f t="shared" ca="1" si="25"/>
        <v>47.228296807752422</v>
      </c>
      <c r="AD33" s="47">
        <f t="shared" ca="1" si="26"/>
        <v>0</v>
      </c>
      <c r="AE33" s="44">
        <f t="shared" ca="1" si="27"/>
        <v>154.94999999999999</v>
      </c>
      <c r="AF33" s="44">
        <f t="shared" ca="1" si="28"/>
        <v>0</v>
      </c>
      <c r="AH33" s="44">
        <v>154.94999999999999</v>
      </c>
      <c r="AI33" s="44">
        <f t="shared" ca="1" si="30"/>
        <v>0</v>
      </c>
      <c r="AJ33" s="44" t="str">
        <f t="shared" ca="1" si="31"/>
        <v>154.95,0</v>
      </c>
    </row>
    <row r="34" spans="1:36" x14ac:dyDescent="0.25">
      <c r="A34" s="44">
        <v>14</v>
      </c>
      <c r="B34" s="48">
        <v>9.7861111111111114</v>
      </c>
      <c r="C34" s="48">
        <v>3.9042824074074076</v>
      </c>
      <c r="D34" s="44">
        <v>54.295000000000002</v>
      </c>
      <c r="E34" s="44">
        <v>1.492</v>
      </c>
      <c r="F34" s="44"/>
      <c r="G34" s="43">
        <f t="shared" ref="G34:G37" si="32">C34*24</f>
        <v>93.702777777777783</v>
      </c>
      <c r="H34" s="43">
        <f t="shared" ref="H34:H37" si="33">RADIANS(G34)</f>
        <v>1.6354219904867979</v>
      </c>
      <c r="I34" s="43">
        <f t="shared" ref="I34:I37" si="34">B34*24</f>
        <v>234.86666666666667</v>
      </c>
      <c r="J34" s="49">
        <f t="shared" ref="J34:J37" si="35">RADIANS(I34)</f>
        <v>4.0991966365173491</v>
      </c>
      <c r="K34" s="49">
        <f t="shared" ref="K34:K37" si="36">D34*SIN(H34)</f>
        <v>54.181658562283133</v>
      </c>
      <c r="L34" s="46">
        <f t="shared" ref="L34:L37" si="37">D34*COS(H34)</f>
        <v>-3.5064084816477599</v>
      </c>
      <c r="M34" s="45"/>
      <c r="N34" s="47">
        <f t="shared" ref="N34:N37" si="38">I34+M34</f>
        <v>234.86666666666667</v>
      </c>
      <c r="O34" s="47">
        <f t="shared" ca="1" si="18"/>
        <v>130.69899863043574</v>
      </c>
      <c r="P34" s="47">
        <f t="shared" ref="P34:P37" ca="1" si="39">SUM(N34,O34)</f>
        <v>365.56566529710244</v>
      </c>
      <c r="Q34" s="47">
        <f t="shared" ref="Q34:Q37" ca="1" si="40">RADIANS(P34)</f>
        <v>6.380324491678012</v>
      </c>
      <c r="R34" s="47">
        <f t="shared" ref="R34:R37" ca="1" si="41">K34*SIN(Q34)</f>
        <v>5.2548888136303473</v>
      </c>
      <c r="S34" s="47">
        <f t="shared" ref="S34:S37" ca="1" si="42">K34*COS(Q34)</f>
        <v>53.926229871150937</v>
      </c>
      <c r="T34" s="45">
        <f t="shared" ref="T34:T37" ca="1" si="43">Old_X0+R34</f>
        <v>1085582.1738888137</v>
      </c>
      <c r="U34" s="45">
        <f t="shared" ref="U34:U37" ca="1" si="44">Old_Y0+S34</f>
        <v>453650.52822987118</v>
      </c>
      <c r="V34" s="47">
        <f t="shared" ref="V34:V37" si="45">Old_Z0+HI+L34-E34</f>
        <v>1214.3795915183523</v>
      </c>
      <c r="W34" s="47">
        <f t="shared" ref="W34:W37" ca="1" si="46">IF(ISNUMBER(T34),V34+dZ,"")</f>
        <v>1215.4946060936945</v>
      </c>
      <c r="X34" s="47">
        <f ca="1">IF(AND(A34&gt;=CS_Start,A34&lt;=CS_End),IF(OR(LEFT(UPPER(F34))="D"),"",T34),"")</f>
        <v>1085582.1738888137</v>
      </c>
      <c r="Y34" s="47">
        <f t="shared" ca="1" si="21"/>
        <v>453650.52822987118</v>
      </c>
      <c r="Z34" s="47">
        <f ca="1">IF(X34="",NA(),VALUE((-mB*X34+Y34-bA)/(mA-mB)))</f>
        <v>1085581.4709872177</v>
      </c>
      <c r="AA34" s="47">
        <f ca="1">IF(ISNA(Z34),NA(),VALUE(mA*Z34+bA))</f>
        <v>453650.60223510116</v>
      </c>
      <c r="AB34" s="47">
        <f t="shared" ref="AB34:AB37" ca="1" si="47">IF(ISNUMBER(X34),SQRT((X34-Z34)^2+(Y34-AA34)^2),"")</f>
        <v>0.70678669178369002</v>
      </c>
      <c r="AC34" s="47">
        <f t="shared" ref="AC34:AC37" ca="1" si="48">IF(ISNUMBER(Z34),SQRT(($Z34-OFFSET($Z$20,MATCH(CS_Start,$A$21:$A$51,0),0))^2+($AA34-OFFSET($AA$20,MATCH(CS_Start,$A$21:$A$51,0),0))^2),"")</f>
        <v>47.677165253133211</v>
      </c>
      <c r="AD34" s="47">
        <f t="shared" ref="AD34:AD37" ca="1" si="49">IF(ISNUMBER(X34),W34-Min_Z,"")</f>
        <v>0.51383553898472201</v>
      </c>
      <c r="AE34" s="44">
        <f t="shared" ref="AE34:AE37" ca="1" si="50">ROUND(CONVERT(AC34,"m","ft"),2)</f>
        <v>156.41999999999999</v>
      </c>
      <c r="AF34" s="44">
        <f t="shared" ref="AF34:AF37" ca="1" si="51">ROUND(CONVERT(AD34,"m","ft"),2)</f>
        <v>1.69</v>
      </c>
      <c r="AH34" s="44">
        <v>156.41999999999999</v>
      </c>
      <c r="AI34" s="44">
        <f t="shared" ca="1" si="30"/>
        <v>1.69</v>
      </c>
      <c r="AJ34" s="44" t="str">
        <f t="shared" ca="1" si="31"/>
        <v>156.42,1.69</v>
      </c>
    </row>
    <row r="35" spans="1:36" x14ac:dyDescent="0.25">
      <c r="A35" s="44">
        <v>15</v>
      </c>
      <c r="B35" s="48">
        <v>9.799363425925927</v>
      </c>
      <c r="C35" s="48">
        <v>3.8921296296296295</v>
      </c>
      <c r="D35" s="44">
        <v>55.091999999999999</v>
      </c>
      <c r="E35" s="44">
        <v>1.492</v>
      </c>
      <c r="F35" s="44"/>
      <c r="G35" s="43">
        <f t="shared" si="32"/>
        <v>93.411111111111111</v>
      </c>
      <c r="H35" s="43">
        <f t="shared" si="33"/>
        <v>1.6303314468351475</v>
      </c>
      <c r="I35" s="43">
        <f t="shared" si="34"/>
        <v>235.18472222222226</v>
      </c>
      <c r="J35" s="49">
        <f t="shared" si="35"/>
        <v>4.1047477531660537</v>
      </c>
      <c r="K35" s="49">
        <f t="shared" si="36"/>
        <v>54.994393951876759</v>
      </c>
      <c r="L35" s="46">
        <f t="shared" si="37"/>
        <v>-3.2779716084463897</v>
      </c>
      <c r="M35" s="45"/>
      <c r="N35" s="47">
        <f t="shared" si="38"/>
        <v>235.18472222222226</v>
      </c>
      <c r="O35" s="47">
        <f t="shared" ca="1" si="18"/>
        <v>130.69899863043574</v>
      </c>
      <c r="P35" s="47">
        <f t="shared" ca="1" si="39"/>
        <v>365.88372085265803</v>
      </c>
      <c r="Q35" s="47">
        <f t="shared" ca="1" si="40"/>
        <v>6.3858756083267174</v>
      </c>
      <c r="R35" s="47">
        <f t="shared" ca="1" si="41"/>
        <v>5.6374705385081141</v>
      </c>
      <c r="S35" s="47">
        <f t="shared" ca="1" si="42"/>
        <v>54.704682542371749</v>
      </c>
      <c r="T35" s="45">
        <f t="shared" ca="1" si="43"/>
        <v>1085582.5564705385</v>
      </c>
      <c r="U35" s="45">
        <f t="shared" ca="1" si="44"/>
        <v>453651.30668254237</v>
      </c>
      <c r="V35" s="47">
        <f t="shared" si="45"/>
        <v>1214.6080283915535</v>
      </c>
      <c r="W35" s="47">
        <f t="shared" ca="1" si="46"/>
        <v>1215.7230429668957</v>
      </c>
      <c r="X35" s="47">
        <f ca="1">IF(AND(A35&gt;=CS_Start,A35&lt;=CS_End),IF(OR(LEFT(UPPER(F35))="D"),"",T35),"")</f>
        <v>1085582.5564705385</v>
      </c>
      <c r="Y35" s="47">
        <f t="shared" ca="1" si="21"/>
        <v>453651.30668254237</v>
      </c>
      <c r="Z35" s="47">
        <f ca="1">IF(X35="",NA(),VALUE((-mB*X35+Y35-bA)/(mA-mB)))</f>
        <v>1085581.5562427314</v>
      </c>
      <c r="AA35" s="47">
        <f ca="1">IF(ISNA(Z35),NA(),VALUE(mA*Z35+bA))</f>
        <v>453651.41199186444</v>
      </c>
      <c r="AB35" s="47">
        <f t="shared" ca="1" si="47"/>
        <v>1.0057562922448267</v>
      </c>
      <c r="AC35" s="47">
        <f t="shared" ca="1" si="48"/>
        <v>48.491397725027618</v>
      </c>
      <c r="AD35" s="47">
        <f t="shared" ca="1" si="49"/>
        <v>0.74227241218591189</v>
      </c>
      <c r="AE35" s="44">
        <f t="shared" ca="1" si="50"/>
        <v>159.09</v>
      </c>
      <c r="AF35" s="44">
        <f t="shared" ca="1" si="51"/>
        <v>2.44</v>
      </c>
      <c r="AH35" s="44">
        <v>159.09</v>
      </c>
      <c r="AI35" s="44">
        <f t="shared" ref="AI35:AI37" ca="1" si="52">OFFSET($AF$22,MATCH(AH35,$AE$23:$AE$59,0),0)</f>
        <v>2.44</v>
      </c>
      <c r="AJ35" s="44" t="str">
        <f t="shared" ref="AJ35:AJ37" ca="1" si="53">CONCATENATE(AH35,",",AI35)</f>
        <v>159.09,2.44</v>
      </c>
    </row>
    <row r="36" spans="1:36" x14ac:dyDescent="0.25">
      <c r="A36" s="44">
        <v>16</v>
      </c>
      <c r="B36" s="48">
        <v>9.8019097222222218</v>
      </c>
      <c r="C36" s="48">
        <v>3.8750925925925923</v>
      </c>
      <c r="D36" s="44">
        <v>57.542999999999999</v>
      </c>
      <c r="E36" s="44">
        <v>1.492</v>
      </c>
      <c r="F36" s="44"/>
      <c r="G36" s="43">
        <f t="shared" si="32"/>
        <v>93.002222222222215</v>
      </c>
      <c r="H36" s="43">
        <f t="shared" si="33"/>
        <v>1.623194989449215</v>
      </c>
      <c r="I36" s="43">
        <f t="shared" si="34"/>
        <v>235.24583333333334</v>
      </c>
      <c r="J36" s="49">
        <f t="shared" si="35"/>
        <v>4.1058143432644938</v>
      </c>
      <c r="K36" s="49">
        <f t="shared" si="36"/>
        <v>57.464022471214562</v>
      </c>
      <c r="L36" s="46">
        <f t="shared" si="37"/>
        <v>-3.0137966798951972</v>
      </c>
      <c r="M36" s="45"/>
      <c r="N36" s="47">
        <f t="shared" si="38"/>
        <v>235.24583333333334</v>
      </c>
      <c r="O36" s="47">
        <f t="shared" ca="1" si="18"/>
        <v>130.69899863043574</v>
      </c>
      <c r="P36" s="47">
        <f t="shared" ca="1" si="39"/>
        <v>365.94483196376905</v>
      </c>
      <c r="Q36" s="47">
        <f t="shared" ca="1" si="40"/>
        <v>6.3869421984251566</v>
      </c>
      <c r="R36" s="47">
        <f t="shared" ca="1" si="41"/>
        <v>5.9515962586081308</v>
      </c>
      <c r="S36" s="47">
        <f t="shared" ca="1" si="42"/>
        <v>57.154985614089462</v>
      </c>
      <c r="T36" s="45">
        <f t="shared" ca="1" si="43"/>
        <v>1085582.8705962587</v>
      </c>
      <c r="U36" s="45">
        <f t="shared" ca="1" si="44"/>
        <v>453653.75698561408</v>
      </c>
      <c r="V36" s="47">
        <f t="shared" si="45"/>
        <v>1214.8722033201047</v>
      </c>
      <c r="W36" s="47">
        <f t="shared" ca="1" si="46"/>
        <v>1215.987217895447</v>
      </c>
      <c r="X36" s="47">
        <f ca="1">IF(AND(A36&gt;=CS_Start,A36&lt;=CS_End),IF(OR(LEFT(UPPER(F36))="D"),"",T36),"")</f>
        <v>1085582.8705962587</v>
      </c>
      <c r="Y36" s="47">
        <f t="shared" ca="1" si="21"/>
        <v>453653.75698561408</v>
      </c>
      <c r="Z36" s="47">
        <f ca="1">IF(X36="",NA(),VALUE((-mB*X36+Y36-bA)/(mA-mB)))</f>
        <v>1085581.8148392574</v>
      </c>
      <c r="AA36" s="47">
        <f ca="1">IF(ISNA(Z36),NA(),VALUE(mA*Z36+bA))</f>
        <v>453653.86814134568</v>
      </c>
      <c r="AB36" s="47">
        <f t="shared" ca="1" si="47"/>
        <v>1.0615924087944044</v>
      </c>
      <c r="AC36" s="47">
        <f t="shared" ca="1" si="48"/>
        <v>50.961122899502747</v>
      </c>
      <c r="AD36" s="47">
        <f t="shared" ca="1" si="49"/>
        <v>1.0064473407371679</v>
      </c>
      <c r="AE36" s="44">
        <f t="shared" ca="1" si="50"/>
        <v>167.2</v>
      </c>
      <c r="AF36" s="44">
        <f t="shared" ca="1" si="51"/>
        <v>3.3</v>
      </c>
      <c r="AH36" s="44">
        <v>167.2</v>
      </c>
      <c r="AI36" s="44">
        <f t="shared" ca="1" si="52"/>
        <v>3.3</v>
      </c>
      <c r="AJ36" s="44" t="str">
        <f t="shared" ca="1" si="53"/>
        <v>167.2,3.3</v>
      </c>
    </row>
    <row r="37" spans="1:36" x14ac:dyDescent="0.25">
      <c r="A37" s="44">
        <v>17</v>
      </c>
      <c r="B37" s="48">
        <v>9.8084837962962954</v>
      </c>
      <c r="C37" s="48">
        <v>3.8545486111111114</v>
      </c>
      <c r="D37" s="44">
        <v>63.478999999999999</v>
      </c>
      <c r="E37" s="44">
        <v>1.492</v>
      </c>
      <c r="F37" s="44"/>
      <c r="G37" s="43">
        <f t="shared" si="32"/>
        <v>92.509166666666673</v>
      </c>
      <c r="H37" s="43">
        <f t="shared" si="33"/>
        <v>1.614589546609521</v>
      </c>
      <c r="I37" s="43">
        <f t="shared" si="34"/>
        <v>235.4036111111111</v>
      </c>
      <c r="J37" s="49">
        <f t="shared" si="35"/>
        <v>4.1085680849731956</v>
      </c>
      <c r="K37" s="49">
        <f t="shared" si="36"/>
        <v>63.418138251542473</v>
      </c>
      <c r="L37" s="46">
        <f t="shared" si="37"/>
        <v>-2.7790612998358575</v>
      </c>
      <c r="M37" s="45"/>
      <c r="N37" s="47">
        <f t="shared" si="38"/>
        <v>235.4036111111111</v>
      </c>
      <c r="O37" s="47">
        <f t="shared" ca="1" si="18"/>
        <v>130.69899863043574</v>
      </c>
      <c r="P37" s="47">
        <f t="shared" ca="1" si="39"/>
        <v>366.10260974154687</v>
      </c>
      <c r="Q37" s="47">
        <f t="shared" ca="1" si="40"/>
        <v>6.3896959401338593</v>
      </c>
      <c r="R37" s="47">
        <f t="shared" ca="1" si="41"/>
        <v>6.7419418110407063</v>
      </c>
      <c r="S37" s="47">
        <f t="shared" ca="1" si="42"/>
        <v>63.05875418931376</v>
      </c>
      <c r="T37" s="45">
        <f t="shared" ca="1" si="43"/>
        <v>1085583.660941811</v>
      </c>
      <c r="U37" s="45">
        <f t="shared" ca="1" si="44"/>
        <v>453659.6607541893</v>
      </c>
      <c r="V37" s="47">
        <f t="shared" si="45"/>
        <v>1215.1069387001642</v>
      </c>
      <c r="W37" s="47">
        <f t="shared" ca="1" si="46"/>
        <v>1216.2219532755064</v>
      </c>
      <c r="X37" s="47">
        <f ca="1">IF(AND(A37&gt;=CS_Start,A37&lt;=CS_End),IF(OR(LEFT(UPPER(F37))="D"),"",T37),"")</f>
        <v>1085583.660941811</v>
      </c>
      <c r="Y37" s="47">
        <f t="shared" ca="1" si="21"/>
        <v>453659.6607541893</v>
      </c>
      <c r="Z37" s="47">
        <f ca="1">IF(X37="",NA(),VALUE((-mB*X37+Y37-bA)/(mA-mB)))</f>
        <v>1085582.4382697751</v>
      </c>
      <c r="AA37" s="47">
        <f ca="1">IF(ISNA(Z37),NA(),VALUE(mA*Z37+bA))</f>
        <v>453659.78948362544</v>
      </c>
      <c r="AB37" s="47">
        <f t="shared" ca="1" si="47"/>
        <v>1.229430020433729</v>
      </c>
      <c r="AC37" s="47">
        <f t="shared" ca="1" si="48"/>
        <v>56.915193776183735</v>
      </c>
      <c r="AD37" s="47">
        <f t="shared" ca="1" si="49"/>
        <v>1.2411827207965871</v>
      </c>
      <c r="AE37" s="44">
        <f t="shared" ca="1" si="50"/>
        <v>186.73</v>
      </c>
      <c r="AF37" s="44">
        <f t="shared" ca="1" si="51"/>
        <v>4.07</v>
      </c>
      <c r="AH37" s="44">
        <v>186.73</v>
      </c>
      <c r="AI37" s="44">
        <f t="shared" ca="1" si="52"/>
        <v>4.07</v>
      </c>
      <c r="AJ37" s="44" t="str">
        <f t="shared" ca="1" si="53"/>
        <v>186.73,4.07</v>
      </c>
    </row>
    <row r="38" spans="1:36" x14ac:dyDescent="0.25">
      <c r="A38" s="44">
        <v>18</v>
      </c>
      <c r="B38" s="48">
        <v>9.8031712962962967</v>
      </c>
      <c r="C38" s="48">
        <v>3.8350578703703704</v>
      </c>
      <c r="D38" s="44">
        <v>65.747</v>
      </c>
      <c r="E38" s="44">
        <v>1.492</v>
      </c>
      <c r="F38" s="44"/>
      <c r="G38" s="43">
        <f t="shared" ref="G38:G39" si="54">C38*24</f>
        <v>92.041388888888889</v>
      </c>
      <c r="H38" s="43">
        <f t="shared" ref="H38:H39" si="55">RADIANS(G38)</f>
        <v>1.6064252842196365</v>
      </c>
      <c r="I38" s="43">
        <f t="shared" ref="I38:I39" si="56">B38*24</f>
        <v>235.27611111111111</v>
      </c>
      <c r="J38" s="49">
        <f t="shared" ref="J38:J39" si="57">RADIANS(I38)</f>
        <v>4.1063427901769032</v>
      </c>
      <c r="K38" s="49">
        <f t="shared" ref="K38:K39" si="58">D38*SIN(H38)</f>
        <v>65.705274050191917</v>
      </c>
      <c r="L38" s="46">
        <f t="shared" ref="L38:L39" si="59">D38*COS(H38)</f>
        <v>-2.3420014921382397</v>
      </c>
      <c r="M38" s="45"/>
      <c r="N38" s="47">
        <f t="shared" ref="N38:N39" si="60">I38+M38</f>
        <v>235.27611111111111</v>
      </c>
      <c r="O38" s="47">
        <f t="shared" ca="1" si="18"/>
        <v>130.69899863043574</v>
      </c>
      <c r="P38" s="47">
        <f t="shared" ref="P38:P39" ca="1" si="61">SUM(N38,O38)</f>
        <v>365.97510974154682</v>
      </c>
      <c r="Q38" s="47">
        <f t="shared" ref="Q38:Q39" ca="1" si="62">RADIANS(P38)</f>
        <v>6.387470645337566</v>
      </c>
      <c r="R38" s="47">
        <f t="shared" ref="R38:R39" ca="1" si="63">K38*SIN(Q38)</f>
        <v>6.839683556555765</v>
      </c>
      <c r="S38" s="47">
        <f t="shared" ref="S38:S39" ca="1" si="64">K38*COS(Q38)</f>
        <v>65.348311124749074</v>
      </c>
      <c r="T38" s="45">
        <f t="shared" ref="T38:T39" ca="1" si="65">Old_X0+R38</f>
        <v>1085583.7586835565</v>
      </c>
      <c r="U38" s="45">
        <f t="shared" ref="U38:U39" ca="1" si="66">Old_Y0+S38</f>
        <v>453661.95031112479</v>
      </c>
      <c r="V38" s="47">
        <f t="shared" ref="V38:V39" si="67">Old_Z0+HI+L38-E38</f>
        <v>1215.5439985078617</v>
      </c>
      <c r="W38" s="47">
        <f t="shared" ref="W38:W39" ca="1" si="68">IF(ISNUMBER(T38),V38+dZ,"")</f>
        <v>1216.6590130832039</v>
      </c>
      <c r="X38" s="47">
        <f ca="1">IF(AND(A38&gt;=CS_Start,A38&lt;=CS_End),IF(OR(LEFT(UPPER(F38))="D"),"",T38),"")</f>
        <v>1085583.7586835565</v>
      </c>
      <c r="Y38" s="47">
        <f t="shared" ref="Y38:Y39" ca="1" si="69">IF(ISNUMBER(X38),U38,"")</f>
        <v>453661.95031112479</v>
      </c>
      <c r="Z38" s="47">
        <f ca="1">IF(X38="",NA(),VALUE((-mB*X38+Y38-bA)/(mA-mB)))</f>
        <v>1085582.6777553183</v>
      </c>
      <c r="AA38" s="47">
        <f ca="1">IF(ISNA(Z38),NA(),VALUE(mA*Z38+bA))</f>
        <v>453662.06411701813</v>
      </c>
      <c r="AB38" s="47">
        <f t="shared" ref="AB38:AB39" ca="1" si="70">IF(ISNUMBER(X38),SQRT((X38-Z38)^2+(Y38-AA38)^2),"")</f>
        <v>1.0869027726988651</v>
      </c>
      <c r="AC38" s="47">
        <f t="shared" ref="AC38:AC39" ca="1" si="71">IF(ISNUMBER(Z38),SQRT(($Z38-OFFSET($Z$20,MATCH(CS_Start,$A$21:$A$51,0),0))^2+($AA38-OFFSET($AA$20,MATCH(CS_Start,$A$21:$A$51,0),0))^2),"")</f>
        <v>59.202399581650248</v>
      </c>
      <c r="AD38" s="47">
        <f t="shared" ref="AD38:AD39" ca="1" si="72">IF(ISNUMBER(X38),W38-Min_Z,"")</f>
        <v>1.6782425284941382</v>
      </c>
      <c r="AE38" s="44">
        <f t="shared" ref="AE38:AE39" ca="1" si="73">ROUND(CONVERT(AC38,"m","ft"),2)</f>
        <v>194.23</v>
      </c>
      <c r="AF38" s="44">
        <f t="shared" ref="AF38:AF39" ca="1" si="74">ROUND(CONVERT(AD38,"m","ft"),2)</f>
        <v>5.51</v>
      </c>
      <c r="AH38" s="44">
        <v>194.23</v>
      </c>
      <c r="AI38" s="44">
        <f t="shared" ref="AI38:AI41" ca="1" si="75">OFFSET($AF$22,MATCH(AH38,$AE$23:$AE$59,0),0)</f>
        <v>5.51</v>
      </c>
      <c r="AJ38" s="44" t="str">
        <f t="shared" ref="AJ38:AJ41" ca="1" si="76">CONCATENATE(AH38,",",AI38)</f>
        <v>194.23,5.51</v>
      </c>
    </row>
    <row r="39" spans="1:36" x14ac:dyDescent="0.25">
      <c r="A39" s="44">
        <v>19</v>
      </c>
      <c r="B39" s="48">
        <v>9.8089004629629635</v>
      </c>
      <c r="C39" s="48">
        <v>3.8154745370370371</v>
      </c>
      <c r="D39" s="44">
        <v>76.667000000000002</v>
      </c>
      <c r="E39" s="44">
        <v>1.492</v>
      </c>
      <c r="F39" s="44"/>
      <c r="G39" s="43">
        <f t="shared" si="54"/>
        <v>91.57138888888889</v>
      </c>
      <c r="H39" s="43">
        <f t="shared" si="55"/>
        <v>1.598222236735263</v>
      </c>
      <c r="I39" s="43">
        <f t="shared" si="56"/>
        <v>235.41361111111112</v>
      </c>
      <c r="J39" s="49">
        <f t="shared" si="57"/>
        <v>4.1087426178983959</v>
      </c>
      <c r="K39" s="49">
        <f t="shared" si="58"/>
        <v>76.638168094722189</v>
      </c>
      <c r="L39" s="46">
        <f t="shared" si="59"/>
        <v>-2.1023986503767023</v>
      </c>
      <c r="M39" s="45"/>
      <c r="N39" s="47">
        <f t="shared" si="60"/>
        <v>235.41361111111112</v>
      </c>
      <c r="O39" s="47">
        <f t="shared" ca="1" si="18"/>
        <v>130.69899863043574</v>
      </c>
      <c r="P39" s="47">
        <f t="shared" ca="1" si="61"/>
        <v>366.11260974154686</v>
      </c>
      <c r="Q39" s="47">
        <f t="shared" ca="1" si="62"/>
        <v>6.3898704730590588</v>
      </c>
      <c r="R39" s="47">
        <f t="shared" ca="1" si="63"/>
        <v>8.1606547078447687</v>
      </c>
      <c r="S39" s="47">
        <f t="shared" ca="1" si="64"/>
        <v>76.202444341728466</v>
      </c>
      <c r="T39" s="45">
        <f t="shared" ca="1" si="65"/>
        <v>1085585.0796547078</v>
      </c>
      <c r="U39" s="45">
        <f t="shared" ca="1" si="66"/>
        <v>453672.80444434175</v>
      </c>
      <c r="V39" s="47">
        <f t="shared" si="67"/>
        <v>1215.7836013496233</v>
      </c>
      <c r="W39" s="47">
        <f t="shared" ca="1" si="68"/>
        <v>1216.8986159249655</v>
      </c>
      <c r="X39" s="47">
        <f ca="1">IF(AND(A39&gt;=CS_Start,A39&lt;=CS_End),IF(OR(LEFT(UPPER(F39))="D"),"",T39),"")</f>
        <v>1085585.0796547078</v>
      </c>
      <c r="Y39" s="47">
        <f t="shared" ca="1" si="69"/>
        <v>453672.80444434175</v>
      </c>
      <c r="Z39" s="47">
        <f ca="1">IF(X39="",NA(),VALUE((-mB*X39+Y39-bA)/(mA-mB)))</f>
        <v>1085583.8224899743</v>
      </c>
      <c r="AA39" s="47">
        <f ca="1">IF(ISNA(Z39),NA(),VALUE(mA*Z39+bA))</f>
        <v>453672.93680535443</v>
      </c>
      <c r="AB39" s="47">
        <f t="shared" ca="1" si="70"/>
        <v>1.2641133670664284</v>
      </c>
      <c r="AC39" s="47">
        <f t="shared" ca="1" si="71"/>
        <v>70.135183723434636</v>
      </c>
      <c r="AD39" s="47">
        <f t="shared" ca="1" si="72"/>
        <v>1.9178453702556908</v>
      </c>
      <c r="AE39" s="44">
        <f t="shared" ca="1" si="73"/>
        <v>230.1</v>
      </c>
      <c r="AF39" s="44">
        <f t="shared" ca="1" si="74"/>
        <v>6.29</v>
      </c>
      <c r="AH39" s="44">
        <v>230.1</v>
      </c>
      <c r="AI39" s="44">
        <f t="shared" ca="1" si="75"/>
        <v>6.29</v>
      </c>
      <c r="AJ39" s="44" t="str">
        <f t="shared" ca="1" si="76"/>
        <v>230.1,6.29</v>
      </c>
    </row>
    <row r="40" spans="1:36" x14ac:dyDescent="0.25">
      <c r="A40" s="44">
        <v>20</v>
      </c>
      <c r="B40" s="48">
        <v>9.8143981481481486</v>
      </c>
      <c r="C40" s="48">
        <v>3.8026620370370368</v>
      </c>
      <c r="D40" s="44">
        <v>79.024000000000001</v>
      </c>
      <c r="E40" s="44">
        <v>1.492</v>
      </c>
      <c r="F40" s="44"/>
      <c r="G40" s="43">
        <f t="shared" ref="G40:G43" si="77">C40*24</f>
        <v>91.263888888888886</v>
      </c>
      <c r="H40" s="43">
        <f t="shared" ref="H40:H43" si="78">RADIANS(G40)</f>
        <v>1.5928553492853805</v>
      </c>
      <c r="I40" s="43">
        <f t="shared" ref="I40:I43" si="79">B40*24</f>
        <v>235.54555555555555</v>
      </c>
      <c r="J40" s="49">
        <f t="shared" ref="J40:J43" si="80">RADIANS(I40)</f>
        <v>4.1110454828836653</v>
      </c>
      <c r="K40" s="49">
        <f t="shared" ref="K40:K43" si="81">D40*SIN(H40)</f>
        <v>79.004774221726549</v>
      </c>
      <c r="L40" s="46">
        <f t="shared" ref="L40:L43" si="82">D40*COS(H40)</f>
        <v>-1.7430508237032039</v>
      </c>
      <c r="M40" s="45"/>
      <c r="N40" s="47">
        <f t="shared" ref="N40:N43" si="83">I40+M40</f>
        <v>235.54555555555555</v>
      </c>
      <c r="O40" s="47">
        <f t="shared" ca="1" si="18"/>
        <v>130.69899863043574</v>
      </c>
      <c r="P40" s="47">
        <f t="shared" ref="P40:P43" ca="1" si="84">SUM(N40,O40)</f>
        <v>366.24455418599132</v>
      </c>
      <c r="Q40" s="47">
        <f t="shared" ref="Q40:Q43" ca="1" si="85">RADIANS(P40)</f>
        <v>6.3921733380443291</v>
      </c>
      <c r="R40" s="47">
        <f t="shared" ref="R40:R43" ca="1" si="86">K40*SIN(Q40)</f>
        <v>8.5935382640085685</v>
      </c>
      <c r="S40" s="47">
        <f t="shared" ref="S40:S43" ca="1" si="87">K40*COS(Q40)</f>
        <v>78.536013713015819</v>
      </c>
      <c r="T40" s="45">
        <f t="shared" ref="T40:T43" ca="1" si="88">Old_X0+R40</f>
        <v>1085585.512538264</v>
      </c>
      <c r="U40" s="45">
        <f t="shared" ref="U40:U43" ca="1" si="89">Old_Y0+S40</f>
        <v>453675.138013713</v>
      </c>
      <c r="V40" s="47">
        <f t="shared" ref="V40:V43" si="90">Old_Z0+HI+L40-E40</f>
        <v>1216.1429491762967</v>
      </c>
      <c r="W40" s="47">
        <f t="shared" ref="W40:W43" ca="1" si="91">IF(ISNUMBER(T40),V40+dZ,"")</f>
        <v>1217.257963751639</v>
      </c>
      <c r="X40" s="47">
        <f ca="1">IF(AND(A40&gt;=CS_Start,A40&lt;=CS_End),IF(OR(LEFT(UPPER(F40))="D"),"",T40),"")</f>
        <v>1085585.512538264</v>
      </c>
      <c r="Y40" s="47">
        <f t="shared" ref="Y40:Y43" ca="1" si="92">IF(ISNUMBER(X40),U40,"")</f>
        <v>453675.138013713</v>
      </c>
      <c r="Z40" s="47">
        <f ca="1">IF(X40="",NA(),VALUE((-mB*X40+Y40-bA)/(mA-mB)))</f>
        <v>1085584.0702328964</v>
      </c>
      <c r="AA40" s="47">
        <f ca="1">IF(ISNA(Z40),NA(),VALUE(mA*Z40+bA))</f>
        <v>453675.28986731917</v>
      </c>
      <c r="AB40" s="47">
        <f t="shared" ref="AB40:AB43" ca="1" si="93">IF(ISNUMBER(X40),SQRT((X40-Z40)^2+(Y40-AA40)^2),"")</f>
        <v>1.4502773153168129</v>
      </c>
      <c r="AC40" s="47">
        <f t="shared" ref="AC40:AC43" ca="1" si="94">IF(ISNUMBER(Z40),SQRT(($Z40-OFFSET($Z$20,MATCH(CS_Start,$A$21:$A$51,0),0))^2+($AA40-OFFSET($AA$20,MATCH(CS_Start,$A$21:$A$51,0),0))^2),"")</f>
        <v>72.501251593405385</v>
      </c>
      <c r="AD40" s="47">
        <f t="shared" ref="AD40:AD43" ca="1" si="95">IF(ISNUMBER(X40),W40-Min_Z,"")</f>
        <v>2.2771931969291472</v>
      </c>
      <c r="AE40" s="44">
        <f t="shared" ref="AE40:AE43" ca="1" si="96">ROUND(CONVERT(AC40,"m","ft"),2)</f>
        <v>237.86</v>
      </c>
      <c r="AF40" s="44">
        <f t="shared" ref="AF40:AF43" ca="1" si="97">ROUND(CONVERT(AD40,"m","ft"),2)</f>
        <v>7.47</v>
      </c>
      <c r="AH40" s="44">
        <v>237.86</v>
      </c>
      <c r="AI40" s="44">
        <f t="shared" ca="1" si="75"/>
        <v>7.47</v>
      </c>
      <c r="AJ40" s="44" t="str">
        <f t="shared" ca="1" si="76"/>
        <v>237.86,7.47</v>
      </c>
    </row>
    <row r="41" spans="1:36" x14ac:dyDescent="0.25">
      <c r="A41" s="44">
        <v>21</v>
      </c>
      <c r="B41" s="48">
        <v>9.7216203703703705</v>
      </c>
      <c r="C41" s="48">
        <v>3.7829629629629626</v>
      </c>
      <c r="D41" s="44">
        <v>173.81700000000001</v>
      </c>
      <c r="E41" s="44">
        <v>1.492</v>
      </c>
      <c r="F41" s="44"/>
      <c r="G41" s="43">
        <f t="shared" si="77"/>
        <v>90.791111111111107</v>
      </c>
      <c r="H41" s="43">
        <f t="shared" si="78"/>
        <v>1.584603820432896</v>
      </c>
      <c r="I41" s="43">
        <f t="shared" si="79"/>
        <v>233.31888888888889</v>
      </c>
      <c r="J41" s="49">
        <f t="shared" si="80"/>
        <v>4.072182818205925</v>
      </c>
      <c r="K41" s="49">
        <f t="shared" si="81"/>
        <v>173.80043142881195</v>
      </c>
      <c r="L41" s="46">
        <f t="shared" si="82"/>
        <v>-2.3999008643777828</v>
      </c>
      <c r="M41" s="45"/>
      <c r="N41" s="47">
        <f t="shared" si="83"/>
        <v>233.31888888888889</v>
      </c>
      <c r="O41" s="47">
        <f t="shared" ca="1" si="18"/>
        <v>130.69899863043574</v>
      </c>
      <c r="P41" s="47">
        <f t="shared" ca="1" si="84"/>
        <v>364.01788751932463</v>
      </c>
      <c r="Q41" s="47">
        <f t="shared" ca="1" si="85"/>
        <v>6.3533106733665887</v>
      </c>
      <c r="R41" s="47">
        <f t="shared" ca="1" si="86"/>
        <v>12.177832283912235</v>
      </c>
      <c r="S41" s="47">
        <f t="shared" ca="1" si="87"/>
        <v>173.37326889029367</v>
      </c>
      <c r="T41" s="45">
        <f t="shared" ca="1" si="88"/>
        <v>1085589.096832284</v>
      </c>
      <c r="U41" s="45">
        <f t="shared" ca="1" si="89"/>
        <v>453769.97526889032</v>
      </c>
      <c r="V41" s="47">
        <f t="shared" si="90"/>
        <v>1215.4860991356222</v>
      </c>
      <c r="W41" s="47">
        <f t="shared" ca="1" si="91"/>
        <v>1216.6011137109645</v>
      </c>
      <c r="X41" s="47">
        <f ca="1">IF(AND(A41&gt;=CS_Start,A41&lt;=CS_End),IF(OR(LEFT(UPPER(F41))="D"),"",T41),"")</f>
        <v>1085589.096832284</v>
      </c>
      <c r="Y41" s="47">
        <f t="shared" ca="1" si="92"/>
        <v>453769.97526889032</v>
      </c>
      <c r="Z41" s="47">
        <f ca="1">IF(X41="",NA(),VALUE((-mB*X41+Y41-bA)/(mA-mB)))</f>
        <v>1085593.9850316129</v>
      </c>
      <c r="AA41" s="47">
        <f ca="1">IF(ISNA(Z41),NA(),VALUE(mA*Z41+bA))</f>
        <v>453769.46061317623</v>
      </c>
      <c r="AB41" s="47">
        <f t="shared" ca="1" si="93"/>
        <v>4.9152175112822079</v>
      </c>
      <c r="AC41" s="47">
        <f t="shared" ca="1" si="94"/>
        <v>167.1925004438913</v>
      </c>
      <c r="AD41" s="47">
        <f t="shared" ca="1" si="95"/>
        <v>1.6203431562546484</v>
      </c>
      <c r="AE41" s="44">
        <f t="shared" ca="1" si="96"/>
        <v>548.53</v>
      </c>
      <c r="AF41" s="44">
        <f t="shared" ca="1" si="97"/>
        <v>5.32</v>
      </c>
      <c r="AH41" s="2">
        <v>548.53</v>
      </c>
      <c r="AI41" s="44">
        <f t="shared" ca="1" si="75"/>
        <v>5.32</v>
      </c>
      <c r="AJ41" s="44" t="str">
        <f t="shared" ca="1" si="76"/>
        <v>548.53,5.32</v>
      </c>
    </row>
    <row r="42" spans="1:36" x14ac:dyDescent="0.25">
      <c r="A42" s="44">
        <v>22</v>
      </c>
      <c r="B42" s="48">
        <v>10.832164351851851</v>
      </c>
      <c r="C42" s="48">
        <v>3.7024537037037035</v>
      </c>
      <c r="D42" s="44">
        <v>23.553000000000001</v>
      </c>
      <c r="E42" s="44">
        <v>1.492</v>
      </c>
      <c r="F42" s="49" t="s">
        <v>69</v>
      </c>
      <c r="G42" s="43">
        <f t="shared" si="77"/>
        <v>88.858888888888885</v>
      </c>
      <c r="H42" s="43">
        <f t="shared" si="78"/>
        <v>1.5508801807749168</v>
      </c>
      <c r="I42" s="43">
        <f t="shared" si="79"/>
        <v>259.97194444444443</v>
      </c>
      <c r="J42" s="49">
        <f t="shared" si="80"/>
        <v>4.5373663933673356</v>
      </c>
      <c r="K42" s="49">
        <f t="shared" si="81"/>
        <v>23.548328971850609</v>
      </c>
      <c r="L42" s="46">
        <f t="shared" si="82"/>
        <v>0.46905397717234693</v>
      </c>
      <c r="M42" s="45"/>
      <c r="N42" s="47">
        <f t="shared" si="83"/>
        <v>259.97194444444443</v>
      </c>
      <c r="O42" s="47">
        <f t="shared" ca="1" si="18"/>
        <v>130.69899863043574</v>
      </c>
      <c r="P42" s="47">
        <f t="shared" ca="1" si="84"/>
        <v>390.67094307488014</v>
      </c>
      <c r="Q42" s="47">
        <f t="shared" ca="1" si="85"/>
        <v>6.8184942485279985</v>
      </c>
      <c r="R42" s="47">
        <f t="shared" ca="1" si="86"/>
        <v>12.012162446214047</v>
      </c>
      <c r="S42" s="47">
        <f t="shared" ca="1" si="87"/>
        <v>20.254178599298061</v>
      </c>
      <c r="T42" s="45">
        <f t="shared" ca="1" si="88"/>
        <v>1085588.9311624463</v>
      </c>
      <c r="U42" s="45">
        <f t="shared" ca="1" si="89"/>
        <v>453616.85617859929</v>
      </c>
      <c r="V42" s="47">
        <f t="shared" si="90"/>
        <v>1218.3550539771722</v>
      </c>
      <c r="W42" s="47">
        <f t="shared" ca="1" si="91"/>
        <v>1219.4700685525145</v>
      </c>
      <c r="X42" s="47" t="str">
        <f>IF(AND(A42&gt;=CS_Start,A42&lt;=CS_End),IF(OR(LEFT(UPPER(F42))="D"),"",T42),"")</f>
        <v/>
      </c>
      <c r="Y42" s="47" t="str">
        <f t="shared" si="92"/>
        <v/>
      </c>
      <c r="Z42" s="47" t="e">
        <f>IF(X42="",NA(),VALUE((-mB*X42+Y42-bA)/(mA-mB)))</f>
        <v>#N/A</v>
      </c>
      <c r="AA42" s="47" t="e">
        <f>IF(ISNA(Z42),NA(),VALUE(mA*Z42+bA))</f>
        <v>#N/A</v>
      </c>
      <c r="AB42" s="47" t="str">
        <f t="shared" si="93"/>
        <v/>
      </c>
      <c r="AC42" s="47" t="str">
        <f t="shared" ca="1" si="94"/>
        <v/>
      </c>
      <c r="AD42" s="47" t="str">
        <f t="shared" si="95"/>
        <v/>
      </c>
      <c r="AE42" s="44" t="e">
        <f t="shared" ca="1" si="96"/>
        <v>#VALUE!</v>
      </c>
      <c r="AF42" s="44" t="e">
        <f t="shared" si="97"/>
        <v>#VALUE!</v>
      </c>
    </row>
    <row r="43" spans="1:36" x14ac:dyDescent="0.25">
      <c r="A43" s="44">
        <v>23</v>
      </c>
      <c r="B43" s="48">
        <v>3.3982407407407407</v>
      </c>
      <c r="C43" s="48">
        <v>3.6704282407407405</v>
      </c>
      <c r="D43" s="44">
        <v>16.731000000000002</v>
      </c>
      <c r="E43" s="44">
        <v>1.492</v>
      </c>
      <c r="F43" s="49" t="s">
        <v>70</v>
      </c>
      <c r="G43" s="43">
        <f t="shared" si="77"/>
        <v>88.090277777777771</v>
      </c>
      <c r="H43" s="43">
        <f t="shared" si="78"/>
        <v>1.5374653862186158</v>
      </c>
      <c r="I43" s="43">
        <f t="shared" si="79"/>
        <v>81.557777777777773</v>
      </c>
      <c r="J43" s="49">
        <f t="shared" si="80"/>
        <v>1.4234517528320862</v>
      </c>
      <c r="K43" s="49">
        <f t="shared" si="81"/>
        <v>16.721707194761912</v>
      </c>
      <c r="L43" s="46">
        <f t="shared" si="82"/>
        <v>0.55755671697849996</v>
      </c>
      <c r="M43" s="45"/>
      <c r="N43" s="47">
        <f t="shared" si="83"/>
        <v>81.557777777777773</v>
      </c>
      <c r="O43" s="47">
        <f t="shared" ca="1" si="18"/>
        <v>130.69899863043574</v>
      </c>
      <c r="P43" s="47">
        <f t="shared" ca="1" si="84"/>
        <v>212.25677640821351</v>
      </c>
      <c r="Q43" s="47">
        <f t="shared" ca="1" si="85"/>
        <v>3.7045796079927493</v>
      </c>
      <c r="R43" s="47">
        <f t="shared" ca="1" si="86"/>
        <v>-8.9246182124595101</v>
      </c>
      <c r="S43" s="47">
        <f t="shared" ca="1" si="87"/>
        <v>-14.140957579640364</v>
      </c>
      <c r="T43" s="45">
        <f t="shared" ca="1" si="88"/>
        <v>1085567.9943817875</v>
      </c>
      <c r="U43" s="45">
        <f t="shared" ca="1" si="89"/>
        <v>453582.46104242036</v>
      </c>
      <c r="V43" s="47">
        <f t="shared" si="90"/>
        <v>1218.4435567169785</v>
      </c>
      <c r="W43" s="47">
        <f t="shared" ca="1" si="91"/>
        <v>1219.5585712923207</v>
      </c>
      <c r="X43" s="47" t="str">
        <f>IF(AND(A43&gt;=CS_Start,A43&lt;=CS_End),IF(OR(LEFT(UPPER(F43))="D"),"",T43),"")</f>
        <v/>
      </c>
      <c r="Y43" s="47" t="str">
        <f t="shared" si="92"/>
        <v/>
      </c>
      <c r="Z43" s="47" t="e">
        <f>IF(X43="",NA(),VALUE((-mB*X43+Y43-bA)/(mA-mB)))</f>
        <v>#N/A</v>
      </c>
      <c r="AA43" s="47" t="e">
        <f>IF(ISNA(Z43),NA(),VALUE(mA*Z43+bA))</f>
        <v>#N/A</v>
      </c>
      <c r="AB43" s="47" t="str">
        <f t="shared" si="93"/>
        <v/>
      </c>
      <c r="AC43" s="47" t="str">
        <f t="shared" ca="1" si="94"/>
        <v/>
      </c>
      <c r="AD43" s="47" t="str">
        <f t="shared" si="95"/>
        <v/>
      </c>
      <c r="AE43" s="44" t="e">
        <f t="shared" ca="1" si="96"/>
        <v>#VALUE!</v>
      </c>
      <c r="AF43" s="44" t="e">
        <f t="shared" si="97"/>
        <v>#VALUE!</v>
      </c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41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3561604.0649606301</v>
      </c>
      <c r="C2" s="33">
        <f>IF(ISNUMBER(Calculations!O4),CONVERT(Calculations!O4,Units_In,Units_Out),"")</f>
        <v>1488177.8280839894</v>
      </c>
      <c r="D2" s="33" t="s">
        <v>60</v>
      </c>
      <c r="E2" s="10" t="str">
        <f>CONCATENATE("0503 ",B2,"EUSft ",C2,"NUSft")</f>
        <v>0503 3561604.06496063EUSft 1488177.82808399NUSft</v>
      </c>
      <c r="F2" s="34">
        <v>98</v>
      </c>
      <c r="G2" s="10" t="str">
        <f>IF(F2=98,"Lime",IF(F2=94,"Yellow",""))</f>
        <v>Lime</v>
      </c>
      <c r="H2" s="10" t="str">
        <f>Calculations!$A$1</f>
        <v>CSS17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3561646.3451443571</v>
      </c>
      <c r="C3" s="33">
        <f>IF(ISNUMBER(Calculations!O5),CONVERT(Calculations!O5,Units_In,Units_Out),"")</f>
        <v>1488114.0846456692</v>
      </c>
      <c r="D3" s="33" t="s">
        <v>60</v>
      </c>
      <c r="E3" s="10" t="str">
        <f t="shared" ref="E3:E4" si="0">CONCATENATE("0503 ",B3,"EUSft ",C3,"NUSft")</f>
        <v>0503 3561646.34514436EUSft 1488114.08464567NUSft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CSS17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3561564.5931758531</v>
      </c>
      <c r="C4" s="33">
        <f>IF(ISNUMBER(Calculations!O6),CONVERT(Calculations!O6,Units_In,Units_Out),"")</f>
        <v>1488138.0085301837</v>
      </c>
      <c r="D4" s="33" t="s">
        <v>60</v>
      </c>
      <c r="E4" s="10" t="str">
        <f t="shared" si="0"/>
        <v>0503 3561564.59317585EUSft 1488138.00853018NUSft</v>
      </c>
      <c r="F4" s="34">
        <v>98</v>
      </c>
      <c r="G4" s="10" t="str">
        <f t="shared" si="1"/>
        <v>Lime</v>
      </c>
      <c r="H4" s="10" t="str">
        <f>Calculations!$A$1</f>
        <v>CSS17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3561662.0646366738</v>
      </c>
      <c r="C5" s="33">
        <f ca="1">IF(ISNUMBER(A5),CONVERT(Calculations!U21,Units_In,Units_Out),"")</f>
        <v>1488127.9427451526</v>
      </c>
      <c r="D5" s="33" t="str">
        <f>IF(ISTEXT(Calculations!F21),Calculations!F21,"")</f>
        <v>BS/ZERO</v>
      </c>
      <c r="E5" t="str">
        <f ca="1">IF(ISNUMBER(A5),CONCATENATE("0503 ",B5,"EUSft ",C5,"NUSft"),"")</f>
        <v>0503 3561662.06463667EUSft 1488127.94274515NUSft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CSS17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3561574.8692494752</v>
      </c>
      <c r="C6" s="33">
        <f ca="1">IF(ISNUMBER(A6),CONVERT(Calculations!U22,Units_In,Units_Out),"")</f>
        <v>1488131.3769292142</v>
      </c>
      <c r="D6" s="33" t="str">
        <f>IF(ISTEXT(Calculations!F22),Calculations!F22,"")</f>
        <v xml:space="preserve">BS </v>
      </c>
      <c r="E6" s="10" t="str">
        <f t="shared" ref="E6:E65" ca="1" si="2">IF(ISNUMBER(A6),CONCATENATE("0503 ",B6,"EUSft ",C6,"NUSft"),"")</f>
        <v>0503 3561574.86924948EUSft 1488131.37692921NUSft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CSS17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3561603.5868324134</v>
      </c>
      <c r="C7" s="33">
        <f ca="1">IF(ISNUMBER(A7),CONVERT(Calculations!U23,Units_In,Units_Out),"")</f>
        <v>1488199.331195828</v>
      </c>
      <c r="D7" s="33" t="str">
        <f>IF(ISTEXT(Calculations!F23),Calculations!F23,"")</f>
        <v/>
      </c>
      <c r="E7" s="10" t="str">
        <f t="shared" ca="1" si="2"/>
        <v>0503 3561603.58683241EUSft 1488199.33119583NUSft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CSS17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3561602.6146615897</v>
      </c>
      <c r="C8" s="33">
        <f ca="1">IF(ISNUMBER(A8),CONVERT(Calculations!U24,Units_In,Units_Out),"")</f>
        <v>1488209.8222670162</v>
      </c>
      <c r="D8" s="33" t="str">
        <f>IF(ISTEXT(Calculations!F24),Calculations!F24,"")</f>
        <v/>
      </c>
      <c r="E8" s="10" t="str">
        <f t="shared" ca="1" si="2"/>
        <v>0503 3561602.61466159EUSft 1488209.82226702NUSft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CSS17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3561602.6276559266</v>
      </c>
      <c r="C9" s="33">
        <f ca="1">IF(ISNUMBER(A9),CONVERT(Calculations!U25,Units_In,Units_Out),"")</f>
        <v>1488217.8867592732</v>
      </c>
      <c r="D9" s="33" t="str">
        <f>IF(ISTEXT(Calculations!F25),Calculations!F25,"")</f>
        <v/>
      </c>
      <c r="E9" s="10" t="str">
        <f t="shared" ca="1" si="2"/>
        <v>0503 3561602.62765593EUSft 1488217.88675927NUSft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CSS17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3561602.435724095</v>
      </c>
      <c r="C10" s="33">
        <f ca="1">IF(ISNUMBER(A10),CONVERT(Calculations!U26,Units_In,Units_Out),"")</f>
        <v>1488219.6275668852</v>
      </c>
      <c r="D10" s="33" t="str">
        <f>IF(ISTEXT(Calculations!F26),Calculations!F26,"")</f>
        <v/>
      </c>
      <c r="E10" s="10" t="str">
        <f t="shared" ca="1" si="2"/>
        <v>0503 3561602.43572409EUSft 1488219.62756689NUSft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CSS17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3561602.5195584595</v>
      </c>
      <c r="C11" s="33">
        <f ca="1">IF(ISNUMBER(A11),CONVERT(Calculations!U27,Units_In,Units_Out),"")</f>
        <v>1488220.5584163691</v>
      </c>
      <c r="D11" s="33" t="str">
        <f>IF(ISTEXT(Calculations!F27),Calculations!F27,"")</f>
        <v/>
      </c>
      <c r="E11" s="10" t="str">
        <f t="shared" ca="1" si="2"/>
        <v>0503 3561602.51955846EUSft 1488220.55841637NUSft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CSS17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3561602.6087731714</v>
      </c>
      <c r="C12" s="33">
        <f ca="1">IF(ISNUMBER(A12),CONVERT(Calculations!U28,Units_In,Units_Out),"")</f>
        <v>1488223.3313010151</v>
      </c>
      <c r="D12" s="33" t="str">
        <f>IF(ISTEXT(Calculations!F28),Calculations!F28,"")</f>
        <v/>
      </c>
      <c r="E12" s="10" t="str">
        <f t="shared" ca="1" si="2"/>
        <v>0503 3561602.60877317EUSft 1488223.33130102NUSft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CSS17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3561602.8472909876</v>
      </c>
      <c r="C13" s="33">
        <f ca="1">IF(ISNUMBER(A13),CONVERT(Calculations!U29,Units_In,Units_Out),"")</f>
        <v>1488226.5248658769</v>
      </c>
      <c r="D13" s="33" t="str">
        <f>IF(ISTEXT(Calculations!F29),Calculations!F29,"")</f>
        <v>WS</v>
      </c>
      <c r="E13" s="10" t="str">
        <f t="shared" ca="1" si="2"/>
        <v>0503 3561602.84729099EUSft 1488226.52486588NUSft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CSS17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3561607.017728765</v>
      </c>
      <c r="C14" s="33">
        <f ca="1">IF(ISNUMBER(A14),CONVERT(Calculations!U30,Units_In,Units_Out),"")</f>
        <v>1488244.6370461083</v>
      </c>
      <c r="D14" s="33" t="str">
        <f>IF(ISTEXT(Calculations!F30),Calculations!F30,"")</f>
        <v>SAND BAR</v>
      </c>
      <c r="E14" s="10" t="str">
        <f t="shared" ca="1" si="2"/>
        <v>0503 3561607.01772877EUSft 1488244.63704611NUSft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CSS17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3561607.5313416412</v>
      </c>
      <c r="C15" s="33">
        <f ca="1">IF(ISNUMBER(A15),CONVERT(Calculations!U31,Units_In,Units_Out),"")</f>
        <v>1488252.7812632259</v>
      </c>
      <c r="D15" s="33" t="str">
        <f>IF(ISTEXT(Calculations!F31),Calculations!F31,"")</f>
        <v>WS</v>
      </c>
      <c r="E15" s="10" t="str">
        <f t="shared" ca="1" si="2"/>
        <v>0503 3561607.53134164EUSft 1488252.78126323NUSft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CSS17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3561616.1458765254</v>
      </c>
      <c r="C16" s="33">
        <f ca="1">IF(ISNUMBER(A16),CONVERT(Calculations!U32,Units_In,Units_Out),"")</f>
        <v>1488308.8547938841</v>
      </c>
      <c r="D16" s="33" t="str">
        <f>IF(ISTEXT(Calculations!F32),Calculations!F32,"")</f>
        <v/>
      </c>
      <c r="E16" s="10" t="str">
        <f t="shared" ca="1" si="2"/>
        <v>0503 3561616.14587653EUSft 1488308.85479388NUSft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CSS17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3561620.213078442</v>
      </c>
      <c r="C17" s="33">
        <f ca="1">IF(ISNUMBER(A17),CONVERT(Calculations!U33,Units_In,Units_Out),"")</f>
        <v>1488353.3856115195</v>
      </c>
      <c r="D17" s="33" t="str">
        <f>IF(ISTEXT(Calculations!F33),Calculations!F33,"")</f>
        <v>WS</v>
      </c>
      <c r="E17" s="10" t="str">
        <f t="shared" ca="1" si="2"/>
        <v>0503 3561620.21307844EUSft 1488353.38561152NUSft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CSS17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3561621.3054094943</v>
      </c>
      <c r="C18" s="33">
        <f ca="1">IF(ISNUMBER(A18),CONVERT(Calculations!U34,Units_In,Units_Out),"")</f>
        <v>1488354.7514103386</v>
      </c>
      <c r="D18" s="33" t="str">
        <f>IF(ISTEXT(Calculations!F34),Calculations!F34,"")</f>
        <v/>
      </c>
      <c r="E18" s="10" t="str">
        <f t="shared" ca="1" si="2"/>
        <v>0503 3561621.30540949EUSft 1488354.75141034NUSft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CSS17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3561622.5605988791</v>
      </c>
      <c r="C19" s="33">
        <f ca="1">IF(ISNUMBER(A19),CONVERT(Calculations!U35,Units_In,Units_Out),"")</f>
        <v>1488357.3053889186</v>
      </c>
      <c r="D19" s="33" t="str">
        <f>IF(ISTEXT(Calculations!F35),Calculations!F35,"")</f>
        <v/>
      </c>
      <c r="E19" s="10" t="str">
        <f t="shared" ca="1" si="2"/>
        <v>0503 3561622.56059888EUSft 1488357.30538892NUSft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CSS17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3561623.5911950744</v>
      </c>
      <c r="C20" s="33">
        <f ca="1">IF(ISNUMBER(A20),CONVERT(Calculations!U36,Units_In,Units_Out),"")</f>
        <v>1488365.3444409911</v>
      </c>
      <c r="D20" s="33" t="str">
        <f>IF(ISTEXT(Calculations!F36),Calculations!F36,"")</f>
        <v/>
      </c>
      <c r="E20" s="10" t="str">
        <f t="shared" ca="1" si="2"/>
        <v>0503 3561623.59119507EUSft 1488365.34444099NUSft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CSS17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3561626.1841922933</v>
      </c>
      <c r="C21" s="33">
        <f ca="1">IF(ISNUMBER(A21),CONVERT(Calculations!U37,Units_In,Units_Out),"")</f>
        <v>1488384.7137604635</v>
      </c>
      <c r="D21" s="33" t="str">
        <f>IF(ISTEXT(Calculations!F37),Calculations!F37,"")</f>
        <v/>
      </c>
      <c r="E21" s="10" t="str">
        <f t="shared" ca="1" si="2"/>
        <v>0503 3561626.18419229EUSft 1488384.71376046NUSft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CSS17</v>
      </c>
    </row>
    <row r="22" spans="1:8" x14ac:dyDescent="0.25">
      <c r="A22" s="10">
        <f>IF(ISNUMBER(Calculations!A38),Calculations!A38,"")</f>
        <v>18</v>
      </c>
      <c r="B22" s="33">
        <f ca="1">IF(ISNUMBER(A22),CONVERT(Calculations!T38,Units_In,Units_Out),"")</f>
        <v>3561626.5048673111</v>
      </c>
      <c r="C22" s="33">
        <f ca="1">IF(ISNUMBER(A22),CONVERT(Calculations!U38,Units_In,Units_Out),"")</f>
        <v>1488392.2254301994</v>
      </c>
      <c r="D22" s="33" t="str">
        <f>IF(ISTEXT(Calculations!F38),Calculations!F38,"")</f>
        <v/>
      </c>
      <c r="E22" s="10" t="str">
        <f t="shared" ca="1" si="2"/>
        <v>0503 3561626.50486731EUSft 1488392.2254302NUSft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CSS17</v>
      </c>
    </row>
    <row r="23" spans="1:8" x14ac:dyDescent="0.25">
      <c r="A23" s="10">
        <f>IF(ISNUMBER(Calculations!A39),Calculations!A39,"")</f>
        <v>19</v>
      </c>
      <c r="B23" s="33">
        <f ca="1">IF(ISNUMBER(A23),CONVERT(Calculations!T39,Units_In,Units_Out),"")</f>
        <v>3561630.8387621646</v>
      </c>
      <c r="C23" s="33">
        <f ca="1">IF(ISNUMBER(A23),CONVERT(Calculations!U39,Units_In,Units_Out),"")</f>
        <v>1488427.8361034833</v>
      </c>
      <c r="D23" s="33" t="str">
        <f>IF(ISTEXT(Calculations!F39),Calculations!F39,"")</f>
        <v/>
      </c>
      <c r="E23" s="10" t="str">
        <f t="shared" ca="1" si="2"/>
        <v>0503 3561630.83876216EUSft 1488427.83610348NUSft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CSS17</v>
      </c>
    </row>
    <row r="24" spans="1:8" x14ac:dyDescent="0.25">
      <c r="A24" s="10">
        <f>IF(ISNUMBER(Calculations!A40),Calculations!A40,"")</f>
        <v>20</v>
      </c>
      <c r="B24" s="33">
        <f ca="1">IF(ISNUMBER(A24),CONVERT(Calculations!T40,Units_In,Units_Out),"")</f>
        <v>3561632.2589838058</v>
      </c>
      <c r="C24" s="33">
        <f ca="1">IF(ISNUMBER(A24),CONVERT(Calculations!U40,Units_In,Units_Out),"")</f>
        <v>1488435.4921709744</v>
      </c>
      <c r="D24" s="33" t="str">
        <f>IF(ISTEXT(Calculations!F40),Calculations!F40,"")</f>
        <v/>
      </c>
      <c r="E24" s="10" t="str">
        <f t="shared" ca="1" si="2"/>
        <v>0503 3561632.25898381EUSft 1488435.49217097NUSft</v>
      </c>
      <c r="F24" s="34">
        <f t="shared" si="3"/>
        <v>94</v>
      </c>
      <c r="G24" s="10" t="str">
        <f t="shared" si="1"/>
        <v>Yellow</v>
      </c>
      <c r="H24" s="10" t="str">
        <f>IF(ISNUMBER(A24),Calculations!$A$1,"")</f>
        <v>CSS17</v>
      </c>
    </row>
    <row r="25" spans="1:8" x14ac:dyDescent="0.25">
      <c r="A25" s="10">
        <f>IF(ISNUMBER(Calculations!A41),Calculations!A41,"")</f>
        <v>21</v>
      </c>
      <c r="B25" s="33">
        <f ca="1">IF(ISNUMBER(A25),CONVERT(Calculations!T41,Units_In,Units_Out),"")</f>
        <v>3561644.0184786222</v>
      </c>
      <c r="C25" s="33">
        <f ca="1">IF(ISNUMBER(A25),CONVERT(Calculations!U41,Units_In,Units_Out),"")</f>
        <v>1488746.6380212936</v>
      </c>
      <c r="D25" s="33" t="str">
        <f>IF(ISTEXT(Calculations!F41),Calculations!F41,"")</f>
        <v/>
      </c>
      <c r="E25" s="10" t="str">
        <f t="shared" ca="1" si="2"/>
        <v>0503 3561644.01847862EUSft 1488746.63802129NUSft</v>
      </c>
      <c r="F25" s="34">
        <f t="shared" si="3"/>
        <v>94</v>
      </c>
      <c r="G25" s="10" t="str">
        <f t="shared" si="1"/>
        <v>Yellow</v>
      </c>
      <c r="H25" s="10" t="str">
        <f>IF(ISNUMBER(A25),Calculations!$A$1,"")</f>
        <v>CSS17</v>
      </c>
    </row>
    <row r="26" spans="1:8" x14ac:dyDescent="0.25">
      <c r="A26" s="10">
        <f>IF(ISNUMBER(Calculations!A42),Calculations!A42,"")</f>
        <v>22</v>
      </c>
      <c r="B26" s="33">
        <f ca="1">IF(ISNUMBER(A26),CONVERT(Calculations!T42,Units_In,Units_Out),"")</f>
        <v>3561643.474942409</v>
      </c>
      <c r="C26" s="33">
        <f ca="1">IF(ISNUMBER(A26),CONVERT(Calculations!U42,Units_In,Units_Out),"")</f>
        <v>1488244.2788011788</v>
      </c>
      <c r="D26" s="33" t="str">
        <f>IF(ISTEXT(Calculations!F42),Calculations!F42,"")</f>
        <v>PT1</v>
      </c>
      <c r="E26" s="10" t="str">
        <f t="shared" ca="1" si="2"/>
        <v>0503 3561643.47494241EUSft 1488244.27880118NUSft</v>
      </c>
      <c r="F26" s="34">
        <f t="shared" si="3"/>
        <v>94</v>
      </c>
      <c r="G26" s="10" t="str">
        <f t="shared" si="1"/>
        <v>Yellow</v>
      </c>
      <c r="H26" s="10" t="str">
        <f>IF(ISNUMBER(A26),Calculations!$A$1,"")</f>
        <v>CSS17</v>
      </c>
    </row>
    <row r="27" spans="1:8" x14ac:dyDescent="0.25">
      <c r="A27" s="10">
        <f>IF(ISNUMBER(Calculations!A43),Calculations!A43,"")</f>
        <v>23</v>
      </c>
      <c r="B27" s="33">
        <f ca="1">IF(ISNUMBER(A27),CONVERT(Calculations!T43,Units_In,Units_Out),"")</f>
        <v>3561574.78471715</v>
      </c>
      <c r="C27" s="33">
        <f ca="1">IF(ISNUMBER(A27),CONVERT(Calculations!U43,Units_In,Units_Out),"")</f>
        <v>1488131.4338662087</v>
      </c>
      <c r="D27" s="33" t="str">
        <f>IF(ISTEXT(Calculations!F43),Calculations!F43,"")</f>
        <v>PT2</v>
      </c>
      <c r="E27" s="10" t="str">
        <f t="shared" ca="1" si="2"/>
        <v>0503 3561574.78471715EUSft 1488131.43386621NUSft</v>
      </c>
      <c r="F27" s="34">
        <f t="shared" si="3"/>
        <v>94</v>
      </c>
      <c r="G27" s="10" t="str">
        <f t="shared" si="1"/>
        <v>Yellow</v>
      </c>
      <c r="H27" s="10" t="str">
        <f>IF(ISNUMBER(A27),Calculations!$A$1,"")</f>
        <v>CSS17</v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2013-08-28T10:42:11Z</dcterms:modified>
</cp:coreProperties>
</file>