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385" yWindow="-15" windowWidth="14430" windowHeight="15180"/>
  </bookViews>
  <sheets>
    <sheet name="Calculations" sheetId="1" r:id="rId1"/>
    <sheet name="GoogleEarth" sheetId="2" r:id="rId2"/>
    <sheet name="Sheet1" sheetId="3" r:id="rId3"/>
  </sheets>
  <definedNames>
    <definedName name="bA">Calculations!$AC$4</definedName>
    <definedName name="CS_End">Calculations!$C$7</definedName>
    <definedName name="CS_Start">Calculations!$C$6</definedName>
    <definedName name="DfromL">Calculations!$AB$21:$AB$51</definedName>
    <definedName name="dZ">Calculations!$X$11</definedName>
    <definedName name="HI">Calculations!$C$2</definedName>
    <definedName name="mA">Calculations!$AC$3</definedName>
    <definedName name="mB">Calculations!$AC$6</definedName>
    <definedName name="Min_Z">Calculations!$X$13</definedName>
    <definedName name="Old_X0">Calculations!$N$4</definedName>
    <definedName name="Old_X1">Calculations!$N$5</definedName>
    <definedName name="Old_X2">Calculations!$N$6</definedName>
    <definedName name="Old_Y0">Calculations!$O$4</definedName>
    <definedName name="Old_Y1">Calculations!$O$5</definedName>
    <definedName name="Old_Y2">Calculations!$O$6</definedName>
    <definedName name="Old_Z0">Calculations!$P$4</definedName>
    <definedName name="Old_Z1">Calculations!$P$5</definedName>
    <definedName name="Old_Z2">Calculations!$P$6</definedName>
    <definedName name="solver_adj" localSheetId="0" hidden="1">Calculations!#REF!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nits_In">Calculations!$C$3</definedName>
    <definedName name="Units_Out">Calculations!$C$4</definedName>
    <definedName name="xB">Calculations!$X$21:$X$67</definedName>
    <definedName name="yB">Calculations!$Y$21:$Y$67</definedName>
    <definedName name="Zs">Calculations!$W$21:$W$50</definedName>
  </definedNames>
  <calcPr calcId="145621"/>
</workbook>
</file>

<file path=xl/calcChain.xml><?xml version="1.0" encoding="utf-8"?>
<calcChain xmlns="http://schemas.openxmlformats.org/spreadsheetml/2006/main">
  <c r="G40" i="1" l="1"/>
  <c r="H40" i="1" s="1"/>
  <c r="I40" i="1"/>
  <c r="J40" i="1" s="1"/>
  <c r="G41" i="1"/>
  <c r="H41" i="1" s="1"/>
  <c r="I41" i="1"/>
  <c r="J41" i="1" s="1"/>
  <c r="G42" i="1"/>
  <c r="H42" i="1" s="1"/>
  <c r="I42" i="1"/>
  <c r="J42" i="1" s="1"/>
  <c r="N42" i="1"/>
  <c r="G43" i="1"/>
  <c r="H43" i="1" s="1"/>
  <c r="I43" i="1"/>
  <c r="J43" i="1" s="1"/>
  <c r="X43" i="1"/>
  <c r="Y43" i="1" s="1"/>
  <c r="K41" i="1" l="1"/>
  <c r="L41" i="1"/>
  <c r="K43" i="1"/>
  <c r="L43" i="1"/>
  <c r="AD43" i="1"/>
  <c r="AF43" i="1" s="1"/>
  <c r="AB43" i="1"/>
  <c r="Z43" i="1"/>
  <c r="N43" i="1"/>
  <c r="N41" i="1"/>
  <c r="N40" i="1"/>
  <c r="K42" i="1"/>
  <c r="L42" i="1"/>
  <c r="K40" i="1"/>
  <c r="L40" i="1"/>
  <c r="AA43" i="1" l="1"/>
  <c r="AC43" i="1"/>
  <c r="AE43" i="1" s="1"/>
  <c r="G38" i="1"/>
  <c r="H38" i="1" s="1"/>
  <c r="I38" i="1"/>
  <c r="J38" i="1" s="1"/>
  <c r="G39" i="1"/>
  <c r="H39" i="1"/>
  <c r="K39" i="1" s="1"/>
  <c r="I39" i="1"/>
  <c r="J39" i="1"/>
  <c r="N39" i="1"/>
  <c r="L39" i="1" l="1"/>
  <c r="N38" i="1"/>
  <c r="K38" i="1"/>
  <c r="L38" i="1"/>
  <c r="X22" i="1" l="1"/>
  <c r="Z22" i="1" s="1"/>
  <c r="X21" i="1"/>
  <c r="Z21" i="1" s="1"/>
  <c r="G34" i="1"/>
  <c r="H34" i="1" s="1"/>
  <c r="I34" i="1"/>
  <c r="J34" i="1" s="1"/>
  <c r="G35" i="1"/>
  <c r="H35" i="1" s="1"/>
  <c r="K35" i="1" s="1"/>
  <c r="I35" i="1"/>
  <c r="J35" i="1" s="1"/>
  <c r="N35" i="1"/>
  <c r="G36" i="1"/>
  <c r="H36" i="1" s="1"/>
  <c r="I36" i="1"/>
  <c r="J36" i="1" s="1"/>
  <c r="G37" i="1"/>
  <c r="H37" i="1"/>
  <c r="K37" i="1" s="1"/>
  <c r="I37" i="1"/>
  <c r="J37" i="1"/>
  <c r="N37" i="1"/>
  <c r="Y22" i="1" l="1"/>
  <c r="Y21" i="1"/>
  <c r="K34" i="1"/>
  <c r="L34" i="1"/>
  <c r="L37" i="1"/>
  <c r="N36" i="1"/>
  <c r="L35" i="1"/>
  <c r="N34" i="1"/>
  <c r="K36" i="1"/>
  <c r="L36" i="1"/>
  <c r="P5" i="1" l="1"/>
  <c r="P6" i="1"/>
  <c r="P4" i="1"/>
  <c r="O5" i="1"/>
  <c r="O6" i="1"/>
  <c r="O4" i="1"/>
  <c r="N5" i="1"/>
  <c r="N6" i="1"/>
  <c r="N4" i="1"/>
  <c r="V40" i="1" l="1"/>
  <c r="V43" i="1"/>
  <c r="V42" i="1"/>
  <c r="V41" i="1"/>
  <c r="V34" i="1"/>
  <c r="V39" i="1"/>
  <c r="V38" i="1"/>
  <c r="V37" i="1"/>
  <c r="V36" i="1"/>
  <c r="V35" i="1"/>
  <c r="Q5" i="1"/>
  <c r="Q6" i="1"/>
  <c r="P10" i="1" l="1"/>
  <c r="R10" i="1"/>
  <c r="G22" i="1"/>
  <c r="H22" i="1" s="1"/>
  <c r="G23" i="1"/>
  <c r="G24" i="1"/>
  <c r="H24" i="1" s="1"/>
  <c r="L24" i="1" s="1"/>
  <c r="V24" i="1" s="1"/>
  <c r="G25" i="1"/>
  <c r="H25" i="1" s="1"/>
  <c r="L25" i="1" s="1"/>
  <c r="V25" i="1" s="1"/>
  <c r="G26" i="1"/>
  <c r="H26" i="1" s="1"/>
  <c r="L26" i="1" s="1"/>
  <c r="V26" i="1" s="1"/>
  <c r="G27" i="1"/>
  <c r="H27" i="1" s="1"/>
  <c r="L27" i="1" s="1"/>
  <c r="V27" i="1" s="1"/>
  <c r="G28" i="1"/>
  <c r="H28" i="1" s="1"/>
  <c r="K28" i="1" s="1"/>
  <c r="G29" i="1"/>
  <c r="H29" i="1" s="1"/>
  <c r="L29" i="1" s="1"/>
  <c r="V29" i="1" s="1"/>
  <c r="G30" i="1"/>
  <c r="H30" i="1" s="1"/>
  <c r="K30" i="1" s="1"/>
  <c r="G31" i="1"/>
  <c r="H31" i="1" s="1"/>
  <c r="G32" i="1"/>
  <c r="H32" i="1" s="1"/>
  <c r="G33" i="1"/>
  <c r="H33" i="1" s="1"/>
  <c r="G21" i="1"/>
  <c r="H21" i="1" s="1"/>
  <c r="H23" i="1"/>
  <c r="K23" i="1" s="1"/>
  <c r="I22" i="1"/>
  <c r="I23" i="1"/>
  <c r="I24" i="1"/>
  <c r="I25" i="1"/>
  <c r="I26" i="1"/>
  <c r="I27" i="1"/>
  <c r="I28" i="1"/>
  <c r="I29" i="1"/>
  <c r="J29" i="1" s="1"/>
  <c r="I30" i="1"/>
  <c r="I31" i="1"/>
  <c r="I32" i="1"/>
  <c r="I33" i="1"/>
  <c r="I21" i="1"/>
  <c r="K29" i="1" l="1"/>
  <c r="L32" i="1"/>
  <c r="V32" i="1" s="1"/>
  <c r="K32" i="1"/>
  <c r="K31" i="1"/>
  <c r="L31" i="1"/>
  <c r="V31" i="1" s="1"/>
  <c r="K24" i="1"/>
  <c r="L23" i="1"/>
  <c r="V23" i="1" s="1"/>
  <c r="K22" i="1"/>
  <c r="L22" i="1"/>
  <c r="V22" i="1" s="1"/>
  <c r="L33" i="1"/>
  <c r="V33" i="1" s="1"/>
  <c r="K33" i="1"/>
  <c r="L21" i="1"/>
  <c r="V21" i="1" s="1"/>
  <c r="K21" i="1"/>
  <c r="K25" i="1"/>
  <c r="L28" i="1"/>
  <c r="V28" i="1" s="1"/>
  <c r="K27" i="1"/>
  <c r="L30" i="1"/>
  <c r="V30" i="1" s="1"/>
  <c r="K26" i="1"/>
  <c r="J33" i="1"/>
  <c r="N33" i="1"/>
  <c r="N25" i="1"/>
  <c r="N21" i="1"/>
  <c r="N28" i="1"/>
  <c r="N27" i="1"/>
  <c r="N26" i="1"/>
  <c r="J24" i="1"/>
  <c r="N29" i="1"/>
  <c r="J32" i="1"/>
  <c r="J28" i="1"/>
  <c r="N32" i="1"/>
  <c r="R12" i="1" s="1"/>
  <c r="N24" i="1"/>
  <c r="J27" i="1"/>
  <c r="N31" i="1"/>
  <c r="N23" i="1"/>
  <c r="J25" i="1"/>
  <c r="N30" i="1"/>
  <c r="N22" i="1"/>
  <c r="R11" i="1" s="1"/>
  <c r="J26" i="1"/>
  <c r="J31" i="1"/>
  <c r="J23" i="1"/>
  <c r="J30" i="1"/>
  <c r="J22" i="1"/>
  <c r="J21" i="1"/>
  <c r="P12" i="1" l="1"/>
  <c r="P15" i="1" s="1"/>
  <c r="Y6" i="1"/>
  <c r="X6" i="1"/>
  <c r="P11" i="1"/>
  <c r="R15" i="1"/>
  <c r="P14" i="1" l="1"/>
  <c r="R14" i="1"/>
  <c r="H3" i="2"/>
  <c r="H4" i="2"/>
  <c r="H2" i="2"/>
  <c r="O17" i="1" l="1"/>
  <c r="G3" i="2"/>
  <c r="G4" i="2"/>
  <c r="G2" i="2"/>
  <c r="A3" i="2"/>
  <c r="A4" i="2"/>
  <c r="A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B2" i="2"/>
  <c r="B3" i="2"/>
  <c r="B4" i="2"/>
  <c r="C2" i="2"/>
  <c r="C3" i="2"/>
  <c r="C4" i="2"/>
  <c r="A38" i="2"/>
  <c r="F38" i="2" s="1"/>
  <c r="G38" i="2" s="1"/>
  <c r="A39" i="2"/>
  <c r="A40" i="2"/>
  <c r="F40" i="2" s="1"/>
  <c r="G40" i="2" s="1"/>
  <c r="A41" i="2"/>
  <c r="A42" i="2"/>
  <c r="F42" i="2" s="1"/>
  <c r="G42" i="2" s="1"/>
  <c r="A43" i="2"/>
  <c r="A44" i="2"/>
  <c r="F44" i="2" s="1"/>
  <c r="G44" i="2" s="1"/>
  <c r="A45" i="2"/>
  <c r="A46" i="2"/>
  <c r="F46" i="2" s="1"/>
  <c r="G46" i="2" s="1"/>
  <c r="A47" i="2"/>
  <c r="A48" i="2"/>
  <c r="F48" i="2" s="1"/>
  <c r="G48" i="2" s="1"/>
  <c r="A49" i="2"/>
  <c r="A50" i="2"/>
  <c r="F50" i="2" s="1"/>
  <c r="G50" i="2" s="1"/>
  <c r="A51" i="2"/>
  <c r="A52" i="2"/>
  <c r="F52" i="2" s="1"/>
  <c r="G52" i="2" s="1"/>
  <c r="A53" i="2"/>
  <c r="A54" i="2"/>
  <c r="F54" i="2" s="1"/>
  <c r="G54" i="2" s="1"/>
  <c r="A55" i="2"/>
  <c r="A56" i="2"/>
  <c r="F56" i="2" s="1"/>
  <c r="G56" i="2" s="1"/>
  <c r="A57" i="2"/>
  <c r="A58" i="2"/>
  <c r="F58" i="2" s="1"/>
  <c r="G58" i="2" s="1"/>
  <c r="A59" i="2"/>
  <c r="A60" i="2"/>
  <c r="F60" i="2" s="1"/>
  <c r="G60" i="2" s="1"/>
  <c r="A61" i="2"/>
  <c r="A62" i="2"/>
  <c r="F62" i="2" s="1"/>
  <c r="G62" i="2" s="1"/>
  <c r="A63" i="2"/>
  <c r="A64" i="2"/>
  <c r="F64" i="2" s="1"/>
  <c r="G64" i="2" s="1"/>
  <c r="A65" i="2"/>
  <c r="A6" i="2"/>
  <c r="H6" i="2" s="1"/>
  <c r="A7" i="2"/>
  <c r="H7" i="2" s="1"/>
  <c r="A8" i="2"/>
  <c r="H8" i="2" s="1"/>
  <c r="A9" i="2"/>
  <c r="H9" i="2" s="1"/>
  <c r="A10" i="2"/>
  <c r="H10" i="2" s="1"/>
  <c r="A11" i="2"/>
  <c r="H11" i="2" s="1"/>
  <c r="A12" i="2"/>
  <c r="H12" i="2" s="1"/>
  <c r="A13" i="2"/>
  <c r="H13" i="2" s="1"/>
  <c r="A14" i="2"/>
  <c r="H14" i="2" s="1"/>
  <c r="A15" i="2"/>
  <c r="H15" i="2" s="1"/>
  <c r="A16" i="2"/>
  <c r="H16" i="2" s="1"/>
  <c r="A17" i="2"/>
  <c r="H17" i="2" s="1"/>
  <c r="A18" i="2"/>
  <c r="H18" i="2" s="1"/>
  <c r="A19" i="2"/>
  <c r="H19" i="2" s="1"/>
  <c r="A20" i="2"/>
  <c r="H20" i="2" s="1"/>
  <c r="A21" i="2"/>
  <c r="H21" i="2" s="1"/>
  <c r="A22" i="2"/>
  <c r="H22" i="2" s="1"/>
  <c r="A23" i="2"/>
  <c r="H23" i="2" s="1"/>
  <c r="A24" i="2"/>
  <c r="H24" i="2" s="1"/>
  <c r="A25" i="2"/>
  <c r="H25" i="2" s="1"/>
  <c r="A26" i="2"/>
  <c r="H26" i="2" s="1"/>
  <c r="A27" i="2"/>
  <c r="H27" i="2" s="1"/>
  <c r="A28" i="2"/>
  <c r="H28" i="2" s="1"/>
  <c r="A29" i="2"/>
  <c r="H29" i="2" s="1"/>
  <c r="A30" i="2"/>
  <c r="H30" i="2" s="1"/>
  <c r="A31" i="2"/>
  <c r="H31" i="2" s="1"/>
  <c r="A32" i="2"/>
  <c r="H32" i="2" s="1"/>
  <c r="A33" i="2"/>
  <c r="H33" i="2" s="1"/>
  <c r="A34" i="2"/>
  <c r="H34" i="2" s="1"/>
  <c r="A35" i="2"/>
  <c r="H35" i="2" s="1"/>
  <c r="A36" i="2"/>
  <c r="F36" i="2" s="1"/>
  <c r="G36" i="2" s="1"/>
  <c r="A37" i="2"/>
  <c r="A5" i="2"/>
  <c r="H5" i="2" s="1"/>
  <c r="O41" i="1" l="1"/>
  <c r="P41" i="1" s="1"/>
  <c r="Q41" i="1" s="1"/>
  <c r="O40" i="1"/>
  <c r="P40" i="1" s="1"/>
  <c r="Q40" i="1" s="1"/>
  <c r="O42" i="1"/>
  <c r="P42" i="1" s="1"/>
  <c r="Q42" i="1" s="1"/>
  <c r="O43" i="1"/>
  <c r="P43" i="1" s="1"/>
  <c r="Q43" i="1" s="1"/>
  <c r="O38" i="1"/>
  <c r="P38" i="1" s="1"/>
  <c r="Q38" i="1" s="1"/>
  <c r="O39" i="1"/>
  <c r="P39" i="1" s="1"/>
  <c r="Q39" i="1" s="1"/>
  <c r="O35" i="1"/>
  <c r="P35" i="1" s="1"/>
  <c r="Q35" i="1" s="1"/>
  <c r="O34" i="1"/>
  <c r="P34" i="1" s="1"/>
  <c r="Q34" i="1" s="1"/>
  <c r="O36" i="1"/>
  <c r="P36" i="1" s="1"/>
  <c r="Q36" i="1" s="1"/>
  <c r="O37" i="1"/>
  <c r="P37" i="1" s="1"/>
  <c r="Q37" i="1" s="1"/>
  <c r="E4" i="2"/>
  <c r="E2" i="2"/>
  <c r="E3" i="2"/>
  <c r="F32" i="2"/>
  <c r="G32" i="2" s="1"/>
  <c r="F28" i="2"/>
  <c r="G28" i="2" s="1"/>
  <c r="F24" i="2"/>
  <c r="G24" i="2" s="1"/>
  <c r="F20" i="2"/>
  <c r="G20" i="2" s="1"/>
  <c r="F16" i="2"/>
  <c r="G16" i="2" s="1"/>
  <c r="F12" i="2"/>
  <c r="G12" i="2" s="1"/>
  <c r="F8" i="2"/>
  <c r="G8" i="2" s="1"/>
  <c r="F5" i="2"/>
  <c r="G5" i="2" s="1"/>
  <c r="F34" i="2"/>
  <c r="G34" i="2" s="1"/>
  <c r="F30" i="2"/>
  <c r="G30" i="2" s="1"/>
  <c r="F26" i="2"/>
  <c r="G26" i="2" s="1"/>
  <c r="F22" i="2"/>
  <c r="G22" i="2" s="1"/>
  <c r="F18" i="2"/>
  <c r="G18" i="2" s="1"/>
  <c r="F14" i="2"/>
  <c r="G14" i="2" s="1"/>
  <c r="F10" i="2"/>
  <c r="G10" i="2" s="1"/>
  <c r="F6" i="2"/>
  <c r="G6" i="2" s="1"/>
  <c r="B37" i="2"/>
  <c r="H37" i="2"/>
  <c r="C37" i="2"/>
  <c r="E65" i="2"/>
  <c r="B65" i="2"/>
  <c r="H65" i="2"/>
  <c r="C65" i="2"/>
  <c r="E63" i="2"/>
  <c r="B63" i="2"/>
  <c r="H63" i="2"/>
  <c r="C63" i="2"/>
  <c r="E61" i="2"/>
  <c r="B61" i="2"/>
  <c r="H61" i="2"/>
  <c r="C61" i="2"/>
  <c r="E59" i="2"/>
  <c r="B59" i="2"/>
  <c r="H59" i="2"/>
  <c r="C59" i="2"/>
  <c r="E57" i="2"/>
  <c r="B57" i="2"/>
  <c r="H57" i="2"/>
  <c r="C57" i="2"/>
  <c r="E55" i="2"/>
  <c r="B55" i="2"/>
  <c r="H55" i="2"/>
  <c r="C55" i="2"/>
  <c r="E53" i="2"/>
  <c r="B53" i="2"/>
  <c r="H53" i="2"/>
  <c r="C53" i="2"/>
  <c r="E51" i="2"/>
  <c r="B51" i="2"/>
  <c r="H51" i="2"/>
  <c r="C51" i="2"/>
  <c r="E49" i="2"/>
  <c r="B49" i="2"/>
  <c r="H49" i="2"/>
  <c r="C49" i="2"/>
  <c r="E47" i="2"/>
  <c r="B47" i="2"/>
  <c r="H47" i="2"/>
  <c r="C47" i="2"/>
  <c r="E45" i="2"/>
  <c r="B45" i="2"/>
  <c r="H45" i="2"/>
  <c r="C45" i="2"/>
  <c r="E43" i="2"/>
  <c r="B43" i="2"/>
  <c r="H43" i="2"/>
  <c r="C43" i="2"/>
  <c r="E41" i="2"/>
  <c r="B41" i="2"/>
  <c r="H41" i="2"/>
  <c r="C41" i="2"/>
  <c r="E39" i="2"/>
  <c r="B39" i="2"/>
  <c r="H39" i="2"/>
  <c r="C39" i="2"/>
  <c r="C36" i="2"/>
  <c r="B36" i="2"/>
  <c r="H36" i="2"/>
  <c r="E64" i="2"/>
  <c r="C64" i="2"/>
  <c r="B64" i="2"/>
  <c r="H64" i="2"/>
  <c r="E62" i="2"/>
  <c r="C62" i="2"/>
  <c r="B62" i="2"/>
  <c r="H62" i="2"/>
  <c r="E60" i="2"/>
  <c r="C60" i="2"/>
  <c r="B60" i="2"/>
  <c r="H60" i="2"/>
  <c r="E58" i="2"/>
  <c r="C58" i="2"/>
  <c r="B58" i="2"/>
  <c r="H58" i="2"/>
  <c r="E56" i="2"/>
  <c r="C56" i="2"/>
  <c r="B56" i="2"/>
  <c r="H56" i="2"/>
  <c r="E54" i="2"/>
  <c r="C54" i="2"/>
  <c r="B54" i="2"/>
  <c r="H54" i="2"/>
  <c r="E52" i="2"/>
  <c r="C52" i="2"/>
  <c r="B52" i="2"/>
  <c r="H52" i="2"/>
  <c r="E50" i="2"/>
  <c r="C50" i="2"/>
  <c r="B50" i="2"/>
  <c r="H50" i="2"/>
  <c r="E48" i="2"/>
  <c r="C48" i="2"/>
  <c r="B48" i="2"/>
  <c r="H48" i="2"/>
  <c r="E46" i="2"/>
  <c r="C46" i="2"/>
  <c r="B46" i="2"/>
  <c r="H46" i="2"/>
  <c r="E44" i="2"/>
  <c r="C44" i="2"/>
  <c r="B44" i="2"/>
  <c r="H44" i="2"/>
  <c r="E42" i="2"/>
  <c r="C42" i="2"/>
  <c r="B42" i="2"/>
  <c r="H42" i="2"/>
  <c r="E40" i="2"/>
  <c r="C40" i="2"/>
  <c r="B40" i="2"/>
  <c r="H40" i="2"/>
  <c r="E38" i="2"/>
  <c r="C38" i="2"/>
  <c r="B38" i="2"/>
  <c r="H38" i="2"/>
  <c r="F65" i="2"/>
  <c r="G65" i="2" s="1"/>
  <c r="F63" i="2"/>
  <c r="G63" i="2" s="1"/>
  <c r="F61" i="2"/>
  <c r="G61" i="2" s="1"/>
  <c r="F59" i="2"/>
  <c r="G59" i="2" s="1"/>
  <c r="F57" i="2"/>
  <c r="G57" i="2" s="1"/>
  <c r="F55" i="2"/>
  <c r="G55" i="2" s="1"/>
  <c r="F53" i="2"/>
  <c r="G53" i="2" s="1"/>
  <c r="F51" i="2"/>
  <c r="G51" i="2" s="1"/>
  <c r="F49" i="2"/>
  <c r="G49" i="2" s="1"/>
  <c r="F47" i="2"/>
  <c r="G47" i="2" s="1"/>
  <c r="F45" i="2"/>
  <c r="G45" i="2" s="1"/>
  <c r="F43" i="2"/>
  <c r="G43" i="2" s="1"/>
  <c r="F41" i="2"/>
  <c r="G41" i="2" s="1"/>
  <c r="F39" i="2"/>
  <c r="G39" i="2" s="1"/>
  <c r="F37" i="2"/>
  <c r="G37" i="2" s="1"/>
  <c r="F35" i="2"/>
  <c r="G35" i="2" s="1"/>
  <c r="F33" i="2"/>
  <c r="G33" i="2" s="1"/>
  <c r="F31" i="2"/>
  <c r="G31" i="2" s="1"/>
  <c r="F29" i="2"/>
  <c r="G29" i="2" s="1"/>
  <c r="F27" i="2"/>
  <c r="G27" i="2" s="1"/>
  <c r="F25" i="2"/>
  <c r="G25" i="2" s="1"/>
  <c r="F23" i="2"/>
  <c r="G23" i="2" s="1"/>
  <c r="F21" i="2"/>
  <c r="G21" i="2" s="1"/>
  <c r="F19" i="2"/>
  <c r="G19" i="2" s="1"/>
  <c r="F17" i="2"/>
  <c r="G17" i="2" s="1"/>
  <c r="F15" i="2"/>
  <c r="G15" i="2" s="1"/>
  <c r="F13" i="2"/>
  <c r="G13" i="2" s="1"/>
  <c r="F11" i="2"/>
  <c r="G11" i="2" s="1"/>
  <c r="F9" i="2"/>
  <c r="G9" i="2" s="1"/>
  <c r="F7" i="2"/>
  <c r="G7" i="2" s="1"/>
  <c r="R43" i="1" l="1"/>
  <c r="T43" i="1" s="1"/>
  <c r="S43" i="1"/>
  <c r="U43" i="1" s="1"/>
  <c r="S40" i="1"/>
  <c r="U40" i="1" s="1"/>
  <c r="R40" i="1"/>
  <c r="T40" i="1" s="1"/>
  <c r="S42" i="1"/>
  <c r="U42" i="1" s="1"/>
  <c r="R42" i="1"/>
  <c r="T42" i="1" s="1"/>
  <c r="X42" i="1" s="1"/>
  <c r="R41" i="1"/>
  <c r="T41" i="1" s="1"/>
  <c r="S41" i="1"/>
  <c r="U41" i="1" s="1"/>
  <c r="S39" i="1"/>
  <c r="U39" i="1" s="1"/>
  <c r="R39" i="1"/>
  <c r="T39" i="1" s="1"/>
  <c r="X39" i="1" s="1"/>
  <c r="S38" i="1"/>
  <c r="U38" i="1" s="1"/>
  <c r="R38" i="1"/>
  <c r="T38" i="1" s="1"/>
  <c r="X38" i="1" s="1"/>
  <c r="S36" i="1"/>
  <c r="U36" i="1" s="1"/>
  <c r="R36" i="1"/>
  <c r="T36" i="1" s="1"/>
  <c r="X36" i="1" s="1"/>
  <c r="S37" i="1"/>
  <c r="U37" i="1" s="1"/>
  <c r="R37" i="1"/>
  <c r="T37" i="1" s="1"/>
  <c r="X37" i="1" s="1"/>
  <c r="S34" i="1"/>
  <c r="U34" i="1" s="1"/>
  <c r="R34" i="1"/>
  <c r="T34" i="1" s="1"/>
  <c r="X34" i="1" s="1"/>
  <c r="R35" i="1"/>
  <c r="T35" i="1" s="1"/>
  <c r="X35" i="1" s="1"/>
  <c r="S35" i="1"/>
  <c r="U35" i="1" s="1"/>
  <c r="E36" i="2"/>
  <c r="E37" i="2"/>
  <c r="X4" i="1"/>
  <c r="Y4" i="1"/>
  <c r="Y42" i="1" l="1"/>
  <c r="X40" i="1"/>
  <c r="X41" i="1"/>
  <c r="Y38" i="1"/>
  <c r="Y39" i="1"/>
  <c r="Y37" i="1"/>
  <c r="Y36" i="1"/>
  <c r="Y35" i="1"/>
  <c r="Y34" i="1"/>
  <c r="Y5" i="1"/>
  <c r="Y8" i="1" s="1"/>
  <c r="X9" i="1"/>
  <c r="Y9" i="1"/>
  <c r="Y40" i="1" l="1"/>
  <c r="Y41" i="1"/>
  <c r="O21" i="1"/>
  <c r="P21" i="1" l="1"/>
  <c r="Q21" i="1" s="1"/>
  <c r="O22" i="1"/>
  <c r="O24" i="1"/>
  <c r="O26" i="1"/>
  <c r="O28" i="1"/>
  <c r="O30" i="1"/>
  <c r="O32" i="1"/>
  <c r="O23" i="1"/>
  <c r="O25" i="1"/>
  <c r="O27" i="1"/>
  <c r="O29" i="1"/>
  <c r="O31" i="1"/>
  <c r="O33" i="1"/>
  <c r="P23" i="1" l="1"/>
  <c r="P32" i="1"/>
  <c r="P33" i="1"/>
  <c r="P30" i="1"/>
  <c r="P31" i="1"/>
  <c r="P28" i="1"/>
  <c r="P29" i="1"/>
  <c r="P26" i="1"/>
  <c r="P27" i="1"/>
  <c r="P24" i="1"/>
  <c r="P25" i="1"/>
  <c r="P22" i="1"/>
  <c r="R21" i="1"/>
  <c r="T21" i="1" s="1"/>
  <c r="S21" i="1"/>
  <c r="U21" i="1" s="1"/>
  <c r="X5" i="1"/>
  <c r="X8" i="1" s="1"/>
  <c r="X11" i="1" s="1"/>
  <c r="W42" i="1" l="1"/>
  <c r="W40" i="1"/>
  <c r="W41" i="1"/>
  <c r="W43" i="1"/>
  <c r="W38" i="1"/>
  <c r="W39" i="1"/>
  <c r="W35" i="1"/>
  <c r="W37" i="1"/>
  <c r="W34" i="1"/>
  <c r="W36" i="1"/>
  <c r="Q27" i="1"/>
  <c r="S27" i="1" s="1"/>
  <c r="U27" i="1" s="1"/>
  <c r="C11" i="2" s="1"/>
  <c r="Q31" i="1"/>
  <c r="S31" i="1" s="1"/>
  <c r="U31" i="1" s="1"/>
  <c r="C15" i="2" s="1"/>
  <c r="C27" i="2"/>
  <c r="C31" i="2"/>
  <c r="B35" i="2"/>
  <c r="Q22" i="1"/>
  <c r="S22" i="1" s="1"/>
  <c r="U22" i="1" s="1"/>
  <c r="C6" i="2" s="1"/>
  <c r="Q26" i="1"/>
  <c r="S26" i="1" s="1"/>
  <c r="U26" i="1" s="1"/>
  <c r="C10" i="2" s="1"/>
  <c r="Q30" i="1"/>
  <c r="S30" i="1" s="1"/>
  <c r="U30" i="1" s="1"/>
  <c r="C14" i="2" s="1"/>
  <c r="C22" i="2"/>
  <c r="C34" i="2"/>
  <c r="Q25" i="1"/>
  <c r="R25" i="1" s="1"/>
  <c r="T25" i="1" s="1"/>
  <c r="X25" i="1" s="1"/>
  <c r="Q29" i="1"/>
  <c r="S29" i="1" s="1"/>
  <c r="U29" i="1" s="1"/>
  <c r="C13" i="2" s="1"/>
  <c r="Q33" i="1"/>
  <c r="S33" i="1" s="1"/>
  <c r="U33" i="1" s="1"/>
  <c r="C17" i="2" s="1"/>
  <c r="B29" i="2"/>
  <c r="C33" i="2"/>
  <c r="Q24" i="1"/>
  <c r="R24" i="1" s="1"/>
  <c r="T24" i="1" s="1"/>
  <c r="X24" i="1" s="1"/>
  <c r="Q28" i="1"/>
  <c r="R28" i="1" s="1"/>
  <c r="T28" i="1" s="1"/>
  <c r="X28" i="1" s="1"/>
  <c r="Q32" i="1"/>
  <c r="R32" i="1" s="1"/>
  <c r="T32" i="1" s="1"/>
  <c r="X32" i="1" s="1"/>
  <c r="Q23" i="1"/>
  <c r="R23" i="1" s="1"/>
  <c r="T23" i="1" s="1"/>
  <c r="X23" i="1" s="1"/>
  <c r="B24" i="2"/>
  <c r="B28" i="2"/>
  <c r="B32" i="2"/>
  <c r="C5" i="2"/>
  <c r="B5" i="2"/>
  <c r="W21" i="1"/>
  <c r="B7" i="2" l="1"/>
  <c r="B16" i="2"/>
  <c r="B8" i="2"/>
  <c r="B12" i="2"/>
  <c r="B20" i="2"/>
  <c r="B19" i="2"/>
  <c r="B31" i="2"/>
  <c r="E31" i="2" s="1"/>
  <c r="C30" i="2"/>
  <c r="R30" i="1"/>
  <c r="T30" i="1" s="1"/>
  <c r="X30" i="1" s="1"/>
  <c r="C32" i="2"/>
  <c r="E32" i="2" s="1"/>
  <c r="S23" i="1"/>
  <c r="U23" i="1" s="1"/>
  <c r="C7" i="2" s="1"/>
  <c r="E7" i="2" s="1"/>
  <c r="S32" i="1"/>
  <c r="U32" i="1" s="1"/>
  <c r="C16" i="2" s="1"/>
  <c r="C29" i="2"/>
  <c r="E29" i="2" s="1"/>
  <c r="R33" i="1"/>
  <c r="T33" i="1" s="1"/>
  <c r="X33" i="1" s="1"/>
  <c r="C21" i="2"/>
  <c r="S25" i="1"/>
  <c r="U25" i="1" s="1"/>
  <c r="C9" i="2" s="1"/>
  <c r="C25" i="2"/>
  <c r="C26" i="2"/>
  <c r="B26" i="2"/>
  <c r="B25" i="2"/>
  <c r="W25" i="1"/>
  <c r="B9" i="2"/>
  <c r="W32" i="1"/>
  <c r="R29" i="1"/>
  <c r="T29" i="1" s="1"/>
  <c r="X29" i="1" s="1"/>
  <c r="R26" i="1"/>
  <c r="T26" i="1" s="1"/>
  <c r="X26" i="1" s="1"/>
  <c r="R22" i="1"/>
  <c r="T22" i="1" s="1"/>
  <c r="C28" i="2"/>
  <c r="E28" i="2" s="1"/>
  <c r="S28" i="1"/>
  <c r="U28" i="1" s="1"/>
  <c r="C12" i="2" s="1"/>
  <c r="C35" i="2"/>
  <c r="E35" i="2" s="1"/>
  <c r="R31" i="1"/>
  <c r="T31" i="1" s="1"/>
  <c r="X31" i="1" s="1"/>
  <c r="C19" i="2"/>
  <c r="E19" i="2" s="1"/>
  <c r="C23" i="2"/>
  <c r="C24" i="2"/>
  <c r="E24" i="2" s="1"/>
  <c r="C18" i="2"/>
  <c r="S24" i="1"/>
  <c r="U24" i="1" s="1"/>
  <c r="C8" i="2" s="1"/>
  <c r="E8" i="2" s="1"/>
  <c r="C20" i="2"/>
  <c r="R27" i="1"/>
  <c r="T27" i="1" s="1"/>
  <c r="X27" i="1" s="1"/>
  <c r="W23" i="1"/>
  <c r="B21" i="2"/>
  <c r="B18" i="2"/>
  <c r="W24" i="1"/>
  <c r="W28" i="1"/>
  <c r="B30" i="2"/>
  <c r="E30" i="2" s="1"/>
  <c r="E5" i="2"/>
  <c r="AD21" i="1"/>
  <c r="AB21" i="1"/>
  <c r="AD22" i="1"/>
  <c r="Y28" i="1" l="1"/>
  <c r="Y31" i="1"/>
  <c r="Y29" i="1"/>
  <c r="Y33" i="1"/>
  <c r="Y27" i="1"/>
  <c r="Y26" i="1"/>
  <c r="Y30" i="1"/>
  <c r="Y25" i="1"/>
  <c r="Y24" i="1"/>
  <c r="Y23" i="1"/>
  <c r="Y32" i="1"/>
  <c r="E20" i="2"/>
  <c r="E12" i="2"/>
  <c r="E16" i="2"/>
  <c r="B17" i="2"/>
  <c r="E17" i="2" s="1"/>
  <c r="B14" i="2"/>
  <c r="E14" i="2" s="1"/>
  <c r="W30" i="1"/>
  <c r="E26" i="2"/>
  <c r="B27" i="2"/>
  <c r="E27" i="2" s="1"/>
  <c r="E21" i="2"/>
  <c r="W33" i="1"/>
  <c r="B22" i="2"/>
  <c r="E22" i="2" s="1"/>
  <c r="E9" i="2"/>
  <c r="E25" i="2"/>
  <c r="B34" i="2"/>
  <c r="E34" i="2" s="1"/>
  <c r="B23" i="2"/>
  <c r="E23" i="2" s="1"/>
  <c r="W22" i="1"/>
  <c r="B6" i="2"/>
  <c r="E6" i="2" s="1"/>
  <c r="B10" i="2"/>
  <c r="E10" i="2" s="1"/>
  <c r="W26" i="1"/>
  <c r="W29" i="1"/>
  <c r="B13" i="2"/>
  <c r="E13" i="2" s="1"/>
  <c r="E18" i="2"/>
  <c r="B11" i="2"/>
  <c r="E11" i="2" s="1"/>
  <c r="W27" i="1"/>
  <c r="B15" i="2"/>
  <c r="E15" i="2" s="1"/>
  <c r="W31" i="1"/>
  <c r="B33" i="2"/>
  <c r="E33" i="2" s="1"/>
  <c r="AB22" i="1"/>
  <c r="X13" i="1" l="1"/>
  <c r="AD42" i="1" s="1"/>
  <c r="AF42" i="1" s="1"/>
  <c r="AD40" i="1" l="1"/>
  <c r="AF40" i="1" s="1"/>
  <c r="AD41" i="1"/>
  <c r="AF41" i="1" s="1"/>
  <c r="AD39" i="1"/>
  <c r="AF39" i="1" s="1"/>
  <c r="AD38" i="1"/>
  <c r="AF38" i="1" s="1"/>
  <c r="AD36" i="1"/>
  <c r="AF36" i="1" s="1"/>
  <c r="AD37" i="1"/>
  <c r="AF37" i="1" s="1"/>
  <c r="AD34" i="1"/>
  <c r="AF34" i="1" s="1"/>
  <c r="AD35" i="1"/>
  <c r="AF35" i="1" s="1"/>
  <c r="AD33" i="1"/>
  <c r="AF33" i="1" s="1"/>
  <c r="AD26" i="1"/>
  <c r="AF26" i="1" s="1"/>
  <c r="AD27" i="1"/>
  <c r="AF27" i="1" s="1"/>
  <c r="AD28" i="1"/>
  <c r="AF28" i="1" s="1"/>
  <c r="AD24" i="1"/>
  <c r="AF24" i="1" s="1"/>
  <c r="AD32" i="1"/>
  <c r="AF32" i="1" s="1"/>
  <c r="AD25" i="1"/>
  <c r="AF25" i="1" s="1"/>
  <c r="AD30" i="1"/>
  <c r="AF30" i="1" s="1"/>
  <c r="AD29" i="1"/>
  <c r="AF29" i="1" s="1"/>
  <c r="AD31" i="1"/>
  <c r="AF31" i="1" s="1"/>
  <c r="AD23" i="1"/>
  <c r="AF23" i="1" s="1"/>
  <c r="AC4" i="1" l="1"/>
  <c r="AC3" i="1"/>
  <c r="AC6" i="1" s="1"/>
  <c r="Z42" i="1" l="1"/>
  <c r="Z40" i="1"/>
  <c r="Z41" i="1"/>
  <c r="Z38" i="1"/>
  <c r="Z39" i="1"/>
  <c r="Z36" i="1"/>
  <c r="Z37" i="1"/>
  <c r="Z28" i="1"/>
  <c r="AA28" i="1" s="1"/>
  <c r="Z34" i="1"/>
  <c r="AA34" i="1" s="1"/>
  <c r="Z35" i="1"/>
  <c r="AA35" i="1" s="1"/>
  <c r="Z32" i="1"/>
  <c r="AA32" i="1" s="1"/>
  <c r="Z23" i="1"/>
  <c r="Z24" i="1"/>
  <c r="AA24" i="1" s="1"/>
  <c r="Z25" i="1"/>
  <c r="AA25" i="1" s="1"/>
  <c r="Z31" i="1"/>
  <c r="Z29" i="1"/>
  <c r="AA29" i="1" s="1"/>
  <c r="Z33" i="1"/>
  <c r="AA33" i="1" s="1"/>
  <c r="Z27" i="1"/>
  <c r="AA27" i="1" s="1"/>
  <c r="Z26" i="1"/>
  <c r="AA26" i="1" s="1"/>
  <c r="Z30" i="1"/>
  <c r="AA30" i="1" s="1"/>
  <c r="AA31" i="1"/>
  <c r="AA42" i="1" l="1"/>
  <c r="AC42" i="1" s="1"/>
  <c r="AE42" i="1" s="1"/>
  <c r="AA41" i="1"/>
  <c r="AB41" i="1" s="1"/>
  <c r="AA40" i="1"/>
  <c r="AB40" i="1" s="1"/>
  <c r="AA39" i="1"/>
  <c r="AB39" i="1" s="1"/>
  <c r="AA38" i="1"/>
  <c r="AB38" i="1" s="1"/>
  <c r="AA23" i="1"/>
  <c r="AC23" i="1" s="1"/>
  <c r="AE23" i="1" s="1"/>
  <c r="AA36" i="1"/>
  <c r="AB36" i="1" s="1"/>
  <c r="AA37" i="1"/>
  <c r="AB37" i="1" s="1"/>
  <c r="AA22" i="1"/>
  <c r="AC22" i="1"/>
  <c r="AA21" i="1"/>
  <c r="AC21" i="1"/>
  <c r="AB35" i="1"/>
  <c r="AB34" i="1"/>
  <c r="AB32" i="1"/>
  <c r="AB33" i="1"/>
  <c r="AB28" i="1"/>
  <c r="AB27" i="1"/>
  <c r="AB29" i="1"/>
  <c r="AB26" i="1"/>
  <c r="AB24" i="1"/>
  <c r="AB31" i="1"/>
  <c r="AB25" i="1"/>
  <c r="AB30" i="1"/>
  <c r="AB42" i="1" l="1"/>
  <c r="AC41" i="1"/>
  <c r="AE41" i="1" s="1"/>
  <c r="AC39" i="1"/>
  <c r="AE39" i="1" s="1"/>
  <c r="AC40" i="1"/>
  <c r="AE40" i="1" s="1"/>
  <c r="AC33" i="1"/>
  <c r="AE33" i="1" s="1"/>
  <c r="AC24" i="1"/>
  <c r="AE24" i="1" s="1"/>
  <c r="AC38" i="1"/>
  <c r="AE38" i="1" s="1"/>
  <c r="AC35" i="1"/>
  <c r="AE35" i="1" s="1"/>
  <c r="AC34" i="1"/>
  <c r="AE34" i="1" s="1"/>
  <c r="AC27" i="1"/>
  <c r="AE27" i="1" s="1"/>
  <c r="AC25" i="1"/>
  <c r="AE25" i="1" s="1"/>
  <c r="AC31" i="1"/>
  <c r="AE31" i="1" s="1"/>
  <c r="AC26" i="1"/>
  <c r="AE26" i="1" s="1"/>
  <c r="AC32" i="1"/>
  <c r="AE32" i="1" s="1"/>
  <c r="AC29" i="1"/>
  <c r="AE29" i="1" s="1"/>
  <c r="AC30" i="1"/>
  <c r="AE30" i="1" s="1"/>
  <c r="AC28" i="1"/>
  <c r="AE28" i="1" s="1"/>
  <c r="AB23" i="1"/>
  <c r="AC9" i="1" s="1"/>
  <c r="AC37" i="1"/>
  <c r="AE37" i="1" s="1"/>
  <c r="AC36" i="1"/>
  <c r="AE36" i="1" s="1"/>
  <c r="AI41" i="1" l="1"/>
  <c r="AJ41" i="1" s="1"/>
  <c r="AI38" i="1"/>
  <c r="AJ38" i="1" s="1"/>
  <c r="AI40" i="1"/>
  <c r="AJ40" i="1" s="1"/>
  <c r="AI39" i="1"/>
  <c r="AJ39" i="1" s="1"/>
  <c r="AC10" i="1"/>
  <c r="AI36" i="1"/>
  <c r="AJ36" i="1" s="1"/>
  <c r="AI37" i="1"/>
  <c r="AJ37" i="1" s="1"/>
  <c r="AI35" i="1"/>
  <c r="AJ35" i="1" s="1"/>
  <c r="AI34" i="1"/>
  <c r="AJ34" i="1" s="1"/>
  <c r="AI23" i="1"/>
  <c r="AJ23" i="1" s="1"/>
  <c r="AI31" i="1"/>
  <c r="AJ31" i="1" s="1"/>
  <c r="AI29" i="1"/>
  <c r="AJ29" i="1" s="1"/>
  <c r="AI24" i="1"/>
  <c r="AJ24" i="1" s="1"/>
  <c r="AI33" i="1"/>
  <c r="AJ33" i="1" s="1"/>
  <c r="AI27" i="1"/>
  <c r="AJ27" i="1" s="1"/>
  <c r="AI30" i="1"/>
  <c r="AJ30" i="1" s="1"/>
  <c r="AI28" i="1"/>
  <c r="AJ28" i="1" s="1"/>
  <c r="AI26" i="1"/>
  <c r="AJ26" i="1" s="1"/>
  <c r="AI32" i="1"/>
  <c r="AJ32" i="1" s="1"/>
  <c r="AI25" i="1"/>
  <c r="AJ25" i="1" s="1"/>
</calcChain>
</file>

<file path=xl/comments1.xml><?xml version="1.0" encoding="utf-8"?>
<comments xmlns="http://schemas.openxmlformats.org/spreadsheetml/2006/main">
  <authors>
    <author>Keith H. Morse</author>
  </authors>
  <commentList>
    <comment ref="A2" authorId="0">
      <text>
        <r>
          <rPr>
            <sz val="9"/>
            <color indexed="81"/>
            <rFont val="Tahoma"/>
            <family val="2"/>
          </rPr>
          <t>Height of Instrument</t>
        </r>
      </text>
    </comment>
    <comment ref="B20" authorId="0">
      <text>
        <r>
          <rPr>
            <sz val="9"/>
            <color indexed="81"/>
            <rFont val="Tahoma"/>
            <family val="2"/>
          </rPr>
          <t>Horizontal angle taken from an arbitrary '0' point.  Data taken from total station.</t>
        </r>
      </text>
    </comment>
    <comment ref="C20" authorId="0">
      <text>
        <r>
          <rPr>
            <sz val="9"/>
            <color indexed="81"/>
            <rFont val="Tahoma"/>
            <family val="2"/>
          </rPr>
          <t>Vertical angle taken from horizontal.  Values &gt;90 indicate downward slope. Data taken from total station.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Slope distance.  Direct distance from instrument to prism.</t>
        </r>
      </text>
    </comment>
    <comment ref="E20" authorId="0">
      <text>
        <r>
          <rPr>
            <sz val="9"/>
            <color indexed="81"/>
            <rFont val="Tahoma"/>
            <family val="2"/>
          </rPr>
          <t>Height of Rod.  Length of prism rod from bottom of foot to center of prism.</t>
        </r>
      </text>
    </comment>
    <comment ref="M20" authorId="0">
      <text>
        <r>
          <rPr>
            <sz val="9"/>
            <color indexed="81"/>
            <rFont val="Tahoma"/>
            <family val="2"/>
          </rPr>
          <t>Correct for errors made during the survey (ie zero horiz. Angle at wrong point).</t>
        </r>
      </text>
    </comment>
    <comment ref="N20" authorId="0">
      <text>
        <r>
          <rPr>
            <sz val="9"/>
            <color indexed="81"/>
            <rFont val="Tahoma"/>
            <family val="2"/>
          </rPr>
          <t>Horiz. angle corrected for known field errors.</t>
        </r>
      </text>
    </comment>
    <comment ref="O20" authorId="0">
      <text>
        <r>
          <rPr>
            <sz val="9"/>
            <color indexed="81"/>
            <rFont val="Tahoma"/>
            <family val="2"/>
          </rPr>
          <t>Correct for difference between surveyed N (when Horiz. Angle is zeroed) and grid N.</t>
        </r>
      </text>
    </comment>
    <comment ref="P20" authorId="0">
      <text>
        <r>
          <rPr>
            <sz val="9"/>
            <color indexed="81"/>
            <rFont val="Tahoma"/>
            <family val="2"/>
          </rPr>
          <t>Corrected bearing angle (from grid N).</t>
        </r>
      </text>
    </comment>
    <comment ref="T20" authorId="0">
      <text>
        <r>
          <rPr>
            <sz val="9"/>
            <color indexed="81"/>
            <rFont val="Tahoma"/>
            <family val="2"/>
          </rPr>
          <t>This is the E coord with the correct bearing.</t>
        </r>
      </text>
    </comment>
    <comment ref="U20" authorId="0">
      <text>
        <r>
          <rPr>
            <sz val="9"/>
            <color indexed="81"/>
            <rFont val="Tahoma"/>
            <family val="2"/>
          </rPr>
          <t>This is the N coord with the correct bearing.</t>
        </r>
      </text>
    </comment>
    <comment ref="V20" authorId="0">
      <text>
        <r>
          <rPr>
            <sz val="9"/>
            <color indexed="81"/>
            <rFont val="Tahoma"/>
            <family val="2"/>
          </rPr>
          <t>This is the Z coord calculated from the total station data.</t>
        </r>
      </text>
    </comment>
    <comment ref="W20" authorId="0">
      <text>
        <r>
          <rPr>
            <sz val="9"/>
            <color indexed="81"/>
            <rFont val="Tahoma"/>
            <family val="2"/>
          </rPr>
          <t>This is the Z coord with the correct bearing.</t>
        </r>
      </text>
    </comment>
    <comment ref="X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Y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Z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A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B20" authorId="0">
      <text>
        <r>
          <rPr>
            <sz val="9"/>
            <color indexed="81"/>
            <rFont val="Tahoma"/>
            <family val="2"/>
          </rPr>
          <t>Distance from cross section point to point on line of best fit.</t>
        </r>
      </text>
    </comment>
    <comment ref="AC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D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  <comment ref="AE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F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</commentList>
</comments>
</file>

<file path=xl/sharedStrings.xml><?xml version="1.0" encoding="utf-8"?>
<sst xmlns="http://schemas.openxmlformats.org/spreadsheetml/2006/main" count="106" uniqueCount="93">
  <si>
    <t>PT</t>
  </si>
  <si>
    <t>HL</t>
  </si>
  <si>
    <t>VL</t>
  </si>
  <si>
    <t>SD</t>
  </si>
  <si>
    <t>HR</t>
  </si>
  <si>
    <t>Notes</t>
  </si>
  <si>
    <t>N</t>
  </si>
  <si>
    <t>E</t>
  </si>
  <si>
    <t>Z</t>
  </si>
  <si>
    <t>Easting</t>
  </si>
  <si>
    <t>Z (Elev)</t>
  </si>
  <si>
    <t>Raw GPS Data (P,N,E,Z)</t>
  </si>
  <si>
    <t>TS Z</t>
  </si>
  <si>
    <t>GPS Pt</t>
  </si>
  <si>
    <t>Northing</t>
  </si>
  <si>
    <t>Bearing</t>
  </si>
  <si>
    <t>HI</t>
  </si>
  <si>
    <t>Cross Section Start</t>
  </si>
  <si>
    <t>Cross Section End</t>
  </si>
  <si>
    <t>BRG</t>
  </si>
  <si>
    <t>Rotated Coordinates</t>
  </si>
  <si>
    <t>Bearing Correction</t>
  </si>
  <si>
    <t>To GPS Pt</t>
  </si>
  <si>
    <t>Pt</t>
  </si>
  <si>
    <t>BackSight1</t>
  </si>
  <si>
    <t>BackSight2</t>
  </si>
  <si>
    <t>β2</t>
  </si>
  <si>
    <t>α+β2</t>
  </si>
  <si>
    <t>β1</t>
  </si>
  <si>
    <r>
      <rPr>
        <b/>
        <sz val="11"/>
        <color theme="1"/>
        <rFont val="Calibri"/>
        <family val="2"/>
      </rPr>
      <t>θ</t>
    </r>
    <r>
      <rPr>
        <b/>
        <sz val="8.8000000000000007"/>
        <color theme="1"/>
        <rFont val="Calibri"/>
        <family val="2"/>
      </rPr>
      <t>=</t>
    </r>
    <r>
      <rPr>
        <b/>
        <sz val="11"/>
        <color theme="1"/>
        <rFont val="Calibri"/>
        <family val="2"/>
        <scheme val="minor"/>
      </rPr>
      <t>α+β1+β2</t>
    </r>
  </si>
  <si>
    <t>From TS Pt B</t>
  </si>
  <si>
    <t>From TS Pt A</t>
  </si>
  <si>
    <t>d BRG A</t>
  </si>
  <si>
    <t>d BRG B</t>
  </si>
  <si>
    <t>Elevation Correction</t>
  </si>
  <si>
    <t>d Z A</t>
  </si>
  <si>
    <t>d Z B</t>
  </si>
  <si>
    <t>AVG d Z</t>
  </si>
  <si>
    <t xml:space="preserve"> = d Z</t>
  </si>
  <si>
    <t>AVG d BRG (β1)</t>
  </si>
  <si>
    <t>CS Slope</t>
  </si>
  <si>
    <t>CS Y-Int</t>
  </si>
  <si>
    <t>Perp Slope</t>
  </si>
  <si>
    <r>
      <t>E (x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</si>
  <si>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>N (y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</si>
  <si>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t>Cross Section Coord</t>
  </si>
  <si>
    <t>Coord on Line</t>
  </si>
  <si>
    <t xml:space="preserve">Dist from </t>
  </si>
  <si>
    <t>Line</t>
  </si>
  <si>
    <t>Avg Dist from Line</t>
  </si>
  <si>
    <t>Std Dev of Dist from Line</t>
  </si>
  <si>
    <t>Dist from</t>
  </si>
  <si>
    <t>"First Pt"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</si>
  <si>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</si>
  <si>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</si>
  <si>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B</t>
    </r>
  </si>
  <si>
    <t>Proj Dist Along Cross Section</t>
  </si>
  <si>
    <t>Name</t>
  </si>
  <si>
    <t>D</t>
  </si>
  <si>
    <t>Icon</t>
  </si>
  <si>
    <t>G</t>
  </si>
  <si>
    <t>IconColor</t>
  </si>
  <si>
    <t>Folder</t>
  </si>
  <si>
    <t>Position</t>
  </si>
  <si>
    <t>Min Z</t>
  </si>
  <si>
    <t>Z'</t>
  </si>
  <si>
    <t>Input Unit</t>
  </si>
  <si>
    <t>Output Unit</t>
  </si>
  <si>
    <t xml:space="preserve"> </t>
  </si>
  <si>
    <t>PT1</t>
  </si>
  <si>
    <t>PT2</t>
  </si>
  <si>
    <t>ft</t>
  </si>
  <si>
    <t>m</t>
  </si>
  <si>
    <t>"First Pt" ft</t>
  </si>
  <si>
    <t>Z' ft</t>
  </si>
  <si>
    <t>HD</t>
  </si>
  <si>
    <t>VD</t>
  </si>
  <si>
    <t>VL(rad)</t>
  </si>
  <si>
    <t>DeltaE</t>
  </si>
  <si>
    <t>DeltaN</t>
  </si>
  <si>
    <t>BRG(rad)</t>
  </si>
  <si>
    <t>HL(rad)</t>
  </si>
  <si>
    <t>HL(deg)(0=N)</t>
  </si>
  <si>
    <t>VL(deg)(0=Up)</t>
  </si>
  <si>
    <t>WS</t>
  </si>
  <si>
    <t>BS/ZERO</t>
  </si>
  <si>
    <t>CSS18</t>
  </si>
  <si>
    <t>1,453687.597,1087279.149,1216.643,1216.643,</t>
  </si>
  <si>
    <t>2,453700.423,1087281.959,1216.389,1216.389,</t>
  </si>
  <si>
    <t>3,453677.458,1087286.177,1220.811,1220.811,</t>
  </si>
  <si>
    <t>4,453676.202,1087292.361,1218.268,1218.268,|BM432</t>
  </si>
  <si>
    <t>BM 432</t>
  </si>
  <si>
    <t>BM432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</si>
</sst>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h]\°mm\'ss\&quot;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.8000000000000007"/>
      <color theme="1"/>
      <name val="Calibri"/>
      <family val="2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/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left"/>
    </xf>
    <xf numFmtId="0" fontId="1" fillId="0" borderId="0" xfId="0" quotePrefix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/>
    <xf numFmtId="0" fontId="1" fillId="2" borderId="0" xfId="0" quotePrefix="1" applyFont="1" applyFill="1" applyAlignment="1"/>
    <xf numFmtId="0" fontId="1" fillId="2" borderId="0" xfId="0" applyFont="1" applyFill="1" applyAlignment="1"/>
    <xf numFmtId="1" fontId="0" fillId="3" borderId="1" xfId="0" applyNumberFormat="1" applyFont="1" applyFill="1" applyBorder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/>
    <xf numFmtId="165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Calculations!$AH$23:$AH$66</c:f>
              <c:numCache>
                <c:formatCode>General</c:formatCode>
                <c:ptCount val="44"/>
                <c:pt idx="0">
                  <c:v>0</c:v>
                </c:pt>
                <c:pt idx="1">
                  <c:v>12.9</c:v>
                </c:pt>
                <c:pt idx="2">
                  <c:v>18.5</c:v>
                </c:pt>
                <c:pt idx="3">
                  <c:v>32.42</c:v>
                </c:pt>
                <c:pt idx="4">
                  <c:v>39.29</c:v>
                </c:pt>
                <c:pt idx="5">
                  <c:v>73.06</c:v>
                </c:pt>
                <c:pt idx="6">
                  <c:v>132.38999999999999</c:v>
                </c:pt>
                <c:pt idx="7">
                  <c:v>144.1</c:v>
                </c:pt>
                <c:pt idx="8">
                  <c:v>200.8</c:v>
                </c:pt>
                <c:pt idx="9">
                  <c:v>202</c:v>
                </c:pt>
                <c:pt idx="10">
                  <c:v>206.43</c:v>
                </c:pt>
                <c:pt idx="11">
                  <c:v>261.52</c:v>
                </c:pt>
                <c:pt idx="12">
                  <c:v>327.41000000000003</c:v>
                </c:pt>
                <c:pt idx="13">
                  <c:v>331.24</c:v>
                </c:pt>
                <c:pt idx="14">
                  <c:v>333.46</c:v>
                </c:pt>
                <c:pt idx="15">
                  <c:v>391.71</c:v>
                </c:pt>
                <c:pt idx="16">
                  <c:v>407.46</c:v>
                </c:pt>
                <c:pt idx="17">
                  <c:v>416.84</c:v>
                </c:pt>
                <c:pt idx="18">
                  <c:v>450.58</c:v>
                </c:pt>
              </c:numCache>
            </c:numRef>
          </c:xVal>
          <c:yVal>
            <c:numRef>
              <c:f>Calculations!$AI$23:$AI$66</c:f>
              <c:numCache>
                <c:formatCode>General</c:formatCode>
                <c:ptCount val="44"/>
                <c:pt idx="0">
                  <c:v>14.29</c:v>
                </c:pt>
                <c:pt idx="1">
                  <c:v>12.12</c:v>
                </c:pt>
                <c:pt idx="2">
                  <c:v>10.44</c:v>
                </c:pt>
                <c:pt idx="3">
                  <c:v>9.16</c:v>
                </c:pt>
                <c:pt idx="4">
                  <c:v>7.83</c:v>
                </c:pt>
                <c:pt idx="5">
                  <c:v>5.7</c:v>
                </c:pt>
                <c:pt idx="6">
                  <c:v>5.58</c:v>
                </c:pt>
                <c:pt idx="7">
                  <c:v>2.1800000000000002</c:v>
                </c:pt>
                <c:pt idx="8">
                  <c:v>1.6</c:v>
                </c:pt>
                <c:pt idx="9">
                  <c:v>1.29</c:v>
                </c:pt>
                <c:pt idx="10">
                  <c:v>0.65</c:v>
                </c:pt>
                <c:pt idx="11">
                  <c:v>0.65</c:v>
                </c:pt>
                <c:pt idx="12">
                  <c:v>0</c:v>
                </c:pt>
                <c:pt idx="13">
                  <c:v>1.2</c:v>
                </c:pt>
                <c:pt idx="14">
                  <c:v>3.19</c:v>
                </c:pt>
                <c:pt idx="15">
                  <c:v>3.03</c:v>
                </c:pt>
                <c:pt idx="16">
                  <c:v>6.76</c:v>
                </c:pt>
                <c:pt idx="17">
                  <c:v>4.63</c:v>
                </c:pt>
                <c:pt idx="18">
                  <c:v>16.16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26624"/>
        <c:axId val="91353856"/>
      </c:scatterChart>
      <c:valAx>
        <c:axId val="908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53856"/>
        <c:crosses val="autoZero"/>
        <c:crossBetween val="midCat"/>
      </c:valAx>
      <c:valAx>
        <c:axId val="9135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2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Calculations!$R$24:$R$41</c:f>
              <c:numCache>
                <c:formatCode>0.00</c:formatCode>
                <c:ptCount val="18"/>
                <c:pt idx="0">
                  <c:v>-0.25009492859837534</c:v>
                </c:pt>
                <c:pt idx="1">
                  <c:v>-4.6377922130088161</c:v>
                </c:pt>
                <c:pt idx="2">
                  <c:v>-6.4875244435721777</c:v>
                </c:pt>
                <c:pt idx="3">
                  <c:v>-10.866955603605989</c:v>
                </c:pt>
                <c:pt idx="4">
                  <c:v>-12.988870402919208</c:v>
                </c:pt>
                <c:pt idx="5">
                  <c:v>-23.212652880749619</c:v>
                </c:pt>
                <c:pt idx="6">
                  <c:v>-40.583223484668785</c:v>
                </c:pt>
                <c:pt idx="7">
                  <c:v>-43.547148032929591</c:v>
                </c:pt>
                <c:pt idx="8">
                  <c:v>-59.439758231577045</c:v>
                </c:pt>
                <c:pt idx="9">
                  <c:v>-59.298639550730329</c:v>
                </c:pt>
                <c:pt idx="10">
                  <c:v>-60.82679518005849</c:v>
                </c:pt>
                <c:pt idx="11">
                  <c:v>-75.959649907774107</c:v>
                </c:pt>
                <c:pt idx="12">
                  <c:v>-94.408839112977191</c:v>
                </c:pt>
                <c:pt idx="13">
                  <c:v>-95.515737723523372</c:v>
                </c:pt>
                <c:pt idx="14">
                  <c:v>-95.987191083663106</c:v>
                </c:pt>
                <c:pt idx="15">
                  <c:v>-112.31809920562073</c:v>
                </c:pt>
                <c:pt idx="16">
                  <c:v>-116.86056223147972</c:v>
                </c:pt>
                <c:pt idx="17">
                  <c:v>-119.34919404500897</c:v>
                </c:pt>
              </c:numCache>
            </c:numRef>
          </c:xVal>
          <c:yVal>
            <c:numRef>
              <c:f>Calculations!$S$24:$S$41</c:f>
              <c:numCache>
                <c:formatCode>0.00</c:formatCode>
                <c:ptCount val="18"/>
                <c:pt idx="0">
                  <c:v>-4.7416816372205011</c:v>
                </c:pt>
                <c:pt idx="1">
                  <c:v>-4.3769702808861917</c:v>
                </c:pt>
                <c:pt idx="2">
                  <c:v>-4.3557774674272345</c:v>
                </c:pt>
                <c:pt idx="3">
                  <c:v>-4.8447116724136174</c:v>
                </c:pt>
                <c:pt idx="4">
                  <c:v>-5.1818042625661223</c:v>
                </c:pt>
                <c:pt idx="5">
                  <c:v>-7.3497228679786559</c:v>
                </c:pt>
                <c:pt idx="6">
                  <c:v>-12.629444015087438</c:v>
                </c:pt>
                <c:pt idx="7">
                  <c:v>-14.825802202529674</c:v>
                </c:pt>
                <c:pt idx="8">
                  <c:v>-21.62087609848296</c:v>
                </c:pt>
                <c:pt idx="9">
                  <c:v>-22.946484473331001</c:v>
                </c:pt>
                <c:pt idx="10">
                  <c:v>-22.771741322683049</c:v>
                </c:pt>
                <c:pt idx="11">
                  <c:v>-30.142244386463879</c:v>
                </c:pt>
                <c:pt idx="12">
                  <c:v>-38.087676927250257</c:v>
                </c:pt>
                <c:pt idx="13">
                  <c:v>-38.464257034494089</c:v>
                </c:pt>
                <c:pt idx="14">
                  <c:v>-39.100472159776757</c:v>
                </c:pt>
                <c:pt idx="15">
                  <c:v>-46.076368000615055</c:v>
                </c:pt>
                <c:pt idx="16">
                  <c:v>-47.646862569700417</c:v>
                </c:pt>
                <c:pt idx="17">
                  <c:v>-49.123734681023613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79200"/>
        <c:axId val="91385856"/>
      </c:scatterChart>
      <c:valAx>
        <c:axId val="913792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1385856"/>
        <c:crosses val="autoZero"/>
        <c:crossBetween val="midCat"/>
      </c:valAx>
      <c:valAx>
        <c:axId val="913858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379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Calculations!$Z$21:$Z$46</c:f>
              <c:numCache>
                <c:formatCode>0.00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1087277.2961227659</c:v>
                </c:pt>
                <c:pt idx="4">
                  <c:v>1087273.6504759593</c:v>
                </c:pt>
                <c:pt idx="5">
                  <c:v>1087272.0675400891</c:v>
                </c:pt>
                <c:pt idx="6">
                  <c:v>1087268.1325690267</c:v>
                </c:pt>
                <c:pt idx="7">
                  <c:v>1087266.1912102909</c:v>
                </c:pt>
                <c:pt idx="8">
                  <c:v>1087256.6485641522</c:v>
                </c:pt>
                <c:pt idx="9">
                  <c:v>1087239.8809310121</c:v>
                </c:pt>
                <c:pt idx="10">
                  <c:v>1087236.5700243239</c:v>
                </c:pt>
                <c:pt idx="11">
                  <c:v>1087220.5468471136</c:v>
                </c:pt>
                <c:pt idx="12">
                  <c:v>1087220.2078514567</c:v>
                </c:pt>
                <c:pt idx="13">
                  <c:v>1087218.9547097769</c:v>
                </c:pt>
                <c:pt idx="14">
                  <c:v>1087203.3849078256</c:v>
                </c:pt>
                <c:pt idx="15">
                  <c:v>1087184.7642630851</c:v>
                </c:pt>
                <c:pt idx="16">
                  <c:v>1087183.6818456927</c:v>
                </c:pt>
                <c:pt idx="17">
                  <c:v>1087183.0555891364</c:v>
                </c:pt>
                <c:pt idx="18">
                  <c:v>1087166.5927971976</c:v>
                </c:pt>
                <c:pt idx="19">
                  <c:v>1087162.142085453</c:v>
                </c:pt>
                <c:pt idx="20">
                  <c:v>1087159.4896522877</c:v>
                </c:pt>
                <c:pt idx="21">
                  <c:v>1087149.9555824923</c:v>
                </c:pt>
                <c:pt idx="22">
                  <c:v>#N/A</c:v>
                </c:pt>
              </c:numCache>
            </c:numRef>
          </c:xVal>
          <c:yVal>
            <c:numRef>
              <c:f>Calculations!$AA$21:$AA$46</c:f>
              <c:numCache>
                <c:formatCode>0.00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453686.82355325192</c:v>
                </c:pt>
                <c:pt idx="4">
                  <c:v>453685.35106526723</c:v>
                </c:pt>
                <c:pt idx="5">
                  <c:v>453684.71171258908</c:v>
                </c:pt>
                <c:pt idx="6">
                  <c:v>453683.12236564548</c:v>
                </c:pt>
                <c:pt idx="7">
                  <c:v>453682.33824486687</c:v>
                </c:pt>
                <c:pt idx="8">
                  <c:v>453678.48394067155</c:v>
                </c:pt>
                <c:pt idx="9">
                  <c:v>453671.71144195169</c:v>
                </c:pt>
                <c:pt idx="10">
                  <c:v>453670.37415653281</c:v>
                </c:pt>
                <c:pt idx="11">
                  <c:v>453663.90234585822</c:v>
                </c:pt>
                <c:pt idx="12">
                  <c:v>453663.76542446727</c:v>
                </c:pt>
                <c:pt idx="13">
                  <c:v>453663.25927667937</c:v>
                </c:pt>
                <c:pt idx="14">
                  <c:v>453656.97058566962</c:v>
                </c:pt>
                <c:pt idx="15">
                  <c:v>453649.44964985159</c:v>
                </c:pt>
                <c:pt idx="16">
                  <c:v>453649.01245812973</c:v>
                </c:pt>
                <c:pt idx="17">
                  <c:v>453648.75951117591</c:v>
                </c:pt>
                <c:pt idx="18">
                  <c:v>453642.1101387571</c:v>
                </c:pt>
                <c:pt idx="19">
                  <c:v>453640.31248256192</c:v>
                </c:pt>
                <c:pt idx="20">
                  <c:v>453639.241156629</c:v>
                </c:pt>
                <c:pt idx="21">
                  <c:v>453635.39031644515</c:v>
                </c:pt>
                <c:pt idx="22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24352"/>
        <c:axId val="148318464"/>
      </c:scatterChart>
      <c:valAx>
        <c:axId val="1483243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48318464"/>
        <c:crosses val="autoZero"/>
        <c:crossBetween val="midCat"/>
      </c:valAx>
      <c:valAx>
        <c:axId val="148318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8324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Calculations!$L$57:$L$83</c:f>
              <c:numCache>
                <c:formatCode>General</c:formatCode>
                <c:ptCount val="27"/>
              </c:numCache>
            </c:numRef>
          </c:xVal>
          <c:yVal>
            <c:numRef>
              <c:f>Calculations!$M$57:$M$83</c:f>
              <c:numCache>
                <c:formatCode>0.00</c:formatCode>
                <c:ptCount val="27"/>
              </c:numCache>
            </c:numRef>
          </c:yVal>
          <c:smooth val="0"/>
        </c:ser>
        <c:ser>
          <c:idx val="1"/>
          <c:order val="1"/>
          <c:tx>
            <c:v>BM</c:v>
          </c:tx>
          <c:spPr>
            <a:ln w="28575">
              <a:noFill/>
            </a:ln>
          </c:spPr>
          <c:xVal>
            <c:numRef>
              <c:f>(Calculations!$L$55:$L$56,Calculations!$L$84:$L$85)</c:f>
              <c:numCache>
                <c:formatCode>General</c:formatCode>
                <c:ptCount val="4"/>
              </c:numCache>
            </c:numRef>
          </c:xVal>
          <c:yVal>
            <c:numRef>
              <c:f>(Calculations!$M$55:$M$56,Calculations!$M$84:$M$85)</c:f>
              <c:numCache>
                <c:formatCode>0.00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3600"/>
        <c:axId val="91515136"/>
      </c:scatterChart>
      <c:valAx>
        <c:axId val="915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515136"/>
        <c:crosses val="autoZero"/>
        <c:crossBetween val="midCat"/>
      </c:valAx>
      <c:valAx>
        <c:axId val="91515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513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711321</xdr:colOff>
      <xdr:row>42</xdr:row>
      <xdr:rowOff>179779</xdr:rowOff>
    </xdr:from>
    <xdr:to>
      <xdr:col>34</xdr:col>
      <xdr:colOff>279892</xdr:colOff>
      <xdr:row>57</xdr:row>
      <xdr:rowOff>65479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78442</xdr:colOff>
      <xdr:row>43</xdr:row>
      <xdr:rowOff>65017</xdr:rowOff>
    </xdr:from>
    <xdr:to>
      <xdr:col>21</xdr:col>
      <xdr:colOff>26571</xdr:colOff>
      <xdr:row>57</xdr:row>
      <xdr:rowOff>141217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134470</xdr:colOff>
      <xdr:row>43</xdr:row>
      <xdr:rowOff>62753</xdr:rowOff>
    </xdr:from>
    <xdr:to>
      <xdr:col>27</xdr:col>
      <xdr:colOff>347382</xdr:colOff>
      <xdr:row>57</xdr:row>
      <xdr:rowOff>138953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6</xdr:row>
      <xdr:rowOff>47625</xdr:rowOff>
    </xdr:from>
    <xdr:to>
      <xdr:col>22</xdr:col>
      <xdr:colOff>333375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85"/>
  <sheetViews>
    <sheetView tabSelected="1" zoomScale="85" zoomScaleNormal="85" workbookViewId="0">
      <selection sqref="A1:B1"/>
    </sheetView>
  </sheetViews>
  <sheetFormatPr defaultColWidth="10.7109375" defaultRowHeight="15" x14ac:dyDescent="0.25"/>
  <cols>
    <col min="1" max="1" width="10.7109375" style="2"/>
    <col min="2" max="2" width="10.85546875" style="17" bestFit="1" customWidth="1"/>
    <col min="3" max="3" width="10.7109375" style="17"/>
    <col min="4" max="6" width="10.7109375" style="2"/>
    <col min="7" max="7" width="12.7109375" style="2" bestFit="1" customWidth="1"/>
    <col min="8" max="8" width="10.7109375" style="2"/>
    <col min="9" max="9" width="12.5703125" style="2" bestFit="1" customWidth="1"/>
    <col min="10" max="11" width="10.7109375" style="2"/>
    <col min="12" max="12" width="12" style="2" bestFit="1" customWidth="1"/>
    <col min="13" max="14" width="10.7109375" style="16"/>
    <col min="15" max="15" width="10.7109375" style="16" customWidth="1"/>
    <col min="16" max="21" width="10.7109375" style="16"/>
    <col min="22" max="22" width="11.5703125" style="16" bestFit="1" customWidth="1"/>
    <col min="23" max="23" width="10.7109375" style="16"/>
    <col min="24" max="24" width="10.7109375" style="16" customWidth="1"/>
    <col min="25" max="27" width="10.7109375" style="16"/>
    <col min="28" max="28" width="10.7109375" style="2"/>
    <col min="29" max="29" width="10.7109375" style="2" customWidth="1"/>
    <col min="30" max="16384" width="10.7109375" style="2"/>
  </cols>
  <sheetData>
    <row r="1" spans="1:29" x14ac:dyDescent="0.25">
      <c r="A1" s="60" t="s">
        <v>86</v>
      </c>
      <c r="B1" s="61"/>
      <c r="C1" s="51">
        <v>40825</v>
      </c>
      <c r="D1" s="44"/>
      <c r="E1" s="44"/>
      <c r="F1" s="44"/>
      <c r="M1" s="58" t="s">
        <v>21</v>
      </c>
      <c r="N1" s="58"/>
      <c r="O1" s="58"/>
      <c r="P1" s="58"/>
      <c r="Q1" s="58"/>
      <c r="R1" s="22"/>
      <c r="W1" s="55" t="s">
        <v>34</v>
      </c>
      <c r="X1" s="55"/>
      <c r="Y1" s="55"/>
      <c r="Z1" s="2"/>
      <c r="AA1" s="55" t="s">
        <v>56</v>
      </c>
      <c r="AB1" s="55"/>
      <c r="AC1" s="55"/>
    </row>
    <row r="2" spans="1:29" x14ac:dyDescent="0.25">
      <c r="A2" s="60" t="s">
        <v>16</v>
      </c>
      <c r="B2" s="61"/>
      <c r="C2" s="38">
        <v>1.387</v>
      </c>
      <c r="D2" s="44"/>
      <c r="E2" s="44"/>
      <c r="F2" s="44"/>
      <c r="M2" s="20"/>
      <c r="N2" s="20"/>
      <c r="O2" s="20"/>
      <c r="P2" s="20"/>
      <c r="Q2" s="20"/>
      <c r="R2" s="22"/>
      <c r="W2" s="22"/>
      <c r="X2" s="22"/>
      <c r="Y2" s="22"/>
      <c r="Z2" s="2"/>
      <c r="AA2" s="22"/>
      <c r="AB2" s="22"/>
      <c r="AC2" s="22"/>
    </row>
    <row r="3" spans="1:29" ht="18" x14ac:dyDescent="0.35">
      <c r="A3" s="60" t="s">
        <v>66</v>
      </c>
      <c r="B3" s="61"/>
      <c r="C3" s="38" t="s">
        <v>72</v>
      </c>
      <c r="D3" s="44"/>
      <c r="E3" s="44"/>
      <c r="F3" s="44"/>
      <c r="M3" s="21" t="s">
        <v>13</v>
      </c>
      <c r="N3" s="21" t="s">
        <v>9</v>
      </c>
      <c r="O3" s="21" t="s">
        <v>14</v>
      </c>
      <c r="P3" s="21" t="s">
        <v>10</v>
      </c>
      <c r="Q3" s="21" t="s">
        <v>15</v>
      </c>
      <c r="R3" s="22"/>
      <c r="W3" s="20"/>
      <c r="X3" s="21" t="s">
        <v>10</v>
      </c>
      <c r="Y3" s="21" t="s">
        <v>10</v>
      </c>
      <c r="Z3" s="2"/>
      <c r="AA3" s="21" t="s">
        <v>40</v>
      </c>
      <c r="AB3" s="21" t="s">
        <v>53</v>
      </c>
      <c r="AC3" s="20">
        <f ca="1">SLOPE(yB,xB)</f>
        <v>0.40390308299491928</v>
      </c>
    </row>
    <row r="4" spans="1:29" ht="18" x14ac:dyDescent="0.35">
      <c r="A4" s="60" t="s">
        <v>67</v>
      </c>
      <c r="B4" s="61"/>
      <c r="C4" s="38" t="s">
        <v>71</v>
      </c>
      <c r="D4" s="44"/>
      <c r="E4" s="44"/>
      <c r="F4" s="44"/>
      <c r="M4" s="22">
        <v>0</v>
      </c>
      <c r="N4" s="20">
        <f>VALUE(MID(C10,FIND(",",C10,3)+1,FIND(",",C10,15)-FIND(",",C10,3)-1))</f>
        <v>1087279.149</v>
      </c>
      <c r="O4" s="20">
        <f>VALUE(MID(C10,FIND(",",C10,1)+1,FIND(",",C10,5)-FIND(",",C10,1)-1))</f>
        <v>453687.59700000001</v>
      </c>
      <c r="P4" s="20">
        <f>VALUE(MID(C10,FIND(",",C10,17)+1,FIND(",",C10,27)-FIND(",",C10,17)-1))</f>
        <v>1216.643</v>
      </c>
      <c r="Q4" s="23"/>
      <c r="R4" s="22"/>
      <c r="W4" s="27"/>
      <c r="X4" s="20">
        <f ca="1">VALUE(OFFSET($P$3,MATCH($O$10,$M$4:$M$6,0),0))</f>
        <v>1216.3889999999999</v>
      </c>
      <c r="Y4" s="20">
        <f ca="1">OFFSET($P$3,MATCH($Q$10,$M$4:$M$6,0),0)</f>
        <v>1220.8109999999999</v>
      </c>
      <c r="Z4" s="2"/>
      <c r="AA4" s="26" t="s">
        <v>41</v>
      </c>
      <c r="AB4" s="26" t="s">
        <v>54</v>
      </c>
      <c r="AC4" s="28">
        <f ca="1">INTERCEPT(yB,xB)</f>
        <v>14532.171578886977</v>
      </c>
    </row>
    <row r="5" spans="1:29" x14ac:dyDescent="0.25">
      <c r="A5" s="52"/>
      <c r="B5" s="46"/>
      <c r="C5" s="46"/>
      <c r="D5" s="4"/>
      <c r="E5" s="44"/>
      <c r="F5" s="44"/>
      <c r="M5" s="22">
        <v>1</v>
      </c>
      <c r="N5" s="20">
        <f t="shared" ref="N5:N6" si="0">VALUE(MID(C11,FIND(",",C11,3)+1,FIND(",",C11,15)-FIND(",",C11,3)-1))</f>
        <v>1087281.959</v>
      </c>
      <c r="O5" s="20">
        <f t="shared" ref="O5:O6" si="1">VALUE(MID(C11,FIND(",",C11,1)+1,FIND(",",C11,5)-FIND(",",C11,1)-1))</f>
        <v>453700.42300000001</v>
      </c>
      <c r="P5" s="20">
        <f t="shared" ref="P5:P6" si="2">VALUE(MID(C11,FIND(",",C11,17)+1,FIND(",",C11,27)-FIND(",",C11,17)-1))</f>
        <v>1216.3889999999999</v>
      </c>
      <c r="Q5" s="24">
        <f>DEGREES(ATAN2(Old_Y1-Old_Y0,Old_X1-Old_X0))+IF(Old_X1-Old_X0&lt;0,360)</f>
        <v>12.357470865018534</v>
      </c>
      <c r="R5" s="22"/>
      <c r="W5" s="21"/>
      <c r="X5" s="20">
        <f ca="1">VALUE(OFFSET($V$20,MATCH($O11,$A$21:$A$51,0),0))</f>
        <v>1215.6037564605597</v>
      </c>
      <c r="Y5" s="20">
        <f ca="1">OFFSET($V$20,MATCH($Q11,$A$21:$A$51,0),0)</f>
        <v>1218.062241873869</v>
      </c>
      <c r="Z5" s="2"/>
      <c r="AA5" s="26"/>
      <c r="AB5" s="26"/>
      <c r="AC5" s="20"/>
    </row>
    <row r="6" spans="1:29" ht="18" x14ac:dyDescent="0.35">
      <c r="A6" s="62" t="s">
        <v>17</v>
      </c>
      <c r="B6" s="62"/>
      <c r="C6" s="38">
        <v>4</v>
      </c>
      <c r="D6" s="4"/>
      <c r="E6" s="44"/>
      <c r="F6" s="44"/>
      <c r="M6" s="22">
        <v>2</v>
      </c>
      <c r="N6" s="20">
        <f t="shared" si="0"/>
        <v>1087286.1769999999</v>
      </c>
      <c r="O6" s="20">
        <f t="shared" si="1"/>
        <v>453677.45799999998</v>
      </c>
      <c r="P6" s="20">
        <f t="shared" si="2"/>
        <v>1220.8109999999999</v>
      </c>
      <c r="Q6" s="24">
        <f>DEGREES(ATAN2(Old_Y2-Old_Y0,Old_X2-Old_X0))+IF(Old_X2-Old_X0&lt;0,360)</f>
        <v>145.27165434587994</v>
      </c>
      <c r="R6" s="22"/>
      <c r="W6" s="21"/>
      <c r="X6" s="20">
        <f ca="1">VALUE(OFFSET($V$20,MATCH($O12,$A$21:$A$61,0),0))</f>
        <v>0</v>
      </c>
      <c r="Y6" s="20">
        <f ca="1">VALUE(OFFSET($V$20,MATCH($O12,$A$21:$A$61,0),0))</f>
        <v>0</v>
      </c>
      <c r="Z6" s="5"/>
      <c r="AA6" s="26" t="s">
        <v>42</v>
      </c>
      <c r="AB6" s="21" t="s">
        <v>55</v>
      </c>
      <c r="AC6" s="20">
        <f ca="1">-1/mA</f>
        <v>-2.4758414632170043</v>
      </c>
    </row>
    <row r="7" spans="1:29" x14ac:dyDescent="0.25">
      <c r="A7" s="62" t="s">
        <v>18</v>
      </c>
      <c r="B7" s="62"/>
      <c r="C7" s="38">
        <v>22</v>
      </c>
      <c r="D7" s="4"/>
      <c r="E7" s="44"/>
      <c r="F7" s="44"/>
      <c r="M7" s="20"/>
      <c r="N7" s="20"/>
      <c r="O7" s="20"/>
      <c r="P7" s="20"/>
      <c r="Q7" s="20"/>
      <c r="R7" s="22"/>
      <c r="W7" s="20"/>
      <c r="X7" s="20"/>
      <c r="Y7" s="20"/>
      <c r="Z7" s="2"/>
      <c r="AA7" s="20"/>
      <c r="AB7" s="20"/>
      <c r="AC7" s="20"/>
    </row>
    <row r="8" spans="1:29" x14ac:dyDescent="0.25">
      <c r="A8" s="54"/>
      <c r="B8" s="48"/>
      <c r="C8" s="48"/>
      <c r="D8" s="4"/>
      <c r="E8" s="44"/>
      <c r="F8" s="44"/>
      <c r="M8" s="22"/>
      <c r="N8" s="20"/>
      <c r="O8" s="55" t="s">
        <v>24</v>
      </c>
      <c r="P8" s="55"/>
      <c r="Q8" s="55" t="s">
        <v>25</v>
      </c>
      <c r="R8" s="55"/>
      <c r="W8" s="21" t="s">
        <v>35</v>
      </c>
      <c r="X8" s="20">
        <f ca="1">X5-X4</f>
        <v>-0.78524353944021641</v>
      </c>
      <c r="Y8" s="20">
        <f ca="1">Y5-Y4</f>
        <v>-2.7487581261309515</v>
      </c>
      <c r="AA8" s="20"/>
      <c r="AB8" s="22"/>
      <c r="AC8" s="22"/>
    </row>
    <row r="9" spans="1:29" x14ac:dyDescent="0.25">
      <c r="A9" s="6"/>
      <c r="B9" s="48"/>
      <c r="C9" s="9" t="s">
        <v>11</v>
      </c>
      <c r="D9" s="44"/>
      <c r="E9" s="44"/>
      <c r="F9" s="44"/>
      <c r="M9" s="20"/>
      <c r="N9" s="20"/>
      <c r="O9" s="25" t="s">
        <v>23</v>
      </c>
      <c r="P9" s="26" t="s">
        <v>19</v>
      </c>
      <c r="Q9" s="26" t="s">
        <v>23</v>
      </c>
      <c r="R9" s="26" t="s">
        <v>19</v>
      </c>
      <c r="W9" s="21" t="s">
        <v>36</v>
      </c>
      <c r="X9" s="20">
        <f ca="1">X6-X4</f>
        <v>-1216.3889999999999</v>
      </c>
      <c r="Y9" s="20">
        <f ca="1">Y6-Y4</f>
        <v>-1220.8109999999999</v>
      </c>
      <c r="AA9" s="31" t="s">
        <v>49</v>
      </c>
      <c r="AB9" s="31"/>
      <c r="AC9" s="20">
        <f ca="1">AVERAGE(DfromL)</f>
        <v>1.4397734203739909</v>
      </c>
    </row>
    <row r="10" spans="1:29" s="16" customFormat="1" x14ac:dyDescent="0.25">
      <c r="A10" s="53"/>
      <c r="B10" s="48"/>
      <c r="C10" s="35" t="s">
        <v>87</v>
      </c>
      <c r="D10" s="36"/>
      <c r="E10" s="37"/>
      <c r="F10" s="47"/>
      <c r="M10" s="59" t="s">
        <v>22</v>
      </c>
      <c r="N10" s="59"/>
      <c r="O10" s="32">
        <v>1</v>
      </c>
      <c r="P10" s="20">
        <f ca="1">OFFSET($Q$3,MATCH($O$10,$M$4:$M$6,0),0)</f>
        <v>12.357470865018534</v>
      </c>
      <c r="Q10" s="32">
        <v>2</v>
      </c>
      <c r="R10" s="20">
        <f ca="1">OFFSET($Q$3,MATCH($O$10,$M$4:$M$6,0),0)</f>
        <v>12.357470865018534</v>
      </c>
      <c r="W10" s="22"/>
      <c r="X10" s="22"/>
      <c r="Y10" s="22"/>
      <c r="AA10" s="31" t="s">
        <v>50</v>
      </c>
      <c r="AB10" s="31"/>
      <c r="AC10" s="20">
        <f ca="1">_xlfn.STDEV.P(DfromL)</f>
        <v>1.2304659266535585</v>
      </c>
    </row>
    <row r="11" spans="1:29" s="16" customFormat="1" x14ac:dyDescent="0.25">
      <c r="A11" s="14"/>
      <c r="B11" s="48"/>
      <c r="C11" s="35" t="s">
        <v>88</v>
      </c>
      <c r="D11" s="36"/>
      <c r="E11" s="37"/>
      <c r="F11" s="47"/>
      <c r="M11" s="55" t="s">
        <v>31</v>
      </c>
      <c r="N11" s="55"/>
      <c r="O11" s="32">
        <v>1</v>
      </c>
      <c r="P11" s="20">
        <f ca="1">OFFSET($N$20,MATCH($O11,$A$21:$A$51,0),0)</f>
        <v>359.9997222222222</v>
      </c>
      <c r="Q11" s="32">
        <v>2</v>
      </c>
      <c r="R11" s="20">
        <f ca="1">OFFSET($N$20,MATCH($Q11,$A$21:$A$51,0),0)</f>
        <v>134.10444444444445</v>
      </c>
      <c r="W11" s="21" t="s">
        <v>37</v>
      </c>
      <c r="X11" s="20">
        <f ca="1">AVERAGE(X8:Y9)</f>
        <v>-610.18350041639269</v>
      </c>
      <c r="Y11" s="30" t="s">
        <v>38</v>
      </c>
      <c r="AA11" s="20"/>
      <c r="AB11" s="20"/>
      <c r="AC11" s="20"/>
    </row>
    <row r="12" spans="1:29" s="16" customFormat="1" x14ac:dyDescent="0.25">
      <c r="A12" s="14"/>
      <c r="B12" s="48"/>
      <c r="C12" s="35" t="s">
        <v>89</v>
      </c>
      <c r="D12" s="36"/>
      <c r="E12" s="37"/>
      <c r="F12" s="47"/>
      <c r="M12" s="55" t="s">
        <v>30</v>
      </c>
      <c r="N12" s="55"/>
      <c r="O12" s="32">
        <v>25</v>
      </c>
      <c r="P12" s="20">
        <f ca="1">OFFSET($N$20,MATCH($O12,$A$21:$A$61,0),0)</f>
        <v>0</v>
      </c>
      <c r="Q12" s="32">
        <v>24</v>
      </c>
      <c r="R12" s="20">
        <f ca="1">OFFSET($N$20,MATCH($Q12,$A$21:$A$51,0),0)</f>
        <v>0</v>
      </c>
      <c r="W12" s="20"/>
      <c r="X12" s="20"/>
      <c r="Y12" s="20"/>
      <c r="AA12" s="20"/>
      <c r="AB12" s="20"/>
      <c r="AC12" s="20"/>
    </row>
    <row r="13" spans="1:29" s="16" customFormat="1" x14ac:dyDescent="0.25">
      <c r="A13" s="14"/>
      <c r="B13" s="48"/>
      <c r="C13" s="63" t="s">
        <v>90</v>
      </c>
      <c r="D13" s="18"/>
      <c r="E13" s="47"/>
      <c r="F13" s="47"/>
      <c r="M13" s="20"/>
      <c r="N13" s="20"/>
      <c r="O13" s="20"/>
      <c r="P13" s="20"/>
      <c r="Q13" s="20"/>
      <c r="R13" s="20"/>
      <c r="W13" s="20" t="s">
        <v>64</v>
      </c>
      <c r="X13" s="20">
        <f ca="1">MIN(Zs)</f>
        <v>601.86966239309572</v>
      </c>
      <c r="Y13" s="20"/>
      <c r="AA13" s="20"/>
      <c r="AB13" s="20"/>
      <c r="AC13" s="20"/>
    </row>
    <row r="14" spans="1:29" s="16" customFormat="1" x14ac:dyDescent="0.25">
      <c r="A14" s="53"/>
      <c r="B14" s="48"/>
      <c r="C14" s="48"/>
      <c r="D14" s="18"/>
      <c r="E14" s="47"/>
      <c r="F14" s="47"/>
      <c r="M14" s="55" t="s">
        <v>32</v>
      </c>
      <c r="N14" s="55"/>
      <c r="O14" s="22"/>
      <c r="P14" s="20">
        <f ca="1">P10-P11+IF(P11&gt;P10,360)</f>
        <v>12.357748642796309</v>
      </c>
      <c r="Q14" s="20"/>
      <c r="R14" s="20">
        <f ca="1">R10-R11+IF(R11&gt;R10,360)</f>
        <v>238.25302642057409</v>
      </c>
      <c r="W14" s="20"/>
      <c r="X14" s="20"/>
      <c r="Y14" s="20"/>
      <c r="AA14" s="20"/>
      <c r="AB14" s="20"/>
      <c r="AC14" s="20"/>
    </row>
    <row r="15" spans="1:29" x14ac:dyDescent="0.25">
      <c r="A15" s="54"/>
      <c r="B15" s="48"/>
      <c r="C15" s="48"/>
      <c r="D15" s="4"/>
      <c r="E15" s="44"/>
      <c r="F15" s="44"/>
      <c r="M15" s="55" t="s">
        <v>33</v>
      </c>
      <c r="N15" s="55"/>
      <c r="O15" s="22"/>
      <c r="P15" s="20">
        <f ca="1">P10-P12+IF(P12&gt;P10,360)</f>
        <v>12.357470865018534</v>
      </c>
      <c r="Q15" s="20"/>
      <c r="R15" s="20">
        <f ca="1">R10-R12+IF(R12&gt;R10,360)</f>
        <v>12.357470865018534</v>
      </c>
      <c r="W15" s="20"/>
      <c r="X15" s="20"/>
      <c r="Y15" s="20"/>
      <c r="AA15" s="22"/>
      <c r="AB15" s="22"/>
      <c r="AC15" s="22"/>
    </row>
    <row r="16" spans="1:29" x14ac:dyDescent="0.25">
      <c r="A16" s="54"/>
      <c r="B16" s="48" t="s">
        <v>68</v>
      </c>
      <c r="C16" s="48"/>
      <c r="D16" s="4"/>
      <c r="E16" s="44"/>
      <c r="F16" s="44"/>
      <c r="M16" s="22"/>
      <c r="N16" s="22"/>
      <c r="O16" s="22"/>
      <c r="P16" s="22"/>
      <c r="Q16" s="22"/>
      <c r="R16" s="29"/>
      <c r="W16" s="20"/>
      <c r="X16" s="20"/>
      <c r="Y16" s="20"/>
      <c r="AA16" s="22"/>
      <c r="AB16" s="22"/>
      <c r="AC16" s="22"/>
    </row>
    <row r="17" spans="1:36" x14ac:dyDescent="0.25">
      <c r="A17" s="54"/>
      <c r="B17" s="48"/>
      <c r="C17" s="48"/>
      <c r="D17" s="4"/>
      <c r="E17" s="44"/>
      <c r="F17" s="44"/>
      <c r="M17" s="55" t="s">
        <v>39</v>
      </c>
      <c r="N17" s="55"/>
      <c r="O17" s="20">
        <f ca="1">AVERAGE(P14:P15,R14:R15)</f>
        <v>68.831429198351856</v>
      </c>
      <c r="P17" s="30"/>
      <c r="Q17" s="22"/>
      <c r="R17" s="22"/>
      <c r="W17" s="20"/>
      <c r="X17" s="20"/>
      <c r="Y17" s="22"/>
      <c r="Z17" s="2"/>
      <c r="AA17" s="22"/>
      <c r="AB17" s="22"/>
      <c r="AC17" s="22"/>
    </row>
    <row r="18" spans="1:36" x14ac:dyDescent="0.25">
      <c r="A18" s="54"/>
      <c r="B18" s="48"/>
      <c r="C18" s="48"/>
      <c r="D18" s="4"/>
      <c r="E18" s="44"/>
      <c r="F18" s="44"/>
      <c r="M18" s="18"/>
      <c r="O18" s="18"/>
      <c r="P18" s="18"/>
      <c r="Q18" s="18"/>
      <c r="R18" s="18"/>
      <c r="S18" s="18"/>
      <c r="T18" s="18"/>
      <c r="U18" s="18"/>
      <c r="V18" s="2"/>
      <c r="W18" s="2"/>
      <c r="X18" s="2"/>
      <c r="Y18" s="2"/>
      <c r="Z18" s="2"/>
      <c r="AA18" s="2"/>
    </row>
    <row r="19" spans="1:36" s="1" customFormat="1" x14ac:dyDescent="0.25">
      <c r="A19" s="54"/>
      <c r="B19" s="11"/>
      <c r="C19" s="11"/>
      <c r="D19" s="7"/>
      <c r="E19" s="7"/>
      <c r="F19" s="7"/>
      <c r="G19" s="7"/>
      <c r="H19" s="7"/>
      <c r="I19" s="7"/>
      <c r="J19" s="7"/>
      <c r="K19" s="7"/>
      <c r="N19" s="14"/>
      <c r="O19" s="14"/>
      <c r="P19" s="14"/>
      <c r="Q19" s="14"/>
      <c r="R19" s="14"/>
      <c r="S19" s="14"/>
      <c r="T19" s="56" t="s">
        <v>20</v>
      </c>
      <c r="U19" s="56"/>
      <c r="X19" s="57" t="s">
        <v>45</v>
      </c>
      <c r="Y19" s="57"/>
      <c r="Z19" s="57" t="s">
        <v>46</v>
      </c>
      <c r="AA19" s="57"/>
      <c r="AB19" s="1" t="s">
        <v>47</v>
      </c>
      <c r="AC19" s="1" t="s">
        <v>51</v>
      </c>
      <c r="AE19" s="41" t="s">
        <v>51</v>
      </c>
      <c r="AG19" s="41"/>
      <c r="AH19" s="41"/>
      <c r="AI19" s="41"/>
    </row>
    <row r="20" spans="1:36" s="3" customFormat="1" ht="18" x14ac:dyDescent="0.35">
      <c r="A20" s="3" t="s">
        <v>0</v>
      </c>
      <c r="B20" s="12" t="s">
        <v>1</v>
      </c>
      <c r="C20" s="12" t="s">
        <v>2</v>
      </c>
      <c r="D20" s="3" t="s">
        <v>3</v>
      </c>
      <c r="E20" s="3" t="s">
        <v>4</v>
      </c>
      <c r="F20" s="3" t="s">
        <v>5</v>
      </c>
      <c r="G20" s="12" t="s">
        <v>83</v>
      </c>
      <c r="H20" s="12" t="s">
        <v>77</v>
      </c>
      <c r="I20" s="12" t="s">
        <v>82</v>
      </c>
      <c r="J20" s="12" t="s">
        <v>81</v>
      </c>
      <c r="K20" s="3" t="s">
        <v>75</v>
      </c>
      <c r="L20" s="3" t="s">
        <v>76</v>
      </c>
      <c r="M20" s="8" t="s">
        <v>26</v>
      </c>
      <c r="N20" s="8" t="s">
        <v>27</v>
      </c>
      <c r="O20" s="8" t="s">
        <v>28</v>
      </c>
      <c r="P20" s="19" t="s">
        <v>29</v>
      </c>
      <c r="Q20" s="19" t="s">
        <v>80</v>
      </c>
      <c r="R20" s="19" t="s">
        <v>78</v>
      </c>
      <c r="S20" s="19" t="s">
        <v>79</v>
      </c>
      <c r="T20" s="19" t="s">
        <v>7</v>
      </c>
      <c r="U20" s="19" t="s">
        <v>6</v>
      </c>
      <c r="V20" s="19" t="s">
        <v>12</v>
      </c>
      <c r="W20" s="19" t="s">
        <v>8</v>
      </c>
      <c r="X20" s="3" t="s">
        <v>43</v>
      </c>
      <c r="Y20" s="3" t="s">
        <v>44</v>
      </c>
      <c r="Z20" s="3" t="s">
        <v>7</v>
      </c>
      <c r="AA20" s="3" t="s">
        <v>6</v>
      </c>
      <c r="AB20" s="3" t="s">
        <v>48</v>
      </c>
      <c r="AC20" s="3" t="s">
        <v>52</v>
      </c>
      <c r="AD20" s="19" t="s">
        <v>65</v>
      </c>
      <c r="AE20" s="3" t="s">
        <v>73</v>
      </c>
      <c r="AF20" s="19" t="s">
        <v>74</v>
      </c>
      <c r="AG20" s="19"/>
      <c r="AH20" s="19"/>
      <c r="AI20" s="19"/>
    </row>
    <row r="21" spans="1:36" x14ac:dyDescent="0.25">
      <c r="A21" s="44">
        <v>1</v>
      </c>
      <c r="B21" s="48">
        <v>14.999988425925926</v>
      </c>
      <c r="C21" s="48">
        <v>3.9130324074074072</v>
      </c>
      <c r="D21" s="44">
        <v>13.691000000000001</v>
      </c>
      <c r="E21" s="44">
        <v>1.492</v>
      </c>
      <c r="F21" s="49" t="s">
        <v>85</v>
      </c>
      <c r="G21" s="43">
        <f>C21*24</f>
        <v>93.912777777777777</v>
      </c>
      <c r="H21" s="43">
        <f>RADIANS(G21)</f>
        <v>1.6390871819159858</v>
      </c>
      <c r="I21" s="43">
        <f t="shared" ref="I21:I34" si="3">B21*24</f>
        <v>359.9997222222222</v>
      </c>
      <c r="J21" s="39">
        <f>RADIANS(I21)</f>
        <v>6.2831804590427751</v>
      </c>
      <c r="K21" s="39">
        <f>D21*SIN(H21)</f>
        <v>13.659087451547189</v>
      </c>
      <c r="L21" s="15">
        <f>D21*COS(H21)</f>
        <v>-0.93424353944040928</v>
      </c>
      <c r="M21" s="13"/>
      <c r="N21" s="16">
        <f t="shared" ref="N21:N34" si="4">I21+M21</f>
        <v>359.9997222222222</v>
      </c>
      <c r="O21" s="16">
        <f ca="1">$O$17</f>
        <v>68.831429198351856</v>
      </c>
      <c r="P21" s="16">
        <f ca="1">SUM(N21,O21)</f>
        <v>428.83115142057409</v>
      </c>
      <c r="Q21" s="16">
        <f ca="1">RADIANS(P21)</f>
        <v>7.4845155274073765</v>
      </c>
      <c r="R21" s="16">
        <f t="shared" ref="R21:R34" ca="1" si="5">K21*SIN(Q21)</f>
        <v>12.737376011492396</v>
      </c>
      <c r="S21" s="16">
        <f t="shared" ref="S21:S34" ca="1" si="6">K21*COS(Q21)</f>
        <v>4.9325371109472584</v>
      </c>
      <c r="T21" s="13">
        <f t="shared" ref="T21:T34" ca="1" si="7">Old_X0+R21</f>
        <v>1087291.8863760114</v>
      </c>
      <c r="U21" s="13">
        <f t="shared" ref="U21:U34" ca="1" si="8">Old_Y0+S21</f>
        <v>453692.52953711094</v>
      </c>
      <c r="V21" s="16">
        <f t="shared" ref="V21:V34" si="9">Old_Z0+HI+L21-E21</f>
        <v>1215.6037564605597</v>
      </c>
      <c r="W21" s="16">
        <f t="shared" ref="W21:W34" ca="1" si="10">IF(ISNUMBER(T21),V21+dZ,"")</f>
        <v>605.42025604416699</v>
      </c>
      <c r="X21" s="16" t="str">
        <f>IF(AND(A21&gt;=CS_Start,A21&lt;=CS_End),IF(OR(LEFT(UPPER(F21))="D"),"",T21),"")</f>
        <v/>
      </c>
      <c r="Y21" s="16" t="str">
        <f>IF(ISNUMBER(X21),U21,"")</f>
        <v/>
      </c>
      <c r="Z21" s="16" t="e">
        <f>IF(X21="",NA(),VALUE((-mB*X21+Y21-bA)/(mA-mB)))</f>
        <v>#N/A</v>
      </c>
      <c r="AA21" s="16" t="e">
        <f>IF(ISNA(Z21),NA(),VALUE(mA*Z21+bA))</f>
        <v>#N/A</v>
      </c>
      <c r="AB21" s="16" t="str">
        <f>IF(ISNUMBER(X21),SQRT((X21-Z21)^2+(Y21-AA21)^2),"")</f>
        <v/>
      </c>
      <c r="AC21" s="16" t="str">
        <f t="shared" ref="AC21:AC23" ca="1" si="11">IF(ISNUMBER(Z21),SQRT(($Z21-OFFSET($Z$20,MATCH(CS_Start,$A$21:$A$51,0),0))^2+($AA21-OFFSET($AA$20,MATCH(CS_Start,$A$21:$A$51,0),0))^2),"")</f>
        <v/>
      </c>
      <c r="AD21" s="16" t="str">
        <f t="shared" ref="AD21:AD23" si="12">IF(ISNUMBER(X21),W21-Min_Z,"")</f>
        <v/>
      </c>
    </row>
    <row r="22" spans="1:36" x14ac:dyDescent="0.25">
      <c r="A22" s="44">
        <v>2</v>
      </c>
      <c r="B22" s="48">
        <v>5.5876851851851859</v>
      </c>
      <c r="C22" s="48">
        <v>3.4933564814814813</v>
      </c>
      <c r="D22" s="44">
        <v>14.206</v>
      </c>
      <c r="E22" s="44">
        <v>1.492</v>
      </c>
      <c r="F22" s="49" t="s">
        <v>85</v>
      </c>
      <c r="G22" s="43">
        <f t="shared" ref="G22:G34" si="13">C22*24</f>
        <v>83.840555555555554</v>
      </c>
      <c r="H22" s="43">
        <f t="shared" ref="H22:H34" si="14">RADIANS(G22)</f>
        <v>1.4632937411456681</v>
      </c>
      <c r="I22" s="43">
        <f t="shared" si="3"/>
        <v>134.10444444444445</v>
      </c>
      <c r="J22" s="39">
        <f t="shared" ref="J22:J34" si="15">RADIANS(I22)</f>
        <v>2.3405640971133734</v>
      </c>
      <c r="K22" s="39">
        <f t="shared" ref="K22:K34" si="16">D22*SIN(H22)</f>
        <v>14.123991033342691</v>
      </c>
      <c r="L22" s="15">
        <f t="shared" ref="L22:L34" si="17">D22*COS(H22)</f>
        <v>1.5242418738688697</v>
      </c>
      <c r="M22" s="13"/>
      <c r="N22" s="16">
        <f t="shared" si="4"/>
        <v>134.10444444444445</v>
      </c>
      <c r="O22" s="16">
        <f t="shared" ref="O22:O43" ca="1" si="18">$O$17</f>
        <v>68.831429198351856</v>
      </c>
      <c r="P22" s="16">
        <f t="shared" ref="P22:P34" ca="1" si="19">SUM(N22,O22)</f>
        <v>202.93587364279631</v>
      </c>
      <c r="Q22" s="16">
        <f t="shared" ref="Q22:Q34" ca="1" si="20">RADIANS(P22)</f>
        <v>3.5418991654779748</v>
      </c>
      <c r="R22" s="16">
        <f t="shared" ca="1" si="5"/>
        <v>-5.504128347248364</v>
      </c>
      <c r="S22" s="16">
        <f t="shared" ca="1" si="6"/>
        <v>-13.007370750730592</v>
      </c>
      <c r="T22" s="13">
        <f t="shared" ca="1" si="7"/>
        <v>1087273.6448716528</v>
      </c>
      <c r="U22" s="13">
        <f t="shared" ca="1" si="8"/>
        <v>453674.5896292493</v>
      </c>
      <c r="V22" s="16">
        <f t="shared" si="9"/>
        <v>1218.062241873869</v>
      </c>
      <c r="W22" s="16">
        <f t="shared" ca="1" si="10"/>
        <v>607.87874145747628</v>
      </c>
      <c r="X22" s="47" t="str">
        <f>IF(AND(A22&gt;=CS_Start,A22&lt;=CS_End),IF(OR(LEFT(UPPER(F22))="D"),"",T22),"")</f>
        <v/>
      </c>
      <c r="Y22" s="47" t="str">
        <f t="shared" ref="Y22:Y37" si="21">IF(ISNUMBER(X22),U22,"")</f>
        <v/>
      </c>
      <c r="Z22" s="47" t="e">
        <f>IF(X22="",NA(),VALUE((-mB*X22+Y22-bA)/(mA-mB)))</f>
        <v>#N/A</v>
      </c>
      <c r="AA22" s="47" t="e">
        <f>IF(ISNA(Z22),NA(),VALUE(mA*Z22+bA))</f>
        <v>#N/A</v>
      </c>
      <c r="AB22" s="16" t="str">
        <f t="shared" ref="AB22:AB23" si="22">IF(ISNUMBER(X22),SQRT((X22-Z22)^2+(Y22-AA22)^2),"")</f>
        <v/>
      </c>
      <c r="AC22" s="16" t="str">
        <f t="shared" ca="1" si="11"/>
        <v/>
      </c>
      <c r="AD22" s="16" t="str">
        <f t="shared" si="12"/>
        <v/>
      </c>
    </row>
    <row r="23" spans="1:36" x14ac:dyDescent="0.25">
      <c r="A23" s="44">
        <v>3</v>
      </c>
      <c r="B23" s="48">
        <v>5.0473842592592595</v>
      </c>
      <c r="C23" s="48">
        <v>3.4362037037037036</v>
      </c>
      <c r="D23" s="44">
        <v>18.992000000000001</v>
      </c>
      <c r="E23" s="44">
        <v>1.492</v>
      </c>
      <c r="F23" s="49" t="s">
        <v>91</v>
      </c>
      <c r="G23" s="43">
        <f t="shared" si="13"/>
        <v>82.468888888888884</v>
      </c>
      <c r="H23" s="43">
        <f t="shared" si="14"/>
        <v>1.439353641572479</v>
      </c>
      <c r="I23" s="43">
        <f t="shared" si="3"/>
        <v>121.13722222222222</v>
      </c>
      <c r="J23" s="39">
        <f t="shared" si="15"/>
        <v>2.11424337449782</v>
      </c>
      <c r="K23" s="39">
        <f t="shared" si="16"/>
        <v>18.828171981224564</v>
      </c>
      <c r="L23" s="15">
        <f t="shared" si="17"/>
        <v>2.4891773431056228</v>
      </c>
      <c r="M23" s="13"/>
      <c r="N23" s="16">
        <f t="shared" si="4"/>
        <v>121.13722222222222</v>
      </c>
      <c r="O23" s="16">
        <f t="shared" ca="1" si="18"/>
        <v>68.831429198351856</v>
      </c>
      <c r="P23" s="16">
        <f t="shared" ca="1" si="19"/>
        <v>189.96865142057408</v>
      </c>
      <c r="Q23" s="16">
        <f t="shared" ca="1" si="20"/>
        <v>3.3155784428624209</v>
      </c>
      <c r="R23" s="16">
        <f t="shared" ca="1" si="5"/>
        <v>-3.2593321991322561</v>
      </c>
      <c r="S23" s="16">
        <f t="shared" ca="1" si="6"/>
        <v>-18.543915815443874</v>
      </c>
      <c r="T23" s="13">
        <f t="shared" ca="1" si="7"/>
        <v>1087275.8896678009</v>
      </c>
      <c r="U23" s="13">
        <f t="shared" ca="1" si="8"/>
        <v>453669.05308418459</v>
      </c>
      <c r="V23" s="16">
        <f t="shared" si="9"/>
        <v>1219.0271773431057</v>
      </c>
      <c r="W23" s="16">
        <f t="shared" ca="1" si="10"/>
        <v>608.84367692671299</v>
      </c>
      <c r="X23" s="47" t="str">
        <f>IF(AND(A23&gt;=CS_Start,A23&lt;=CS_End),IF(OR(LEFT(UPPER(F23))="D"),"",T23),"")</f>
        <v/>
      </c>
      <c r="Y23" s="47" t="str">
        <f t="shared" si="21"/>
        <v/>
      </c>
      <c r="Z23" s="47" t="e">
        <f>IF(X23="",NA(),VALUE((-mB*X23+Y23-bA)/(mA-mB)))</f>
        <v>#N/A</v>
      </c>
      <c r="AA23" s="47" t="e">
        <f>IF(ISNA(Z23),NA(),VALUE(mA*Z23+bA))</f>
        <v>#N/A</v>
      </c>
      <c r="AB23" s="16" t="str">
        <f t="shared" si="22"/>
        <v/>
      </c>
      <c r="AC23" s="16" t="str">
        <f t="shared" ca="1" si="11"/>
        <v/>
      </c>
      <c r="AD23" s="16" t="str">
        <f t="shared" si="12"/>
        <v/>
      </c>
      <c r="AE23" s="2" t="e">
        <f ca="1">ROUND(CONVERT(AC23,"m","ft"),2)</f>
        <v>#VALUE!</v>
      </c>
      <c r="AF23" s="2" t="e">
        <f>ROUND(CONVERT(AD23,"m","ft"),2)</f>
        <v>#VALUE!</v>
      </c>
      <c r="AH23" s="44">
        <v>0</v>
      </c>
      <c r="AI23" s="2">
        <f ca="1">OFFSET($AF$22,MATCH(AH23,$AE$23:$AE$59,0),0)</f>
        <v>14.29</v>
      </c>
      <c r="AJ23" s="2" t="str">
        <f t="shared" ref="AJ23:AJ31" ca="1" si="23">CONCATENATE(AH23,",",AI23)</f>
        <v>0,14.29</v>
      </c>
    </row>
    <row r="24" spans="1:36" x14ac:dyDescent="0.25">
      <c r="A24" s="44">
        <v>4</v>
      </c>
      <c r="B24" s="48">
        <v>4.7578240740740743</v>
      </c>
      <c r="C24" s="48">
        <v>3.8143865740740743</v>
      </c>
      <c r="D24" s="44">
        <v>4.75</v>
      </c>
      <c r="E24" s="44">
        <v>1.492</v>
      </c>
      <c r="F24" s="44"/>
      <c r="G24" s="43">
        <f t="shared" si="13"/>
        <v>91.545277777777784</v>
      </c>
      <c r="H24" s="43">
        <f t="shared" si="14"/>
        <v>1.5977665118750202</v>
      </c>
      <c r="I24" s="43">
        <f t="shared" si="3"/>
        <v>114.18777777777778</v>
      </c>
      <c r="J24" s="39">
        <f t="shared" si="15"/>
        <v>1.9929526877578363</v>
      </c>
      <c r="K24" s="39">
        <f t="shared" si="16"/>
        <v>4.7482725513669406</v>
      </c>
      <c r="L24" s="15">
        <f t="shared" si="17"/>
        <v>-0.12809284888425088</v>
      </c>
      <c r="M24" s="13"/>
      <c r="N24" s="16">
        <f t="shared" si="4"/>
        <v>114.18777777777778</v>
      </c>
      <c r="O24" s="16">
        <f t="shared" ca="1" si="18"/>
        <v>68.831429198351856</v>
      </c>
      <c r="P24" s="16">
        <f t="shared" ca="1" si="19"/>
        <v>183.01920697612962</v>
      </c>
      <c r="Q24" s="16">
        <f t="shared" ca="1" si="20"/>
        <v>3.1942877561224368</v>
      </c>
      <c r="R24" s="16">
        <f t="shared" ca="1" si="5"/>
        <v>-0.25009492859837534</v>
      </c>
      <c r="S24" s="16">
        <f t="shared" ca="1" si="6"/>
        <v>-4.7416816372205011</v>
      </c>
      <c r="T24" s="13">
        <f t="shared" ca="1" si="7"/>
        <v>1087278.8989050714</v>
      </c>
      <c r="U24" s="13">
        <f t="shared" ca="1" si="8"/>
        <v>453682.85531836277</v>
      </c>
      <c r="V24" s="16">
        <f t="shared" si="9"/>
        <v>1216.4099071511157</v>
      </c>
      <c r="W24" s="16">
        <f t="shared" ca="1" si="10"/>
        <v>606.22640673472301</v>
      </c>
      <c r="X24" s="47">
        <f ca="1">IF(AND(A24&gt;=CS_Start,A24&lt;=CS_End),IF(OR(LEFT(UPPER(F24))="D"),"",T24),"")</f>
        <v>1087278.8989050714</v>
      </c>
      <c r="Y24" s="47">
        <f t="shared" ca="1" si="21"/>
        <v>453682.85531836277</v>
      </c>
      <c r="Z24" s="47">
        <f ca="1">IF(X24="",NA(),VALUE((-mB*X24+Y24-bA)/(mA-mB)))</f>
        <v>1087277.2961227659</v>
      </c>
      <c r="AA24" s="47">
        <f ca="1">IF(ISNA(Z24),NA(),VALUE(mA*Z24+bA))</f>
        <v>453686.82355325192</v>
      </c>
      <c r="AB24" s="47">
        <f t="shared" ref="AB24:AB34" ca="1" si="24">IF(ISNUMBER(X24),SQRT((X24-Z24)^2+(Y24-AA24)^2),"")</f>
        <v>4.2796961638066282</v>
      </c>
      <c r="AC24" s="47">
        <f t="shared" ref="AC24:AC34" ca="1" si="25">IF(ISNUMBER(Z24),SQRT(($Z24-OFFSET($Z$20,MATCH(CS_Start,$A$21:$A$51,0),0))^2+($AA24-OFFSET($AA$20,MATCH(CS_Start,$A$21:$A$51,0),0))^2),"")</f>
        <v>0</v>
      </c>
      <c r="AD24" s="47">
        <f t="shared" ref="AD24:AD34" ca="1" si="26">IF(ISNUMBER(X24),W24-Min_Z,"")</f>
        <v>4.3567443416272909</v>
      </c>
      <c r="AE24" s="44">
        <f t="shared" ref="AE24:AE34" ca="1" si="27">ROUND(CONVERT(AC24,"m","ft"),2)</f>
        <v>0</v>
      </c>
      <c r="AF24" s="44">
        <f t="shared" ref="AF24:AF34" ca="1" si="28">ROUND(CONVERT(AD24,"m","ft"),2)</f>
        <v>14.29</v>
      </c>
      <c r="AH24" s="44">
        <v>12.9</v>
      </c>
      <c r="AI24" s="44">
        <f t="shared" ref="AI24:AI31" ca="1" si="29">OFFSET($AF$22,MATCH(AH24,$AE$23:$AE$59,0),0)</f>
        <v>12.12</v>
      </c>
      <c r="AJ24" s="2" t="str">
        <f t="shared" ca="1" si="23"/>
        <v>12.9,12.12</v>
      </c>
    </row>
    <row r="25" spans="1:36" x14ac:dyDescent="0.25">
      <c r="A25" s="44">
        <v>5</v>
      </c>
      <c r="B25" s="48">
        <v>6.5760763888888887</v>
      </c>
      <c r="C25" s="48">
        <v>4.0448032407407402</v>
      </c>
      <c r="D25" s="44">
        <v>6.4260000000000002</v>
      </c>
      <c r="E25" s="44">
        <v>1.492</v>
      </c>
      <c r="F25" s="44"/>
      <c r="G25" s="43">
        <f t="shared" si="13"/>
        <v>97.075277777777757</v>
      </c>
      <c r="H25" s="43">
        <f t="shared" si="14"/>
        <v>1.6942832195103061</v>
      </c>
      <c r="I25" s="43">
        <f t="shared" si="3"/>
        <v>157.82583333333332</v>
      </c>
      <c r="J25" s="39">
        <f t="shared" si="15"/>
        <v>2.7545804363704836</v>
      </c>
      <c r="K25" s="39">
        <f t="shared" si="16"/>
        <v>6.3770671511915378</v>
      </c>
      <c r="L25" s="15">
        <f t="shared" si="17"/>
        <v>-0.7915115597348148</v>
      </c>
      <c r="M25" s="13"/>
      <c r="N25" s="16">
        <f t="shared" si="4"/>
        <v>157.82583333333332</v>
      </c>
      <c r="O25" s="16">
        <f t="shared" ca="1" si="18"/>
        <v>68.831429198351856</v>
      </c>
      <c r="P25" s="16">
        <f t="shared" ca="1" si="19"/>
        <v>226.65726253168518</v>
      </c>
      <c r="Q25" s="16">
        <f t="shared" ca="1" si="20"/>
        <v>3.9559155047350845</v>
      </c>
      <c r="R25" s="16">
        <f t="shared" ca="1" si="5"/>
        <v>-4.6377922130088161</v>
      </c>
      <c r="S25" s="16">
        <f t="shared" ca="1" si="6"/>
        <v>-4.3769702808861917</v>
      </c>
      <c r="T25" s="13">
        <f t="shared" ca="1" si="7"/>
        <v>1087274.5112077869</v>
      </c>
      <c r="U25" s="13">
        <f t="shared" ca="1" si="8"/>
        <v>453683.22002971912</v>
      </c>
      <c r="V25" s="16">
        <f t="shared" si="9"/>
        <v>1215.7464884402652</v>
      </c>
      <c r="W25" s="16">
        <f t="shared" ca="1" si="10"/>
        <v>605.56298802387255</v>
      </c>
      <c r="X25" s="47">
        <f ca="1">IF(AND(A25&gt;=CS_Start,A25&lt;=CS_End),IF(OR(LEFT(UPPER(F25))="D"),"",T25),"")</f>
        <v>1087274.5112077869</v>
      </c>
      <c r="Y25" s="47">
        <f t="shared" ca="1" si="21"/>
        <v>453683.22002971912</v>
      </c>
      <c r="Z25" s="47">
        <f ca="1">IF(X25="",NA(),VALUE((-mB*X25+Y25-bA)/(mA-mB)))</f>
        <v>1087273.6504759593</v>
      </c>
      <c r="AA25" s="47">
        <f ca="1">IF(ISNA(Z25),NA(),VALUE(mA*Z25+bA))</f>
        <v>453685.35106526723</v>
      </c>
      <c r="AB25" s="47">
        <f t="shared" ca="1" si="24"/>
        <v>2.2982975843629885</v>
      </c>
      <c r="AC25" s="47">
        <f t="shared" ca="1" si="25"/>
        <v>3.9317885883320765</v>
      </c>
      <c r="AD25" s="47">
        <f t="shared" ca="1" si="26"/>
        <v>3.6933256307768261</v>
      </c>
      <c r="AE25" s="44">
        <f t="shared" ca="1" si="27"/>
        <v>12.9</v>
      </c>
      <c r="AF25" s="44">
        <f t="shared" ca="1" si="28"/>
        <v>12.12</v>
      </c>
      <c r="AH25" s="44">
        <v>18.5</v>
      </c>
      <c r="AI25" s="44">
        <f t="shared" ca="1" si="29"/>
        <v>10.44</v>
      </c>
      <c r="AJ25" s="2" t="str">
        <f t="shared" ca="1" si="23"/>
        <v>18.5,10.44</v>
      </c>
    </row>
    <row r="26" spans="1:36" x14ac:dyDescent="0.25">
      <c r="A26" s="44">
        <v>6</v>
      </c>
      <c r="B26" s="48">
        <v>6.9704513888888888</v>
      </c>
      <c r="C26" s="48">
        <v>4.1443981481481478</v>
      </c>
      <c r="D26" s="44">
        <v>7.9219999999999997</v>
      </c>
      <c r="E26" s="44">
        <v>1.492</v>
      </c>
      <c r="F26" s="44"/>
      <c r="G26" s="43">
        <f t="shared" si="13"/>
        <v>99.46555555555554</v>
      </c>
      <c r="H26" s="43">
        <f t="shared" si="14"/>
        <v>1.7360014367697818</v>
      </c>
      <c r="I26" s="43">
        <f t="shared" si="3"/>
        <v>167.29083333333332</v>
      </c>
      <c r="J26" s="39">
        <f t="shared" si="15"/>
        <v>2.9197758500717472</v>
      </c>
      <c r="K26" s="39">
        <f t="shared" si="16"/>
        <v>7.8141391561510671</v>
      </c>
      <c r="L26" s="15">
        <f t="shared" si="17"/>
        <v>-1.3028097513860888</v>
      </c>
      <c r="M26" s="13"/>
      <c r="N26" s="16">
        <f t="shared" si="4"/>
        <v>167.29083333333332</v>
      </c>
      <c r="O26" s="16">
        <f t="shared" ca="1" si="18"/>
        <v>68.831429198351856</v>
      </c>
      <c r="P26" s="16">
        <f t="shared" ca="1" si="19"/>
        <v>236.12226253168518</v>
      </c>
      <c r="Q26" s="16">
        <f t="shared" ca="1" si="20"/>
        <v>4.1211109184363481</v>
      </c>
      <c r="R26" s="16">
        <f t="shared" ca="1" si="5"/>
        <v>-6.4875244435721777</v>
      </c>
      <c r="S26" s="16">
        <f t="shared" ca="1" si="6"/>
        <v>-4.3557774674272345</v>
      </c>
      <c r="T26" s="13">
        <f t="shared" ca="1" si="7"/>
        <v>1087272.6614755564</v>
      </c>
      <c r="U26" s="13">
        <f t="shared" ca="1" si="8"/>
        <v>453683.24122253258</v>
      </c>
      <c r="V26" s="16">
        <f t="shared" si="9"/>
        <v>1215.2351902486139</v>
      </c>
      <c r="W26" s="16">
        <f t="shared" ca="1" si="10"/>
        <v>605.0516898322212</v>
      </c>
      <c r="X26" s="47">
        <f ca="1">IF(AND(A26&gt;=CS_Start,A26&lt;=CS_End),IF(OR(LEFT(UPPER(F26))="D"),"",T26),"")</f>
        <v>1087272.6614755564</v>
      </c>
      <c r="Y26" s="47">
        <f t="shared" ca="1" si="21"/>
        <v>453683.24122253258</v>
      </c>
      <c r="Z26" s="47">
        <f ca="1">IF(X26="",NA(),VALUE((-mB*X26+Y26-bA)/(mA-mB)))</f>
        <v>1087272.0675400891</v>
      </c>
      <c r="AA26" s="47">
        <f ca="1">IF(ISNA(Z26),NA(),VALUE(mA*Z26+bA))</f>
        <v>453684.71171258908</v>
      </c>
      <c r="AB26" s="47">
        <f t="shared" ca="1" si="24"/>
        <v>1.5859067896879204</v>
      </c>
      <c r="AC26" s="47">
        <f t="shared" ca="1" si="25"/>
        <v>5.638966908277208</v>
      </c>
      <c r="AD26" s="47">
        <f t="shared" ca="1" si="26"/>
        <v>3.182027439125477</v>
      </c>
      <c r="AE26" s="44">
        <f t="shared" ca="1" si="27"/>
        <v>18.5</v>
      </c>
      <c r="AF26" s="44">
        <f t="shared" ca="1" si="28"/>
        <v>10.44</v>
      </c>
      <c r="AH26" s="44">
        <v>32.42</v>
      </c>
      <c r="AI26" s="44">
        <f t="shared" ca="1" si="29"/>
        <v>9.16</v>
      </c>
      <c r="AJ26" s="2" t="str">
        <f t="shared" ca="1" si="23"/>
        <v>32.42,9.16</v>
      </c>
    </row>
    <row r="27" spans="1:36" x14ac:dyDescent="0.25">
      <c r="A27" s="44">
        <v>7</v>
      </c>
      <c r="B27" s="48">
        <v>7.3808449074074076</v>
      </c>
      <c r="C27" s="48">
        <v>4.0876736111111116</v>
      </c>
      <c r="D27" s="44">
        <v>12.018000000000001</v>
      </c>
      <c r="E27" s="44">
        <v>1.492</v>
      </c>
      <c r="F27" s="44"/>
      <c r="G27" s="43">
        <f t="shared" si="13"/>
        <v>98.104166666666686</v>
      </c>
      <c r="H27" s="43">
        <f t="shared" si="14"/>
        <v>1.7122407182586041</v>
      </c>
      <c r="I27" s="43">
        <f t="shared" si="3"/>
        <v>177.14027777777778</v>
      </c>
      <c r="J27" s="39">
        <f t="shared" si="15"/>
        <v>3.0916810851195664</v>
      </c>
      <c r="K27" s="39">
        <f t="shared" si="16"/>
        <v>11.897981143016001</v>
      </c>
      <c r="L27" s="15">
        <f t="shared" si="17"/>
        <v>-1.6942162555103966</v>
      </c>
      <c r="M27" s="13"/>
      <c r="N27" s="16">
        <f t="shared" si="4"/>
        <v>177.14027777777778</v>
      </c>
      <c r="O27" s="16">
        <f t="shared" ca="1" si="18"/>
        <v>68.831429198351856</v>
      </c>
      <c r="P27" s="16">
        <f t="shared" ca="1" si="19"/>
        <v>245.97170697612964</v>
      </c>
      <c r="Q27" s="16">
        <f t="shared" ca="1" si="20"/>
        <v>4.2930161534841673</v>
      </c>
      <c r="R27" s="16">
        <f t="shared" ca="1" si="5"/>
        <v>-10.866955603605989</v>
      </c>
      <c r="S27" s="16">
        <f t="shared" ca="1" si="6"/>
        <v>-4.8447116724136174</v>
      </c>
      <c r="T27" s="13">
        <f t="shared" ca="1" si="7"/>
        <v>1087268.2820443963</v>
      </c>
      <c r="U27" s="13">
        <f t="shared" ca="1" si="8"/>
        <v>453682.75228832761</v>
      </c>
      <c r="V27" s="16">
        <f t="shared" si="9"/>
        <v>1214.8437837444897</v>
      </c>
      <c r="W27" s="16">
        <f t="shared" ca="1" si="10"/>
        <v>604.66028332809697</v>
      </c>
      <c r="X27" s="47">
        <f ca="1">IF(AND(A27&gt;=CS_Start,A27&lt;=CS_End),IF(OR(LEFT(UPPER(F27))="D"),"",T27),"")</f>
        <v>1087268.2820443963</v>
      </c>
      <c r="Y27" s="47">
        <f t="shared" ca="1" si="21"/>
        <v>453682.75228832761</v>
      </c>
      <c r="Z27" s="47">
        <f ca="1">IF(X27="",NA(),VALUE((-mB*X27+Y27-bA)/(mA-mB)))</f>
        <v>1087268.1325690267</v>
      </c>
      <c r="AA27" s="47">
        <f ca="1">IF(ISNA(Z27),NA(),VALUE(mA*Z27+bA))</f>
        <v>453683.12236564548</v>
      </c>
      <c r="AB27" s="47">
        <f t="shared" ca="1" si="24"/>
        <v>0.39912417531494876</v>
      </c>
      <c r="AC27" s="47">
        <f t="shared" ca="1" si="25"/>
        <v>9.8827884136626949</v>
      </c>
      <c r="AD27" s="47">
        <f t="shared" ca="1" si="26"/>
        <v>2.7906209350012432</v>
      </c>
      <c r="AE27" s="44">
        <f t="shared" ca="1" si="27"/>
        <v>32.42</v>
      </c>
      <c r="AF27" s="44">
        <f t="shared" ca="1" si="28"/>
        <v>9.16</v>
      </c>
      <c r="AH27" s="44">
        <v>39.29</v>
      </c>
      <c r="AI27" s="44">
        <f t="shared" ca="1" si="29"/>
        <v>7.83</v>
      </c>
      <c r="AJ27" s="2" t="str">
        <f t="shared" ca="1" si="23"/>
        <v>39.29,7.83</v>
      </c>
    </row>
    <row r="28" spans="1:36" x14ac:dyDescent="0.25">
      <c r="A28" s="44">
        <v>8</v>
      </c>
      <c r="B28" s="48">
        <v>7.4758101851851855</v>
      </c>
      <c r="C28" s="48">
        <v>4.1056828703703703</v>
      </c>
      <c r="D28" s="44">
        <v>14.141</v>
      </c>
      <c r="E28" s="44">
        <v>1.492</v>
      </c>
      <c r="F28" s="44"/>
      <c r="G28" s="43">
        <f t="shared" si="13"/>
        <v>98.536388888888894</v>
      </c>
      <c r="H28" s="43">
        <f t="shared" si="14"/>
        <v>1.7197844191366682</v>
      </c>
      <c r="I28" s="43">
        <f t="shared" si="3"/>
        <v>179.41944444444445</v>
      </c>
      <c r="J28" s="39">
        <f t="shared" si="15"/>
        <v>3.131460047654604</v>
      </c>
      <c r="K28" s="39">
        <f t="shared" si="16"/>
        <v>13.984343022086486</v>
      </c>
      <c r="L28" s="15">
        <f t="shared" si="17"/>
        <v>-2.0990548445957775</v>
      </c>
      <c r="M28" s="13"/>
      <c r="N28" s="16">
        <f t="shared" si="4"/>
        <v>179.41944444444445</v>
      </c>
      <c r="O28" s="16">
        <f t="shared" ca="1" si="18"/>
        <v>68.831429198351856</v>
      </c>
      <c r="P28" s="16">
        <f t="shared" ca="1" si="19"/>
        <v>248.25087364279631</v>
      </c>
      <c r="Q28" s="16">
        <f t="shared" ca="1" si="20"/>
        <v>4.3327951160192049</v>
      </c>
      <c r="R28" s="16">
        <f t="shared" ca="1" si="5"/>
        <v>-12.988870402919208</v>
      </c>
      <c r="S28" s="16">
        <f t="shared" ca="1" si="6"/>
        <v>-5.1818042625661223</v>
      </c>
      <c r="T28" s="13">
        <f t="shared" ca="1" si="7"/>
        <v>1087266.1601295969</v>
      </c>
      <c r="U28" s="13">
        <f t="shared" ca="1" si="8"/>
        <v>453682.41519573744</v>
      </c>
      <c r="V28" s="16">
        <f t="shared" si="9"/>
        <v>1214.4389451554043</v>
      </c>
      <c r="W28" s="16">
        <f t="shared" ca="1" si="10"/>
        <v>604.25544473901164</v>
      </c>
      <c r="X28" s="47">
        <f ca="1">IF(AND(A28&gt;=CS_Start,A28&lt;=CS_End),IF(OR(LEFT(UPPER(F28))="D"),"",T28),"")</f>
        <v>1087266.1601295969</v>
      </c>
      <c r="Y28" s="47">
        <f t="shared" ca="1" si="21"/>
        <v>453682.41519573744</v>
      </c>
      <c r="Z28" s="47">
        <f ca="1">IF(X28="",NA(),VALUE((-mB*X28+Y28-bA)/(mA-mB)))</f>
        <v>1087266.1912102909</v>
      </c>
      <c r="AA28" s="47">
        <f ca="1">IF(ISNA(Z28),NA(),VALUE(mA*Z28+bA))</f>
        <v>453682.33824486687</v>
      </c>
      <c r="AB28" s="47">
        <f t="shared" ca="1" si="24"/>
        <v>8.2990638130154754E-2</v>
      </c>
      <c r="AC28" s="47">
        <f t="shared" ca="1" si="25"/>
        <v>11.97652171483991</v>
      </c>
      <c r="AD28" s="47">
        <f t="shared" ca="1" si="26"/>
        <v>2.3857823459159135</v>
      </c>
      <c r="AE28" s="44">
        <f t="shared" ca="1" si="27"/>
        <v>39.29</v>
      </c>
      <c r="AF28" s="44">
        <f t="shared" ca="1" si="28"/>
        <v>7.83</v>
      </c>
      <c r="AH28" s="44">
        <v>73.06</v>
      </c>
      <c r="AI28" s="44">
        <f t="shared" ca="1" si="29"/>
        <v>5.7</v>
      </c>
      <c r="AJ28" s="2" t="str">
        <f t="shared" ca="1" si="23"/>
        <v>73.06,5.7</v>
      </c>
    </row>
    <row r="29" spans="1:36" x14ac:dyDescent="0.25">
      <c r="A29" s="44">
        <v>9</v>
      </c>
      <c r="B29" s="48">
        <v>7.6499768518518527</v>
      </c>
      <c r="C29" s="48">
        <v>4.0182986111111108</v>
      </c>
      <c r="D29" s="44">
        <v>24.503</v>
      </c>
      <c r="E29" s="44">
        <v>1.492</v>
      </c>
      <c r="F29" s="44"/>
      <c r="G29" s="43">
        <f t="shared" si="13"/>
        <v>96.439166666666665</v>
      </c>
      <c r="H29" s="43">
        <f t="shared" si="14"/>
        <v>1.6831809862128981</v>
      </c>
      <c r="I29" s="43">
        <f t="shared" si="3"/>
        <v>183.59944444444446</v>
      </c>
      <c r="J29" s="39">
        <f t="shared" si="15"/>
        <v>3.2044148103879673</v>
      </c>
      <c r="K29" s="39">
        <f t="shared" si="16"/>
        <v>24.348422536136955</v>
      </c>
      <c r="L29" s="15">
        <f t="shared" si="17"/>
        <v>-2.7479681587926019</v>
      </c>
      <c r="M29" s="13"/>
      <c r="N29" s="16">
        <f t="shared" si="4"/>
        <v>183.59944444444446</v>
      </c>
      <c r="O29" s="16">
        <f t="shared" ca="1" si="18"/>
        <v>68.831429198351856</v>
      </c>
      <c r="P29" s="16">
        <f t="shared" ca="1" si="19"/>
        <v>252.43087364279631</v>
      </c>
      <c r="Q29" s="16">
        <f t="shared" ca="1" si="20"/>
        <v>4.4057498787525677</v>
      </c>
      <c r="R29" s="16">
        <f t="shared" ca="1" si="5"/>
        <v>-23.212652880749619</v>
      </c>
      <c r="S29" s="16">
        <f t="shared" ca="1" si="6"/>
        <v>-7.3497228679786559</v>
      </c>
      <c r="T29" s="13">
        <f t="shared" ca="1" si="7"/>
        <v>1087255.9363471193</v>
      </c>
      <c r="U29" s="13">
        <f t="shared" ca="1" si="8"/>
        <v>453680.247277132</v>
      </c>
      <c r="V29" s="16">
        <f t="shared" si="9"/>
        <v>1213.7900318412073</v>
      </c>
      <c r="W29" s="16">
        <f t="shared" ca="1" si="10"/>
        <v>603.60653142481465</v>
      </c>
      <c r="X29" s="47">
        <f ca="1">IF(AND(A29&gt;=CS_Start,A29&lt;=CS_End),IF(OR(LEFT(UPPER(F29))="D"),"",T29),"")</f>
        <v>1087255.9363471193</v>
      </c>
      <c r="Y29" s="47">
        <f t="shared" ca="1" si="21"/>
        <v>453680.247277132</v>
      </c>
      <c r="Z29" s="47">
        <f ca="1">IF(X29="",NA(),VALUE((-mB*X29+Y29-bA)/(mA-mB)))</f>
        <v>1087256.6485641522</v>
      </c>
      <c r="AA29" s="47">
        <f ca="1">IF(ISNA(Z29),NA(),VALUE(mA*Z29+bA))</f>
        <v>453678.48394067155</v>
      </c>
      <c r="AB29" s="47">
        <f t="shared" ca="1" si="24"/>
        <v>1.9017383034311948</v>
      </c>
      <c r="AC29" s="47">
        <f t="shared" ca="1" si="25"/>
        <v>22.268156966754834</v>
      </c>
      <c r="AD29" s="47">
        <f t="shared" ca="1" si="26"/>
        <v>1.7368690317189248</v>
      </c>
      <c r="AE29" s="44">
        <f t="shared" ca="1" si="27"/>
        <v>73.06</v>
      </c>
      <c r="AF29" s="44">
        <f t="shared" ca="1" si="28"/>
        <v>5.7</v>
      </c>
      <c r="AH29" s="44">
        <v>132.38999999999999</v>
      </c>
      <c r="AI29" s="44">
        <f t="shared" ca="1" si="29"/>
        <v>5.58</v>
      </c>
      <c r="AJ29" s="2" t="str">
        <f t="shared" ca="1" si="23"/>
        <v>132.39,5.58</v>
      </c>
    </row>
    <row r="30" spans="1:36" x14ac:dyDescent="0.25">
      <c r="A30" s="44">
        <v>10</v>
      </c>
      <c r="B30" s="48">
        <v>7.6617708333333328</v>
      </c>
      <c r="C30" s="48">
        <v>3.9061226851851849</v>
      </c>
      <c r="D30" s="44">
        <v>42.594000000000001</v>
      </c>
      <c r="E30" s="44">
        <v>1.492</v>
      </c>
      <c r="F30" s="44"/>
      <c r="G30" s="43">
        <f t="shared" si="13"/>
        <v>93.746944444444438</v>
      </c>
      <c r="H30" s="43">
        <f t="shared" si="14"/>
        <v>1.6361928442397617</v>
      </c>
      <c r="I30" s="43">
        <f t="shared" si="3"/>
        <v>183.88249999999999</v>
      </c>
      <c r="J30" s="39">
        <f t="shared" si="15"/>
        <v>3.209355061798473</v>
      </c>
      <c r="K30" s="39">
        <f t="shared" si="16"/>
        <v>42.502951480300752</v>
      </c>
      <c r="L30" s="15">
        <f t="shared" si="17"/>
        <v>-2.7835142290278179</v>
      </c>
      <c r="M30" s="13"/>
      <c r="N30" s="16">
        <f t="shared" si="4"/>
        <v>183.88249999999999</v>
      </c>
      <c r="O30" s="16">
        <f t="shared" ca="1" si="18"/>
        <v>68.831429198351856</v>
      </c>
      <c r="P30" s="16">
        <f t="shared" ca="1" si="19"/>
        <v>252.71392919835185</v>
      </c>
      <c r="Q30" s="16">
        <f t="shared" ca="1" si="20"/>
        <v>4.4106901301630739</v>
      </c>
      <c r="R30" s="16">
        <f t="shared" ca="1" si="5"/>
        <v>-40.583223484668785</v>
      </c>
      <c r="S30" s="16">
        <f t="shared" ca="1" si="6"/>
        <v>-12.629444015087438</v>
      </c>
      <c r="T30" s="13">
        <f t="shared" ca="1" si="7"/>
        <v>1087238.5657765153</v>
      </c>
      <c r="U30" s="13">
        <f t="shared" ca="1" si="8"/>
        <v>453674.96755598491</v>
      </c>
      <c r="V30" s="16">
        <f t="shared" si="9"/>
        <v>1213.7544857709722</v>
      </c>
      <c r="W30" s="16">
        <f t="shared" ca="1" si="10"/>
        <v>603.57098535457953</v>
      </c>
      <c r="X30" s="47">
        <f ca="1">IF(AND(A30&gt;=CS_Start,A30&lt;=CS_End),IF(OR(LEFT(UPPER(F30))="D"),"",T30),"")</f>
        <v>1087238.5657765153</v>
      </c>
      <c r="Y30" s="47">
        <f t="shared" ca="1" si="21"/>
        <v>453674.96755598491</v>
      </c>
      <c r="Z30" s="47">
        <f ca="1">IF(X30="",NA(),VALUE((-mB*X30+Y30-bA)/(mA-mB)))</f>
        <v>1087239.8809310121</v>
      </c>
      <c r="AA30" s="47">
        <f ca="1">IF(ISNA(Z30),NA(),VALUE(mA*Z30+bA))</f>
        <v>453671.71144195169</v>
      </c>
      <c r="AB30" s="47">
        <f t="shared" ca="1" si="24"/>
        <v>3.5116819257808247</v>
      </c>
      <c r="AC30" s="47">
        <f t="shared" ca="1" si="25"/>
        <v>40.351858469241868</v>
      </c>
      <c r="AD30" s="47">
        <f t="shared" ca="1" si="26"/>
        <v>1.701322961483811</v>
      </c>
      <c r="AE30" s="44">
        <f t="shared" ca="1" si="27"/>
        <v>132.38999999999999</v>
      </c>
      <c r="AF30" s="44">
        <f t="shared" ca="1" si="28"/>
        <v>5.58</v>
      </c>
      <c r="AH30" s="44">
        <v>144.1</v>
      </c>
      <c r="AI30" s="44">
        <f t="shared" ca="1" si="29"/>
        <v>2.1800000000000002</v>
      </c>
      <c r="AJ30" s="2" t="str">
        <f t="shared" ca="1" si="23"/>
        <v>144.1,2.18</v>
      </c>
    </row>
    <row r="31" spans="1:36" x14ac:dyDescent="0.25">
      <c r="A31" s="44">
        <v>11</v>
      </c>
      <c r="B31" s="48">
        <v>7.5986342592592591</v>
      </c>
      <c r="C31" s="48">
        <v>3.9477546296296295</v>
      </c>
      <c r="D31" s="44">
        <v>46.16</v>
      </c>
      <c r="E31" s="44">
        <v>1.492</v>
      </c>
      <c r="F31" s="44"/>
      <c r="G31" s="43">
        <f t="shared" si="13"/>
        <v>94.746111111111105</v>
      </c>
      <c r="H31" s="43">
        <f t="shared" si="14"/>
        <v>1.6536315923492717</v>
      </c>
      <c r="I31" s="43">
        <f t="shared" si="3"/>
        <v>182.36722222222221</v>
      </c>
      <c r="J31" s="39">
        <f t="shared" si="15"/>
        <v>3.1829084754939476</v>
      </c>
      <c r="K31" s="39">
        <f t="shared" si="16"/>
        <v>46.001722932412186</v>
      </c>
      <c r="L31" s="15">
        <f t="shared" si="17"/>
        <v>-3.8193045505147416</v>
      </c>
      <c r="M31" s="13"/>
      <c r="N31" s="16">
        <f t="shared" si="4"/>
        <v>182.36722222222221</v>
      </c>
      <c r="O31" s="16">
        <f t="shared" ca="1" si="18"/>
        <v>68.831429198351856</v>
      </c>
      <c r="P31" s="16">
        <f t="shared" ca="1" si="19"/>
        <v>251.19865142057407</v>
      </c>
      <c r="Q31" s="16">
        <f t="shared" ca="1" si="20"/>
        <v>4.384243543858549</v>
      </c>
      <c r="R31" s="16">
        <f t="shared" ca="1" si="5"/>
        <v>-43.547148032929591</v>
      </c>
      <c r="S31" s="16">
        <f t="shared" ca="1" si="6"/>
        <v>-14.825802202529674</v>
      </c>
      <c r="T31" s="13">
        <f t="shared" ca="1" si="7"/>
        <v>1087235.6018519669</v>
      </c>
      <c r="U31" s="13">
        <f t="shared" ca="1" si="8"/>
        <v>453672.7711977975</v>
      </c>
      <c r="V31" s="16">
        <f t="shared" si="9"/>
        <v>1212.7186954494853</v>
      </c>
      <c r="W31" s="16">
        <f t="shared" ca="1" si="10"/>
        <v>602.53519503309258</v>
      </c>
      <c r="X31" s="47">
        <f ca="1">IF(AND(A31&gt;=CS_Start,A31&lt;=CS_End),IF(OR(LEFT(UPPER(F31))="D"),"",T31),"")</f>
        <v>1087235.6018519669</v>
      </c>
      <c r="Y31" s="47">
        <f t="shared" ca="1" si="21"/>
        <v>453672.7711977975</v>
      </c>
      <c r="Z31" s="47">
        <f ca="1">IF(X31="",NA(),VALUE((-mB*X31+Y31-bA)/(mA-mB)))</f>
        <v>1087236.5700243239</v>
      </c>
      <c r="AA31" s="47">
        <f ca="1">IF(ISNA(Z31),NA(),VALUE(mA*Z31+bA))</f>
        <v>453670.37415653281</v>
      </c>
      <c r="AB31" s="47">
        <f t="shared" ca="1" si="24"/>
        <v>2.5851817223138993</v>
      </c>
      <c r="AC31" s="47">
        <f t="shared" ca="1" si="25"/>
        <v>43.922633649734905</v>
      </c>
      <c r="AD31" s="47">
        <f t="shared" ca="1" si="26"/>
        <v>0.66553263999685441</v>
      </c>
      <c r="AE31" s="44">
        <f t="shared" ca="1" si="27"/>
        <v>144.1</v>
      </c>
      <c r="AF31" s="44">
        <f t="shared" ca="1" si="28"/>
        <v>2.1800000000000002</v>
      </c>
      <c r="AH31" s="44">
        <v>200.8</v>
      </c>
      <c r="AI31" s="44">
        <f t="shared" ca="1" si="29"/>
        <v>1.6</v>
      </c>
      <c r="AJ31" s="2" t="str">
        <f t="shared" ca="1" si="23"/>
        <v>200.8,1.6</v>
      </c>
    </row>
    <row r="32" spans="1:36" x14ac:dyDescent="0.25">
      <c r="A32" s="44">
        <v>12</v>
      </c>
      <c r="B32" s="48">
        <v>7.5491666666666672</v>
      </c>
      <c r="C32" s="48">
        <v>3.900636574074074</v>
      </c>
      <c r="D32" s="44">
        <v>63.375999999999998</v>
      </c>
      <c r="E32" s="44">
        <v>1.492</v>
      </c>
      <c r="F32" s="44"/>
      <c r="G32" s="43">
        <f t="shared" si="13"/>
        <v>93.615277777777777</v>
      </c>
      <c r="H32" s="43">
        <f t="shared" si="14"/>
        <v>1.6338948273913028</v>
      </c>
      <c r="I32" s="43">
        <f t="shared" si="3"/>
        <v>181.18</v>
      </c>
      <c r="J32" s="39">
        <f t="shared" si="15"/>
        <v>3.1621875387633263</v>
      </c>
      <c r="K32" s="39">
        <f t="shared" si="16"/>
        <v>63.249878591933147</v>
      </c>
      <c r="L32" s="15">
        <f t="shared" si="17"/>
        <v>-3.9962775311178143</v>
      </c>
      <c r="M32" s="13"/>
      <c r="N32" s="16">
        <f t="shared" si="4"/>
        <v>181.18</v>
      </c>
      <c r="O32" s="16">
        <f t="shared" ca="1" si="18"/>
        <v>68.831429198351856</v>
      </c>
      <c r="P32" s="16">
        <f t="shared" ca="1" si="19"/>
        <v>250.01142919835186</v>
      </c>
      <c r="Q32" s="16">
        <f t="shared" ca="1" si="20"/>
        <v>4.3635226071279272</v>
      </c>
      <c r="R32" s="16">
        <f t="shared" ca="1" si="5"/>
        <v>-59.439758231577045</v>
      </c>
      <c r="S32" s="16">
        <f t="shared" ca="1" si="6"/>
        <v>-21.62087609848296</v>
      </c>
      <c r="T32" s="13">
        <f t="shared" ca="1" si="7"/>
        <v>1087219.7092417683</v>
      </c>
      <c r="U32" s="13">
        <f t="shared" ca="1" si="8"/>
        <v>453665.97612390155</v>
      </c>
      <c r="V32" s="16">
        <f t="shared" si="9"/>
        <v>1212.5417224688822</v>
      </c>
      <c r="W32" s="16">
        <f t="shared" ca="1" si="10"/>
        <v>602.35822205248951</v>
      </c>
      <c r="X32" s="47">
        <f ca="1">IF(AND(A32&gt;=CS_Start,A32&lt;=CS_End),IF(OR(LEFT(UPPER(F32))="D"),"",T32),"")</f>
        <v>1087219.7092417683</v>
      </c>
      <c r="Y32" s="47">
        <f t="shared" ca="1" si="21"/>
        <v>453665.97612390155</v>
      </c>
      <c r="Z32" s="47">
        <f ca="1">IF(X32="",NA(),VALUE((-mB*X32+Y32-bA)/(mA-mB)))</f>
        <v>1087220.5468471136</v>
      </c>
      <c r="AA32" s="47">
        <f ca="1">IF(ISNA(Z32),NA(),VALUE(mA*Z32+bA))</f>
        <v>453663.90234585822</v>
      </c>
      <c r="AB32" s="47">
        <f t="shared" ca="1" si="24"/>
        <v>2.2365460172889144</v>
      </c>
      <c r="AC32" s="47">
        <f t="shared" ca="1" si="25"/>
        <v>61.20344790481235</v>
      </c>
      <c r="AD32" s="47">
        <f t="shared" ca="1" si="26"/>
        <v>0.48855965939378621</v>
      </c>
      <c r="AE32" s="44">
        <f t="shared" ca="1" si="27"/>
        <v>200.8</v>
      </c>
      <c r="AF32" s="44">
        <f t="shared" ca="1" si="28"/>
        <v>1.6</v>
      </c>
      <c r="AH32" s="44">
        <v>202</v>
      </c>
      <c r="AI32" s="44">
        <f t="shared" ref="AI32:AI35" ca="1" si="30">OFFSET($AF$22,MATCH(AH32,$AE$23:$AE$59,0),0)</f>
        <v>1.29</v>
      </c>
      <c r="AJ32" s="44" t="str">
        <f t="shared" ref="AJ32:AJ35" ca="1" si="31">CONCATENATE(AH32,",",AI32)</f>
        <v>202,1.29</v>
      </c>
    </row>
    <row r="33" spans="1:36" x14ac:dyDescent="0.25">
      <c r="A33" s="44">
        <v>13</v>
      </c>
      <c r="B33" s="48">
        <v>7.5005787037037033</v>
      </c>
      <c r="C33" s="48">
        <v>3.9033680555555557</v>
      </c>
      <c r="D33" s="44">
        <v>63.715000000000003</v>
      </c>
      <c r="E33" s="44">
        <v>1.492</v>
      </c>
      <c r="F33" s="49" t="s">
        <v>84</v>
      </c>
      <c r="G33" s="43">
        <f t="shared" si="13"/>
        <v>93.680833333333339</v>
      </c>
      <c r="H33" s="43">
        <f t="shared" si="14"/>
        <v>1.6350389876787212</v>
      </c>
      <c r="I33" s="43">
        <f t="shared" si="3"/>
        <v>180.01388888888889</v>
      </c>
      <c r="J33" s="39">
        <f t="shared" si="15"/>
        <v>3.1418350604303478</v>
      </c>
      <c r="K33" s="39">
        <f t="shared" si="16"/>
        <v>63.583565504399481</v>
      </c>
      <c r="L33" s="15">
        <f t="shared" si="17"/>
        <v>-4.0904061837108632</v>
      </c>
      <c r="M33" s="13"/>
      <c r="N33" s="16">
        <f t="shared" si="4"/>
        <v>180.01388888888889</v>
      </c>
      <c r="O33" s="16">
        <f t="shared" ca="1" si="18"/>
        <v>68.831429198351856</v>
      </c>
      <c r="P33" s="16">
        <f t="shared" ca="1" si="19"/>
        <v>248.84531808724074</v>
      </c>
      <c r="Q33" s="16">
        <f t="shared" ca="1" si="20"/>
        <v>4.3431701287949487</v>
      </c>
      <c r="R33" s="16">
        <f t="shared" ca="1" si="5"/>
        <v>-59.298639550730329</v>
      </c>
      <c r="S33" s="16">
        <f t="shared" ca="1" si="6"/>
        <v>-22.946484473331001</v>
      </c>
      <c r="T33" s="13">
        <f t="shared" ca="1" si="7"/>
        <v>1087219.8503604492</v>
      </c>
      <c r="U33" s="13">
        <f t="shared" ca="1" si="8"/>
        <v>453664.65051552665</v>
      </c>
      <c r="V33" s="16">
        <f t="shared" si="9"/>
        <v>1212.4475938162891</v>
      </c>
      <c r="W33" s="16">
        <f t="shared" ca="1" si="10"/>
        <v>602.26409339989641</v>
      </c>
      <c r="X33" s="47">
        <f ca="1">IF(AND(A33&gt;=CS_Start,A33&lt;=CS_End),IF(OR(LEFT(UPPER(F33))="D"),"",T33),"")</f>
        <v>1087219.8503604492</v>
      </c>
      <c r="Y33" s="47">
        <f t="shared" ca="1" si="21"/>
        <v>453664.65051552665</v>
      </c>
      <c r="Z33" s="47">
        <f ca="1">IF(X33="",NA(),VALUE((-mB*X33+Y33-bA)/(mA-mB)))</f>
        <v>1087220.2078514567</v>
      </c>
      <c r="AA33" s="47">
        <f ca="1">IF(ISNA(Z33),NA(),VALUE(mA*Z33+bA))</f>
        <v>453663.76542446727</v>
      </c>
      <c r="AB33" s="47">
        <f t="shared" ca="1" si="24"/>
        <v>0.9545606339352013</v>
      </c>
      <c r="AC33" s="47">
        <f t="shared" ca="1" si="25"/>
        <v>61.569050862564097</v>
      </c>
      <c r="AD33" s="47">
        <f t="shared" ca="1" si="26"/>
        <v>0.3944310068006871</v>
      </c>
      <c r="AE33" s="44">
        <f t="shared" ca="1" si="27"/>
        <v>202</v>
      </c>
      <c r="AF33" s="44">
        <f t="shared" ca="1" si="28"/>
        <v>1.29</v>
      </c>
      <c r="AH33" s="44">
        <v>206.43</v>
      </c>
      <c r="AI33" s="44">
        <f t="shared" ca="1" si="30"/>
        <v>0.65</v>
      </c>
      <c r="AJ33" s="44" t="str">
        <f t="shared" ca="1" si="31"/>
        <v>206.43,0.65</v>
      </c>
    </row>
    <row r="34" spans="1:36" x14ac:dyDescent="0.25">
      <c r="A34" s="44">
        <v>14</v>
      </c>
      <c r="B34" s="48">
        <v>7.5268402777777785</v>
      </c>
      <c r="C34" s="48">
        <v>3.9073842592592594</v>
      </c>
      <c r="D34" s="44">
        <v>65.090999999999994</v>
      </c>
      <c r="E34" s="44">
        <v>1.492</v>
      </c>
      <c r="F34" s="44"/>
      <c r="G34" s="43">
        <f t="shared" ref="G34:G37" si="32">C34*24</f>
        <v>93.777222222222221</v>
      </c>
      <c r="H34" s="43">
        <f t="shared" ref="H34:H37" si="33">RADIANS(G34)</f>
        <v>1.6367212911521714</v>
      </c>
      <c r="I34" s="43">
        <f t="shared" ref="I34:I37" si="34">B34*24</f>
        <v>180.64416666666668</v>
      </c>
      <c r="J34" s="49">
        <f t="shared" ref="J34:J37" si="35">RADIANS(I34)</f>
        <v>3.1528354828547234</v>
      </c>
      <c r="K34" s="49">
        <f t="shared" ref="K34:K37" si="36">D34*SIN(H34)</f>
        <v>64.949605193133991</v>
      </c>
      <c r="L34" s="46">
        <f t="shared" ref="L34:L37" si="37">D34*COS(H34)</f>
        <v>-4.2880142555757077</v>
      </c>
      <c r="M34" s="45"/>
      <c r="N34" s="47">
        <f t="shared" ref="N34:N37" si="38">I34+M34</f>
        <v>180.64416666666668</v>
      </c>
      <c r="O34" s="47">
        <f t="shared" ca="1" si="18"/>
        <v>68.831429198351856</v>
      </c>
      <c r="P34" s="47">
        <f t="shared" ref="P34:P37" ca="1" si="39">SUM(N34,O34)</f>
        <v>249.47559586501853</v>
      </c>
      <c r="Q34" s="47">
        <f t="shared" ref="Q34:Q37" ca="1" si="40">RADIANS(P34)</f>
        <v>4.3541705512193243</v>
      </c>
      <c r="R34" s="47">
        <f t="shared" ref="R34:R37" ca="1" si="41">K34*SIN(Q34)</f>
        <v>-60.82679518005849</v>
      </c>
      <c r="S34" s="47">
        <f t="shared" ref="S34:S37" ca="1" si="42">K34*COS(Q34)</f>
        <v>-22.771741322683049</v>
      </c>
      <c r="T34" s="45">
        <f t="shared" ref="T34:T37" ca="1" si="43">Old_X0+R34</f>
        <v>1087218.3222048199</v>
      </c>
      <c r="U34" s="45">
        <f t="shared" ref="U34:U37" ca="1" si="44">Old_Y0+S34</f>
        <v>453664.8252586773</v>
      </c>
      <c r="V34" s="47">
        <f t="shared" ref="V34:V37" si="45">Old_Z0+HI+L34-E34</f>
        <v>1212.2499857444243</v>
      </c>
      <c r="W34" s="47">
        <f t="shared" ref="W34:W37" ca="1" si="46">IF(ISNUMBER(T34),V34+dZ,"")</f>
        <v>602.0664853280316</v>
      </c>
      <c r="X34" s="47">
        <f ca="1">IF(AND(A34&gt;=CS_Start,A34&lt;=CS_End),IF(OR(LEFT(UPPER(F34))="D"),"",T34),"")</f>
        <v>1087218.3222048199</v>
      </c>
      <c r="Y34" s="47">
        <f t="shared" ca="1" si="21"/>
        <v>453664.8252586773</v>
      </c>
      <c r="Z34" s="47">
        <f ca="1">IF(X34="",NA(),VALUE((-mB*X34+Y34-bA)/(mA-mB)))</f>
        <v>1087218.9547097769</v>
      </c>
      <c r="AA34" s="47">
        <f ca="1">IF(ISNA(Z34),NA(),VALUE(mA*Z34+bA))</f>
        <v>453663.25927667937</v>
      </c>
      <c r="AB34" s="47">
        <f t="shared" ref="AB34:AB37" ca="1" si="47">IF(ISNUMBER(X34),SQRT((X34-Z34)^2+(Y34-AA34)^2),"")</f>
        <v>1.6888937617622513</v>
      </c>
      <c r="AC34" s="47">
        <f t="shared" ref="AC34:AC37" ca="1" si="48">IF(ISNUMBER(Z34),SQRT(($Z34-OFFSET($Z$20,MATCH(CS_Start,$A$21:$A$51,0),0))^2+($AA34-OFFSET($AA$20,MATCH(CS_Start,$A$21:$A$51,0),0))^2),"")</f>
        <v>62.920549901726524</v>
      </c>
      <c r="AD34" s="47">
        <f t="shared" ref="AD34:AD37" ca="1" si="49">IF(ISNUMBER(X34),W34-Min_Z,"")</f>
        <v>0.19682293493588077</v>
      </c>
      <c r="AE34" s="44">
        <f t="shared" ref="AE34:AE37" ca="1" si="50">ROUND(CONVERT(AC34,"m","ft"),2)</f>
        <v>206.43</v>
      </c>
      <c r="AF34" s="44">
        <f t="shared" ref="AF34:AF37" ca="1" si="51">ROUND(CONVERT(AD34,"m","ft"),2)</f>
        <v>0.65</v>
      </c>
      <c r="AH34" s="44">
        <v>261.52</v>
      </c>
      <c r="AI34" s="44">
        <f t="shared" ca="1" si="30"/>
        <v>0.65</v>
      </c>
      <c r="AJ34" s="44" t="str">
        <f t="shared" ca="1" si="31"/>
        <v>261.52,0.65</v>
      </c>
    </row>
    <row r="35" spans="1:36" x14ac:dyDescent="0.25">
      <c r="A35" s="44">
        <v>15</v>
      </c>
      <c r="B35" s="48">
        <v>7.480185185185185</v>
      </c>
      <c r="C35" s="48">
        <v>3.8751273148148151</v>
      </c>
      <c r="D35" s="44">
        <v>81.834000000000003</v>
      </c>
      <c r="E35" s="44">
        <v>1.492</v>
      </c>
      <c r="F35" s="44"/>
      <c r="G35" s="43">
        <f t="shared" si="32"/>
        <v>93.003055555555562</v>
      </c>
      <c r="H35" s="43">
        <f t="shared" si="33"/>
        <v>1.6232095338596486</v>
      </c>
      <c r="I35" s="43">
        <f t="shared" si="34"/>
        <v>179.52444444444444</v>
      </c>
      <c r="J35" s="49">
        <f t="shared" si="35"/>
        <v>3.1332926433691979</v>
      </c>
      <c r="K35" s="49">
        <f t="shared" si="36"/>
        <v>81.721620828058221</v>
      </c>
      <c r="L35" s="46">
        <f t="shared" si="37"/>
        <v>-4.2872188228596952</v>
      </c>
      <c r="M35" s="45"/>
      <c r="N35" s="47">
        <f t="shared" si="38"/>
        <v>179.52444444444444</v>
      </c>
      <c r="O35" s="47">
        <f t="shared" ca="1" si="18"/>
        <v>68.831429198351856</v>
      </c>
      <c r="P35" s="47">
        <f t="shared" ca="1" si="39"/>
        <v>248.3558736427963</v>
      </c>
      <c r="Q35" s="47">
        <f t="shared" ca="1" si="40"/>
        <v>4.3346277117337992</v>
      </c>
      <c r="R35" s="47">
        <f t="shared" ca="1" si="41"/>
        <v>-75.959649907774107</v>
      </c>
      <c r="S35" s="47">
        <f t="shared" ca="1" si="42"/>
        <v>-30.142244386463879</v>
      </c>
      <c r="T35" s="45">
        <f t="shared" ca="1" si="43"/>
        <v>1087203.1893500923</v>
      </c>
      <c r="U35" s="45">
        <f t="shared" ca="1" si="44"/>
        <v>453657.45475561352</v>
      </c>
      <c r="V35" s="47">
        <f t="shared" si="45"/>
        <v>1212.2507811771404</v>
      </c>
      <c r="W35" s="47">
        <f t="shared" ca="1" si="46"/>
        <v>602.06728076074774</v>
      </c>
      <c r="X35" s="47">
        <f ca="1">IF(AND(A35&gt;=CS_Start,A35&lt;=CS_End),IF(OR(LEFT(UPPER(F35))="D"),"",T35),"")</f>
        <v>1087203.1893500923</v>
      </c>
      <c r="Y35" s="47">
        <f t="shared" ca="1" si="21"/>
        <v>453657.45475561352</v>
      </c>
      <c r="Z35" s="47">
        <f ca="1">IF(X35="",NA(),VALUE((-mB*X35+Y35-bA)/(mA-mB)))</f>
        <v>1087203.3849078256</v>
      </c>
      <c r="AA35" s="47">
        <f ca="1">IF(ISNA(Z35),NA(),VALUE(mA*Z35+bA))</f>
        <v>453656.97058566962</v>
      </c>
      <c r="AB35" s="47">
        <f t="shared" ca="1" si="47"/>
        <v>0.5221717740626679</v>
      </c>
      <c r="AC35" s="47">
        <f t="shared" ca="1" si="48"/>
        <v>79.712404100072831</v>
      </c>
      <c r="AD35" s="47">
        <f t="shared" ca="1" si="49"/>
        <v>0.19761836765201224</v>
      </c>
      <c r="AE35" s="44">
        <f t="shared" ca="1" si="50"/>
        <v>261.52</v>
      </c>
      <c r="AF35" s="44">
        <f t="shared" ca="1" si="51"/>
        <v>0.65</v>
      </c>
      <c r="AH35" s="44">
        <v>327.41000000000003</v>
      </c>
      <c r="AI35" s="44">
        <f t="shared" ref="AI35:AI37" ca="1" si="52">OFFSET($AF$22,MATCH(AH35,$AE$23:$AE$59,0),0)</f>
        <v>0</v>
      </c>
      <c r="AJ35" s="44" t="str">
        <f t="shared" ref="AJ35:AJ37" ca="1" si="53">CONCATENATE(AH35,",",AI35)</f>
        <v>327.41,0</v>
      </c>
    </row>
    <row r="36" spans="1:36" x14ac:dyDescent="0.25">
      <c r="A36" s="44">
        <v>16</v>
      </c>
      <c r="B36" s="48">
        <v>7.4665740740740745</v>
      </c>
      <c r="C36" s="48">
        <v>3.8551041666666666</v>
      </c>
      <c r="D36" s="44">
        <v>101.901</v>
      </c>
      <c r="E36" s="44">
        <v>1.492</v>
      </c>
      <c r="F36" s="44"/>
      <c r="G36" s="43">
        <f t="shared" si="32"/>
        <v>92.522499999999994</v>
      </c>
      <c r="H36" s="43">
        <f t="shared" si="33"/>
        <v>1.6148222571764534</v>
      </c>
      <c r="I36" s="43">
        <f t="shared" si="34"/>
        <v>179.19777777777779</v>
      </c>
      <c r="J36" s="49">
        <f t="shared" si="35"/>
        <v>3.1275912344793499</v>
      </c>
      <c r="K36" s="49">
        <f t="shared" si="36"/>
        <v>101.80225948560575</v>
      </c>
      <c r="L36" s="46">
        <f t="shared" si="37"/>
        <v>-4.48483719051156</v>
      </c>
      <c r="M36" s="45"/>
      <c r="N36" s="47">
        <f t="shared" si="38"/>
        <v>179.19777777777779</v>
      </c>
      <c r="O36" s="47">
        <f t="shared" ca="1" si="18"/>
        <v>68.831429198351856</v>
      </c>
      <c r="P36" s="47">
        <f t="shared" ca="1" si="39"/>
        <v>248.02920697612964</v>
      </c>
      <c r="Q36" s="47">
        <f t="shared" ca="1" si="40"/>
        <v>4.3289263028439509</v>
      </c>
      <c r="R36" s="47">
        <f t="shared" ca="1" si="41"/>
        <v>-94.408839112977191</v>
      </c>
      <c r="S36" s="47">
        <f t="shared" ca="1" si="42"/>
        <v>-38.087676927250257</v>
      </c>
      <c r="T36" s="45">
        <f t="shared" ca="1" si="43"/>
        <v>1087184.7401608869</v>
      </c>
      <c r="U36" s="45">
        <f t="shared" ca="1" si="44"/>
        <v>453649.50932307274</v>
      </c>
      <c r="V36" s="47">
        <f t="shared" si="45"/>
        <v>1212.0531628094884</v>
      </c>
      <c r="W36" s="47">
        <f t="shared" ca="1" si="46"/>
        <v>601.86966239309572</v>
      </c>
      <c r="X36" s="47">
        <f ca="1">IF(AND(A36&gt;=CS_Start,A36&lt;=CS_End),IF(OR(LEFT(UPPER(F36))="D"),"",T36),"")</f>
        <v>1087184.7401608869</v>
      </c>
      <c r="Y36" s="47">
        <f t="shared" ca="1" si="21"/>
        <v>453649.50932307274</v>
      </c>
      <c r="Z36" s="47">
        <f ca="1">IF(X36="",NA(),VALUE((-mB*X36+Y36-bA)/(mA-mB)))</f>
        <v>1087184.7642630851</v>
      </c>
      <c r="AA36" s="47">
        <f ca="1">IF(ISNA(Z36),NA(),VALUE(mA*Z36+bA))</f>
        <v>453649.44964985159</v>
      </c>
      <c r="AB36" s="47">
        <f t="shared" ca="1" si="47"/>
        <v>6.4356889911940274E-2</v>
      </c>
      <c r="AC36" s="47">
        <f t="shared" ca="1" si="48"/>
        <v>99.794557523743478</v>
      </c>
      <c r="AD36" s="47">
        <f t="shared" ca="1" si="49"/>
        <v>0</v>
      </c>
      <c r="AE36" s="44">
        <f t="shared" ca="1" si="50"/>
        <v>327.41000000000003</v>
      </c>
      <c r="AF36" s="44">
        <f t="shared" ca="1" si="51"/>
        <v>0</v>
      </c>
      <c r="AH36" s="44">
        <v>331.24</v>
      </c>
      <c r="AI36" s="44">
        <f t="shared" ca="1" si="52"/>
        <v>1.2</v>
      </c>
      <c r="AJ36" s="44" t="str">
        <f t="shared" ca="1" si="53"/>
        <v>331.24,1.2</v>
      </c>
    </row>
    <row r="37" spans="1:36" x14ac:dyDescent="0.25">
      <c r="A37" s="44">
        <v>17</v>
      </c>
      <c r="B37" s="48">
        <v>7.4680787037037035</v>
      </c>
      <c r="C37" s="48">
        <v>3.8454282407407407</v>
      </c>
      <c r="D37" s="44">
        <v>103.05200000000001</v>
      </c>
      <c r="E37" s="44">
        <v>1.492</v>
      </c>
      <c r="F37" s="49" t="s">
        <v>84</v>
      </c>
      <c r="G37" s="43">
        <f t="shared" si="32"/>
        <v>92.290277777777774</v>
      </c>
      <c r="H37" s="43">
        <f t="shared" si="33"/>
        <v>1.6107692148023778</v>
      </c>
      <c r="I37" s="43">
        <f t="shared" si="34"/>
        <v>179.23388888888888</v>
      </c>
      <c r="J37" s="49">
        <f t="shared" si="35"/>
        <v>3.128221492264792</v>
      </c>
      <c r="K37" s="49">
        <f t="shared" si="36"/>
        <v>102.96968108178511</v>
      </c>
      <c r="L37" s="46">
        <f t="shared" si="37"/>
        <v>-4.1181891548917671</v>
      </c>
      <c r="M37" s="45"/>
      <c r="N37" s="47">
        <f t="shared" si="38"/>
        <v>179.23388888888888</v>
      </c>
      <c r="O37" s="47">
        <f t="shared" ca="1" si="18"/>
        <v>68.831429198351856</v>
      </c>
      <c r="P37" s="47">
        <f t="shared" ca="1" si="39"/>
        <v>248.06531808724074</v>
      </c>
      <c r="Q37" s="47">
        <f t="shared" ca="1" si="40"/>
        <v>4.3295565606293929</v>
      </c>
      <c r="R37" s="47">
        <f t="shared" ca="1" si="41"/>
        <v>-95.515737723523372</v>
      </c>
      <c r="S37" s="47">
        <f t="shared" ca="1" si="42"/>
        <v>-38.464257034494089</v>
      </c>
      <c r="T37" s="45">
        <f t="shared" ca="1" si="43"/>
        <v>1087183.6332622764</v>
      </c>
      <c r="U37" s="45">
        <f t="shared" ca="1" si="44"/>
        <v>453649.13274296554</v>
      </c>
      <c r="V37" s="47">
        <f t="shared" si="45"/>
        <v>1212.4198108451083</v>
      </c>
      <c r="W37" s="47">
        <f t="shared" ca="1" si="46"/>
        <v>602.23631042871557</v>
      </c>
      <c r="X37" s="47">
        <f ca="1">IF(AND(A37&gt;=CS_Start,A37&lt;=CS_End),IF(OR(LEFT(UPPER(F37))="D"),"",T37),"")</f>
        <v>1087183.6332622764</v>
      </c>
      <c r="Y37" s="47">
        <f t="shared" ca="1" si="21"/>
        <v>453649.13274296554</v>
      </c>
      <c r="Z37" s="47">
        <f ca="1">IF(X37="",NA(),VALUE((-mB*X37+Y37-bA)/(mA-mB)))</f>
        <v>1087183.6818456927</v>
      </c>
      <c r="AA37" s="47">
        <f ca="1">IF(ISNA(Z37),NA(),VALUE(mA*Z37+bA))</f>
        <v>453649.01245812973</v>
      </c>
      <c r="AB37" s="47">
        <f t="shared" ca="1" si="47"/>
        <v>0.12972582650206765</v>
      </c>
      <c r="AC37" s="47">
        <f t="shared" ca="1" si="48"/>
        <v>100.96193236202346</v>
      </c>
      <c r="AD37" s="47">
        <f t="shared" ca="1" si="49"/>
        <v>0.36664803561984627</v>
      </c>
      <c r="AE37" s="44">
        <f t="shared" ca="1" si="50"/>
        <v>331.24</v>
      </c>
      <c r="AF37" s="44">
        <f t="shared" ca="1" si="51"/>
        <v>1.2</v>
      </c>
      <c r="AH37" s="44">
        <v>333.46</v>
      </c>
      <c r="AI37" s="44">
        <f t="shared" ca="1" si="52"/>
        <v>3.19</v>
      </c>
      <c r="AJ37" s="44" t="str">
        <f t="shared" ca="1" si="53"/>
        <v>333.46,3.19</v>
      </c>
    </row>
    <row r="38" spans="1:36" x14ac:dyDescent="0.25">
      <c r="A38" s="44">
        <v>18</v>
      </c>
      <c r="B38" s="48">
        <v>7.4585416666666662</v>
      </c>
      <c r="C38" s="48">
        <v>3.8308796296296297</v>
      </c>
      <c r="D38" s="44">
        <v>103.705</v>
      </c>
      <c r="E38" s="44">
        <v>1.492</v>
      </c>
      <c r="F38" s="44"/>
      <c r="G38" s="43">
        <f t="shared" ref="G38:G39" si="54">C38*24</f>
        <v>91.941111111111113</v>
      </c>
      <c r="H38" s="43">
        <f t="shared" ref="H38:H39" si="55">RADIANS(G38)</f>
        <v>1.6046751068308309</v>
      </c>
      <c r="I38" s="43">
        <f t="shared" ref="I38:I39" si="56">B38*24</f>
        <v>179.005</v>
      </c>
      <c r="J38" s="49">
        <f t="shared" ref="J38:J39" si="57">RADIANS(I38)</f>
        <v>3.1242266275324497</v>
      </c>
      <c r="K38" s="49">
        <f t="shared" ref="K38:K39" si="58">D38*SIN(H38)</f>
        <v>103.64549085825746</v>
      </c>
      <c r="L38" s="46">
        <f t="shared" ref="L38:L39" si="59">D38*COS(H38)</f>
        <v>-3.5127268255397799</v>
      </c>
      <c r="M38" s="45"/>
      <c r="N38" s="47">
        <f t="shared" ref="N38:N39" si="60">I38+M38</f>
        <v>179.005</v>
      </c>
      <c r="O38" s="47">
        <f t="shared" ca="1" si="18"/>
        <v>68.831429198351856</v>
      </c>
      <c r="P38" s="47">
        <f t="shared" ref="P38:P39" ca="1" si="61">SUM(N38,O38)</f>
        <v>247.83642919835185</v>
      </c>
      <c r="Q38" s="47">
        <f t="shared" ref="Q38:Q39" ca="1" si="62">RADIANS(P38)</f>
        <v>4.3255616958970506</v>
      </c>
      <c r="R38" s="47">
        <f t="shared" ref="R38:R39" ca="1" si="63">K38*SIN(Q38)</f>
        <v>-95.987191083663106</v>
      </c>
      <c r="S38" s="47">
        <f t="shared" ref="S38:S39" ca="1" si="64">K38*COS(Q38)</f>
        <v>-39.100472159776757</v>
      </c>
      <c r="T38" s="45">
        <f t="shared" ref="T38:T39" ca="1" si="65">Old_X0+R38</f>
        <v>1087183.1618089164</v>
      </c>
      <c r="U38" s="45">
        <f t="shared" ref="U38:U39" ca="1" si="66">Old_Y0+S38</f>
        <v>453648.49652784021</v>
      </c>
      <c r="V38" s="47">
        <f t="shared" ref="V38:V39" si="67">Old_Z0+HI+L38-E38</f>
        <v>1213.0252731744602</v>
      </c>
      <c r="W38" s="47">
        <f t="shared" ref="W38:W39" ca="1" si="68">IF(ISNUMBER(T38),V38+dZ,"")</f>
        <v>602.84177275806746</v>
      </c>
      <c r="X38" s="47">
        <f ca="1">IF(AND(A38&gt;=CS_Start,A38&lt;=CS_End),IF(OR(LEFT(UPPER(F38))="D"),"",T38),"")</f>
        <v>1087183.1618089164</v>
      </c>
      <c r="Y38" s="47">
        <f t="shared" ref="Y38:Y39" ca="1" si="69">IF(ISNUMBER(X38),U38,"")</f>
        <v>453648.49652784021</v>
      </c>
      <c r="Z38" s="47">
        <f ca="1">IF(X38="",NA(),VALUE((-mB*X38+Y38-bA)/(mA-mB)))</f>
        <v>1087183.0555891364</v>
      </c>
      <c r="AA38" s="47">
        <f ca="1">IF(ISNA(Z38),NA(),VALUE(mA*Z38+bA))</f>
        <v>453648.75951117591</v>
      </c>
      <c r="AB38" s="47">
        <f t="shared" ref="AB38:AB39" ca="1" si="70">IF(ISNUMBER(X38),SQRT((X38-Z38)^2+(Y38-AA38)^2),"")</f>
        <v>0.28362453439011692</v>
      </c>
      <c r="AC38" s="47">
        <f t="shared" ref="AC38:AC39" ca="1" si="71">IF(ISNUMBER(Z38),SQRT(($Z38-OFFSET($Z$20,MATCH(CS_Start,$A$21:$A$51,0),0))^2+($AA38-OFFSET($AA$20,MATCH(CS_Start,$A$21:$A$51,0),0))^2),"")</f>
        <v>101.63734293026296</v>
      </c>
      <c r="AD38" s="47">
        <f t="shared" ref="AD38:AD39" ca="1" si="72">IF(ISNUMBER(X38),W38-Min_Z,"")</f>
        <v>0.97211036497174064</v>
      </c>
      <c r="AE38" s="44">
        <f t="shared" ref="AE38:AE39" ca="1" si="73">ROUND(CONVERT(AC38,"m","ft"),2)</f>
        <v>333.46</v>
      </c>
      <c r="AF38" s="44">
        <f t="shared" ref="AF38:AF39" ca="1" si="74">ROUND(CONVERT(AD38,"m","ft"),2)</f>
        <v>3.19</v>
      </c>
      <c r="AH38" s="44">
        <v>391.71</v>
      </c>
      <c r="AI38" s="44">
        <f t="shared" ref="AI38:AI41" ca="1" si="75">OFFSET($AF$22,MATCH(AH38,$AE$23:$AE$59,0),0)</f>
        <v>3.03</v>
      </c>
      <c r="AJ38" s="44" t="str">
        <f t="shared" ref="AJ38:AJ41" ca="1" si="76">CONCATENATE(AH38,",",AI38)</f>
        <v>391.71,3.03</v>
      </c>
    </row>
    <row r="39" spans="1:36" x14ac:dyDescent="0.25">
      <c r="A39" s="44">
        <v>19</v>
      </c>
      <c r="B39" s="48">
        <v>7.4526504629629633</v>
      </c>
      <c r="C39" s="48">
        <v>3.8200231481481484</v>
      </c>
      <c r="D39" s="44">
        <v>121.45399999999999</v>
      </c>
      <c r="E39" s="44">
        <v>1.492</v>
      </c>
      <c r="F39" s="44"/>
      <c r="G39" s="43">
        <f t="shared" si="54"/>
        <v>91.680555555555557</v>
      </c>
      <c r="H39" s="43">
        <f t="shared" si="55"/>
        <v>1.6001275545020235</v>
      </c>
      <c r="I39" s="43">
        <f t="shared" si="56"/>
        <v>178.86361111111111</v>
      </c>
      <c r="J39" s="49">
        <f t="shared" si="57"/>
        <v>3.1217589258956022</v>
      </c>
      <c r="K39" s="49">
        <f t="shared" si="58"/>
        <v>121.40175903705746</v>
      </c>
      <c r="L39" s="46">
        <f t="shared" si="59"/>
        <v>-3.5618841514336728</v>
      </c>
      <c r="M39" s="45"/>
      <c r="N39" s="47">
        <f t="shared" si="60"/>
        <v>178.86361111111111</v>
      </c>
      <c r="O39" s="47">
        <f t="shared" ca="1" si="18"/>
        <v>68.831429198351856</v>
      </c>
      <c r="P39" s="47">
        <f t="shared" ca="1" si="61"/>
        <v>247.69504030946297</v>
      </c>
      <c r="Q39" s="47">
        <f t="shared" ca="1" si="62"/>
        <v>4.3230939942602031</v>
      </c>
      <c r="R39" s="47">
        <f t="shared" ca="1" si="63"/>
        <v>-112.31809920562073</v>
      </c>
      <c r="S39" s="47">
        <f t="shared" ca="1" si="64"/>
        <v>-46.076368000615055</v>
      </c>
      <c r="T39" s="45">
        <f t="shared" ca="1" si="65"/>
        <v>1087166.8309007944</v>
      </c>
      <c r="U39" s="45">
        <f t="shared" ca="1" si="66"/>
        <v>453641.52063199942</v>
      </c>
      <c r="V39" s="47">
        <f t="shared" si="67"/>
        <v>1212.9761158485665</v>
      </c>
      <c r="W39" s="47">
        <f t="shared" ca="1" si="68"/>
        <v>602.79261543217376</v>
      </c>
      <c r="X39" s="47">
        <f ca="1">IF(AND(A39&gt;=CS_Start,A39&lt;=CS_End),IF(OR(LEFT(UPPER(F39))="D"),"",T39),"")</f>
        <v>1087166.8309007944</v>
      </c>
      <c r="Y39" s="47">
        <f t="shared" ca="1" si="69"/>
        <v>453641.52063199942</v>
      </c>
      <c r="Z39" s="47">
        <f ca="1">IF(X39="",NA(),VALUE((-mB*X39+Y39-bA)/(mA-mB)))</f>
        <v>1087166.5927971976</v>
      </c>
      <c r="AA39" s="47">
        <f ca="1">IF(ISNA(Z39),NA(),VALUE(mA*Z39+bA))</f>
        <v>453642.1101387571</v>
      </c>
      <c r="AB39" s="47">
        <f t="shared" ca="1" si="70"/>
        <v>0.63577632869008183</v>
      </c>
      <c r="AC39" s="47">
        <f t="shared" ca="1" si="71"/>
        <v>119.39227666667479</v>
      </c>
      <c r="AD39" s="47">
        <f t="shared" ca="1" si="72"/>
        <v>0.92295303907803827</v>
      </c>
      <c r="AE39" s="44">
        <f t="shared" ca="1" si="73"/>
        <v>391.71</v>
      </c>
      <c r="AF39" s="44">
        <f t="shared" ca="1" si="74"/>
        <v>3.03</v>
      </c>
      <c r="AH39" s="44">
        <v>407.46</v>
      </c>
      <c r="AI39" s="44">
        <f t="shared" ca="1" si="75"/>
        <v>6.76</v>
      </c>
      <c r="AJ39" s="44" t="str">
        <f t="shared" ca="1" si="76"/>
        <v>407.46,6.76</v>
      </c>
    </row>
    <row r="40" spans="1:36" x14ac:dyDescent="0.25">
      <c r="A40" s="44">
        <v>20</v>
      </c>
      <c r="B40" s="48">
        <v>7.4577777777777783</v>
      </c>
      <c r="C40" s="48">
        <v>3.7958796296296295</v>
      </c>
      <c r="D40" s="44">
        <v>126.224</v>
      </c>
      <c r="E40" s="44">
        <v>1.492</v>
      </c>
      <c r="F40" s="44"/>
      <c r="G40" s="43">
        <f t="shared" ref="G40:G43" si="77">C40*24</f>
        <v>91.101111111111109</v>
      </c>
      <c r="H40" s="43">
        <f t="shared" ref="H40:H43" si="78">RADIANS(G40)</f>
        <v>1.5900143411140786</v>
      </c>
      <c r="I40" s="43">
        <f t="shared" ref="I40:I43" si="79">B40*24</f>
        <v>178.98666666666668</v>
      </c>
      <c r="J40" s="49">
        <f t="shared" ref="J40:J43" si="80">RADIANS(I40)</f>
        <v>3.1239066505029176</v>
      </c>
      <c r="K40" s="49">
        <f t="shared" ref="K40:K43" si="81">D40*SIN(H40)</f>
        <v>126.20069143151896</v>
      </c>
      <c r="L40" s="46">
        <f t="shared" ref="L40:L43" si="82">D40*COS(H40)</f>
        <v>-2.4256253227852316</v>
      </c>
      <c r="M40" s="45"/>
      <c r="N40" s="47">
        <f t="shared" ref="N40:N43" si="83">I40+M40</f>
        <v>178.98666666666668</v>
      </c>
      <c r="O40" s="47">
        <f t="shared" ca="1" si="18"/>
        <v>68.831429198351856</v>
      </c>
      <c r="P40" s="47">
        <f t="shared" ref="P40:P43" ca="1" si="84">SUM(N40,O40)</f>
        <v>247.81809586501853</v>
      </c>
      <c r="Q40" s="47">
        <f t="shared" ref="Q40:Q43" ca="1" si="85">RADIANS(P40)</f>
        <v>4.3252417188675185</v>
      </c>
      <c r="R40" s="47">
        <f t="shared" ref="R40:R43" ca="1" si="86">K40*SIN(Q40)</f>
        <v>-116.86056223147972</v>
      </c>
      <c r="S40" s="47">
        <f t="shared" ref="S40:S43" ca="1" si="87">K40*COS(Q40)</f>
        <v>-47.646862569700417</v>
      </c>
      <c r="T40" s="45">
        <f t="shared" ref="T40:T43" ca="1" si="88">Old_X0+R40</f>
        <v>1087162.2884377686</v>
      </c>
      <c r="U40" s="45">
        <f t="shared" ref="U40:U43" ca="1" si="89">Old_Y0+S40</f>
        <v>453639.95013743034</v>
      </c>
      <c r="V40" s="47">
        <f t="shared" ref="V40:V43" si="90">Old_Z0+HI+L40-E40</f>
        <v>1214.1123746772148</v>
      </c>
      <c r="W40" s="47">
        <f t="shared" ref="W40:W43" ca="1" si="91">IF(ISNUMBER(T40),V40+dZ,"")</f>
        <v>603.92887426082211</v>
      </c>
      <c r="X40" s="47">
        <f ca="1">IF(AND(A40&gt;=CS_Start,A40&lt;=CS_End),IF(OR(LEFT(UPPER(F40))="D"),"",T40),"")</f>
        <v>1087162.2884377686</v>
      </c>
      <c r="Y40" s="47">
        <f t="shared" ref="Y40:Y43" ca="1" si="92">IF(ISNUMBER(X40),U40,"")</f>
        <v>453639.95013743034</v>
      </c>
      <c r="Z40" s="47">
        <f ca="1">IF(X40="",NA(),VALUE((-mB*X40+Y40-bA)/(mA-mB)))</f>
        <v>1087162.142085453</v>
      </c>
      <c r="AA40" s="47">
        <f ca="1">IF(ISNA(Z40),NA(),VALUE(mA*Z40+bA))</f>
        <v>453640.31248256192</v>
      </c>
      <c r="AB40" s="47">
        <f t="shared" ref="AB40:AB43" ca="1" si="93">IF(ISNUMBER(X40),SQRT((X40-Z40)^2+(Y40-AA40)^2),"")</f>
        <v>0.39078510033995167</v>
      </c>
      <c r="AC40" s="47">
        <f t="shared" ref="AC40:AC43" ca="1" si="94">IF(ISNUMBER(Z40),SQRT(($Z40-OFFSET($Z$20,MATCH(CS_Start,$A$21:$A$51,0),0))^2+($AA40-OFFSET($AA$20,MATCH(CS_Start,$A$21:$A$51,0),0))^2),"")</f>
        <v>124.19231862791126</v>
      </c>
      <c r="AD40" s="47">
        <f t="shared" ref="AD40:AD43" ca="1" si="95">IF(ISNUMBER(X40),W40-Min_Z,"")</f>
        <v>2.0592118677263898</v>
      </c>
      <c r="AE40" s="44">
        <f t="shared" ref="AE40:AE43" ca="1" si="96">ROUND(CONVERT(AC40,"m","ft"),2)</f>
        <v>407.46</v>
      </c>
      <c r="AF40" s="44">
        <f t="shared" ref="AF40:AF43" ca="1" si="97">ROUND(CONVERT(AD40,"m","ft"),2)</f>
        <v>6.76</v>
      </c>
      <c r="AH40" s="44">
        <v>416.84</v>
      </c>
      <c r="AI40" s="44">
        <f t="shared" ca="1" si="75"/>
        <v>4.63</v>
      </c>
      <c r="AJ40" s="44" t="str">
        <f t="shared" ca="1" si="76"/>
        <v>416.84,4.63</v>
      </c>
    </row>
    <row r="41" spans="1:36" x14ac:dyDescent="0.25">
      <c r="A41" s="44">
        <v>21</v>
      </c>
      <c r="B41" s="48">
        <v>7.4498611111111108</v>
      </c>
      <c r="C41" s="48">
        <v>3.8068171296296298</v>
      </c>
      <c r="D41" s="44">
        <v>129.1</v>
      </c>
      <c r="E41" s="44">
        <v>1.492</v>
      </c>
      <c r="F41" s="44"/>
      <c r="G41" s="43">
        <f t="shared" si="77"/>
        <v>91.363611111111112</v>
      </c>
      <c r="H41" s="43">
        <f t="shared" si="78"/>
        <v>1.5945958304005636</v>
      </c>
      <c r="I41" s="43">
        <f t="shared" si="79"/>
        <v>178.79666666666665</v>
      </c>
      <c r="J41" s="49">
        <f t="shared" si="80"/>
        <v>3.1205905249241277</v>
      </c>
      <c r="K41" s="49">
        <f t="shared" si="81"/>
        <v>129.06343954894743</v>
      </c>
      <c r="L41" s="46">
        <f t="shared" si="82"/>
        <v>-3.0722258698198326</v>
      </c>
      <c r="M41" s="45"/>
      <c r="N41" s="47">
        <f t="shared" si="83"/>
        <v>178.79666666666665</v>
      </c>
      <c r="O41" s="47">
        <f t="shared" ca="1" si="18"/>
        <v>68.831429198351856</v>
      </c>
      <c r="P41" s="47">
        <f t="shared" ca="1" si="84"/>
        <v>247.62809586501851</v>
      </c>
      <c r="Q41" s="47">
        <f t="shared" ca="1" si="85"/>
        <v>4.3219255932887286</v>
      </c>
      <c r="R41" s="47">
        <f t="shared" ca="1" si="86"/>
        <v>-119.34919404500897</v>
      </c>
      <c r="S41" s="47">
        <f t="shared" ca="1" si="87"/>
        <v>-49.123734681023613</v>
      </c>
      <c r="T41" s="45">
        <f t="shared" ca="1" si="88"/>
        <v>1087159.799805955</v>
      </c>
      <c r="U41" s="45">
        <f t="shared" ca="1" si="89"/>
        <v>453638.47326531896</v>
      </c>
      <c r="V41" s="47">
        <f t="shared" si="90"/>
        <v>1213.4657741301801</v>
      </c>
      <c r="W41" s="47">
        <f t="shared" ca="1" si="91"/>
        <v>603.28227371378739</v>
      </c>
      <c r="X41" s="47">
        <f ca="1">IF(AND(A41&gt;=CS_Start,A41&lt;=CS_End),IF(OR(LEFT(UPPER(F41))="D"),"",T41),"")</f>
        <v>1087159.799805955</v>
      </c>
      <c r="Y41" s="47">
        <f t="shared" ca="1" si="92"/>
        <v>453638.47326531896</v>
      </c>
      <c r="Z41" s="47">
        <f ca="1">IF(X41="",NA(),VALUE((-mB*X41+Y41-bA)/(mA-mB)))</f>
        <v>1087159.4896522877</v>
      </c>
      <c r="AA41" s="47">
        <f ca="1">IF(ISNA(Z41),NA(),VALUE(mA*Z41+bA))</f>
        <v>453639.241156629</v>
      </c>
      <c r="AB41" s="47">
        <f t="shared" ca="1" si="93"/>
        <v>0.82816203813241651</v>
      </c>
      <c r="AC41" s="47">
        <f t="shared" ca="1" si="94"/>
        <v>127.05293760834041</v>
      </c>
      <c r="AD41" s="47">
        <f t="shared" ca="1" si="95"/>
        <v>1.4126113206916671</v>
      </c>
      <c r="AE41" s="44">
        <f t="shared" ca="1" si="96"/>
        <v>416.84</v>
      </c>
      <c r="AF41" s="44">
        <f t="shared" ca="1" si="97"/>
        <v>4.63</v>
      </c>
      <c r="AH41" s="2">
        <v>450.58</v>
      </c>
      <c r="AI41" s="44">
        <f t="shared" ca="1" si="75"/>
        <v>16.16</v>
      </c>
      <c r="AJ41" s="44" t="str">
        <f t="shared" ca="1" si="76"/>
        <v>450.58,16.16</v>
      </c>
    </row>
    <row r="42" spans="1:36" x14ac:dyDescent="0.25">
      <c r="A42" s="44">
        <v>22</v>
      </c>
      <c r="B42" s="48">
        <v>7.414224537037037</v>
      </c>
      <c r="C42" s="48">
        <v>3.7424421296296297</v>
      </c>
      <c r="D42" s="44">
        <v>139.376</v>
      </c>
      <c r="E42" s="44">
        <v>1.492</v>
      </c>
      <c r="F42" s="44"/>
      <c r="G42" s="43">
        <f t="shared" si="77"/>
        <v>89.81861111111111</v>
      </c>
      <c r="H42" s="43">
        <f t="shared" si="78"/>
        <v>1.5676304934572514</v>
      </c>
      <c r="I42" s="43">
        <f t="shared" si="79"/>
        <v>177.94138888888889</v>
      </c>
      <c r="J42" s="49">
        <f t="shared" si="80"/>
        <v>3.1056631116827655</v>
      </c>
      <c r="K42" s="49">
        <f t="shared" si="81"/>
        <v>139.37530155255305</v>
      </c>
      <c r="L42" s="46">
        <f t="shared" si="82"/>
        <v>0.44124045021132852</v>
      </c>
      <c r="M42" s="45"/>
      <c r="N42" s="47">
        <f t="shared" si="83"/>
        <v>177.94138888888889</v>
      </c>
      <c r="O42" s="47">
        <f t="shared" ca="1" si="18"/>
        <v>68.831429198351856</v>
      </c>
      <c r="P42" s="47">
        <f t="shared" ca="1" si="84"/>
        <v>246.77281808724075</v>
      </c>
      <c r="Q42" s="47">
        <f t="shared" ca="1" si="85"/>
        <v>4.3069981800473665</v>
      </c>
      <c r="R42" s="47">
        <f t="shared" ca="1" si="86"/>
        <v>-128.07870260086366</v>
      </c>
      <c r="S42" s="47">
        <f t="shared" ca="1" si="87"/>
        <v>-54.966540940326745</v>
      </c>
      <c r="T42" s="45">
        <f t="shared" ca="1" si="88"/>
        <v>1087151.0702973991</v>
      </c>
      <c r="U42" s="45">
        <f t="shared" ca="1" si="89"/>
        <v>453632.63045905967</v>
      </c>
      <c r="V42" s="47">
        <f t="shared" si="90"/>
        <v>1216.9792404502114</v>
      </c>
      <c r="W42" s="47">
        <f t="shared" ca="1" si="91"/>
        <v>606.79574003381867</v>
      </c>
      <c r="X42" s="47">
        <f ca="1">IF(AND(A42&gt;=CS_Start,A42&lt;=CS_End),IF(OR(LEFT(UPPER(F42))="D"),"",T42),"")</f>
        <v>1087151.0702973991</v>
      </c>
      <c r="Y42" s="47">
        <f t="shared" ca="1" si="92"/>
        <v>453632.63045905967</v>
      </c>
      <c r="Z42" s="47">
        <f ca="1">IF(X42="",NA(),VALUE((-mB*X42+Y42-bA)/(mA-mB)))</f>
        <v>1087149.9555824923</v>
      </c>
      <c r="AA42" s="47">
        <f ca="1">IF(ISNA(Z42),NA(),VALUE(mA*Z42+bA))</f>
        <v>453635.39031644515</v>
      </c>
      <c r="AB42" s="47">
        <f t="shared" ca="1" si="93"/>
        <v>2.976474779261661</v>
      </c>
      <c r="AC42" s="47">
        <f t="shared" ca="1" si="94"/>
        <v>137.33532337162458</v>
      </c>
      <c r="AD42" s="47">
        <f t="shared" ca="1" si="95"/>
        <v>4.9260776407229514</v>
      </c>
      <c r="AE42" s="44">
        <f t="shared" ca="1" si="96"/>
        <v>450.58</v>
      </c>
      <c r="AF42" s="44">
        <f t="shared" ca="1" si="97"/>
        <v>16.16</v>
      </c>
    </row>
    <row r="43" spans="1:36" x14ac:dyDescent="0.25">
      <c r="A43" s="44">
        <v>23</v>
      </c>
      <c r="B43" s="48">
        <v>5.0477430555555554</v>
      </c>
      <c r="C43" s="48">
        <v>3.4368402777777778</v>
      </c>
      <c r="D43" s="44">
        <v>18.931999999999999</v>
      </c>
      <c r="E43" s="44">
        <v>1.492</v>
      </c>
      <c r="F43" s="49" t="s">
        <v>92</v>
      </c>
      <c r="G43" s="43">
        <f t="shared" si="77"/>
        <v>82.484166666666667</v>
      </c>
      <c r="H43" s="43">
        <f t="shared" si="78"/>
        <v>1.4396202890970895</v>
      </c>
      <c r="I43" s="43">
        <f t="shared" si="79"/>
        <v>121.14583333333333</v>
      </c>
      <c r="J43" s="49">
        <f t="shared" si="80"/>
        <v>2.1143936667389638</v>
      </c>
      <c r="K43" s="49">
        <f t="shared" si="81"/>
        <v>18.769350519638689</v>
      </c>
      <c r="L43" s="46">
        <f t="shared" si="82"/>
        <v>2.4763087592097199</v>
      </c>
      <c r="M43" s="45"/>
      <c r="N43" s="47">
        <f t="shared" si="83"/>
        <v>121.14583333333333</v>
      </c>
      <c r="O43" s="47">
        <f t="shared" ca="1" si="18"/>
        <v>68.831429198351856</v>
      </c>
      <c r="P43" s="47">
        <f t="shared" ca="1" si="84"/>
        <v>189.9772625316852</v>
      </c>
      <c r="Q43" s="47">
        <f t="shared" ca="1" si="85"/>
        <v>3.3157287351035651</v>
      </c>
      <c r="R43" s="47">
        <f t="shared" ca="1" si="86"/>
        <v>-3.2519279184644732</v>
      </c>
      <c r="S43" s="47">
        <f t="shared" ca="1" si="87"/>
        <v>-18.485493873363851</v>
      </c>
      <c r="T43" s="45">
        <f t="shared" ca="1" si="88"/>
        <v>1087275.8970720815</v>
      </c>
      <c r="U43" s="45">
        <f t="shared" ca="1" si="89"/>
        <v>453669.11150612665</v>
      </c>
      <c r="V43" s="47">
        <f t="shared" si="90"/>
        <v>1219.0143087592098</v>
      </c>
      <c r="W43" s="47">
        <f t="shared" ca="1" si="91"/>
        <v>608.83080834281714</v>
      </c>
      <c r="X43" s="47" t="str">
        <f>IF(AND(A43&gt;=CS_Start,A43&lt;=CS_End),IF(OR(LEFT(UPPER(F43))="D"),"",T43),"")</f>
        <v/>
      </c>
      <c r="Y43" s="47" t="str">
        <f t="shared" si="92"/>
        <v/>
      </c>
      <c r="Z43" s="47" t="e">
        <f>IF(X43="",NA(),VALUE((-mB*X43+Y43-bA)/(mA-mB)))</f>
        <v>#N/A</v>
      </c>
      <c r="AA43" s="47" t="e">
        <f>IF(ISNA(Z43),NA(),VALUE(mA*Z43+bA))</f>
        <v>#N/A</v>
      </c>
      <c r="AB43" s="47" t="str">
        <f t="shared" si="93"/>
        <v/>
      </c>
      <c r="AC43" s="47" t="str">
        <f t="shared" ca="1" si="94"/>
        <v/>
      </c>
      <c r="AD43" s="47" t="str">
        <f t="shared" si="95"/>
        <v/>
      </c>
      <c r="AE43" s="44" t="e">
        <f t="shared" ca="1" si="96"/>
        <v>#VALUE!</v>
      </c>
      <c r="AF43" s="44" t="e">
        <f t="shared" si="97"/>
        <v>#VALUE!</v>
      </c>
    </row>
    <row r="44" spans="1:36" x14ac:dyDescent="0.25">
      <c r="A44" s="44">
        <v>24</v>
      </c>
      <c r="B44" s="48">
        <v>5.5873379629629625</v>
      </c>
      <c r="C44" s="48">
        <v>3.4943518518518517</v>
      </c>
      <c r="D44" s="44">
        <v>14.2</v>
      </c>
      <c r="E44" s="44">
        <v>1.492</v>
      </c>
      <c r="F44" s="49" t="s">
        <v>70</v>
      </c>
      <c r="G44" s="43"/>
      <c r="H44" s="43"/>
      <c r="I44" s="43"/>
      <c r="J44" s="49"/>
      <c r="K44" s="49"/>
      <c r="L44" s="46"/>
      <c r="M44" s="45"/>
      <c r="N44" s="47"/>
      <c r="O44" s="47"/>
      <c r="P44" s="47"/>
      <c r="Q44" s="47"/>
      <c r="R44" s="47"/>
      <c r="S44" s="47"/>
      <c r="T44" s="45"/>
      <c r="U44" s="45"/>
      <c r="V44" s="47"/>
      <c r="W44" s="47"/>
      <c r="X44" s="47"/>
      <c r="Y44" s="47"/>
      <c r="Z44" s="47"/>
      <c r="AA44" s="47"/>
      <c r="AB44" s="47"/>
      <c r="AC44" s="47"/>
      <c r="AD44" s="47"/>
      <c r="AE44" s="44"/>
      <c r="AF44" s="44"/>
    </row>
    <row r="45" spans="1:36" x14ac:dyDescent="0.25">
      <c r="A45" s="44">
        <v>25</v>
      </c>
      <c r="B45" s="48">
        <v>1.3773148148148147E-3</v>
      </c>
      <c r="C45" s="48">
        <v>3.9128819444444445</v>
      </c>
      <c r="D45" s="44">
        <v>13.693</v>
      </c>
      <c r="E45" s="44">
        <v>1.492</v>
      </c>
      <c r="F45" s="49" t="s">
        <v>69</v>
      </c>
      <c r="G45" s="43"/>
      <c r="H45" s="43"/>
      <c r="I45" s="43"/>
      <c r="J45" s="49"/>
      <c r="K45" s="49"/>
      <c r="L45" s="46"/>
      <c r="M45" s="45"/>
      <c r="N45" s="47"/>
      <c r="O45" s="47"/>
      <c r="P45" s="47"/>
      <c r="Q45" s="47"/>
      <c r="R45" s="47"/>
      <c r="S45" s="47"/>
      <c r="T45" s="45"/>
      <c r="U45" s="45"/>
      <c r="V45" s="47"/>
      <c r="W45" s="47"/>
      <c r="X45" s="47"/>
      <c r="Y45" s="47"/>
      <c r="Z45" s="47"/>
      <c r="AA45" s="47"/>
      <c r="AB45" s="47"/>
      <c r="AC45" s="47"/>
      <c r="AD45" s="47"/>
      <c r="AE45" s="44"/>
      <c r="AF45" s="44"/>
    </row>
    <row r="46" spans="1:36" x14ac:dyDescent="0.25">
      <c r="A46" s="44"/>
      <c r="B46" s="48"/>
      <c r="C46" s="48"/>
      <c r="D46" s="44"/>
      <c r="E46" s="44"/>
      <c r="F46" s="49"/>
      <c r="G46" s="43"/>
      <c r="H46" s="43"/>
      <c r="I46" s="43"/>
      <c r="J46" s="49"/>
      <c r="K46" s="49"/>
      <c r="L46" s="46"/>
      <c r="M46" s="45"/>
      <c r="N46" s="47"/>
      <c r="O46" s="47"/>
      <c r="P46" s="47"/>
      <c r="Q46" s="47"/>
      <c r="R46" s="47"/>
      <c r="S46" s="47"/>
      <c r="T46" s="45"/>
      <c r="U46" s="45"/>
      <c r="V46" s="47"/>
      <c r="W46" s="47"/>
      <c r="X46" s="47"/>
      <c r="Y46" s="47"/>
      <c r="Z46" s="47"/>
      <c r="AA46" s="47"/>
      <c r="AB46" s="47"/>
      <c r="AC46" s="47"/>
      <c r="AD46" s="47"/>
      <c r="AE46" s="44"/>
      <c r="AF46" s="44"/>
    </row>
    <row r="47" spans="1:36" x14ac:dyDescent="0.25">
      <c r="A47" s="44"/>
      <c r="B47" s="48"/>
      <c r="C47" s="48"/>
      <c r="D47" s="44"/>
      <c r="E47" s="44"/>
      <c r="F47" s="44"/>
      <c r="G47" s="43"/>
      <c r="H47" s="43"/>
      <c r="I47" s="43"/>
      <c r="J47" s="49"/>
      <c r="K47" s="49"/>
      <c r="L47" s="46"/>
      <c r="M47" s="45"/>
      <c r="N47" s="47"/>
      <c r="O47" s="47"/>
      <c r="P47" s="47"/>
      <c r="Q47" s="47"/>
      <c r="R47" s="47"/>
      <c r="S47" s="47"/>
      <c r="T47" s="45"/>
      <c r="U47" s="45"/>
      <c r="V47" s="47"/>
      <c r="W47" s="47"/>
      <c r="X47" s="47"/>
      <c r="Y47" s="47"/>
      <c r="Z47" s="47"/>
      <c r="AA47" s="47"/>
      <c r="AB47" s="47"/>
      <c r="AC47" s="47"/>
      <c r="AD47" s="47"/>
      <c r="AE47" s="44"/>
      <c r="AF47" s="44"/>
    </row>
    <row r="48" spans="1:36" x14ac:dyDescent="0.25">
      <c r="A48" s="44"/>
      <c r="B48" s="48"/>
      <c r="C48" s="48"/>
      <c r="D48" s="44"/>
      <c r="E48" s="44"/>
      <c r="F48" s="44"/>
      <c r="G48" s="43"/>
      <c r="H48" s="43"/>
      <c r="I48" s="43"/>
      <c r="J48" s="49"/>
      <c r="K48" s="49"/>
      <c r="L48" s="46"/>
      <c r="M48" s="45"/>
      <c r="N48" s="47"/>
      <c r="O48" s="47"/>
      <c r="P48" s="47"/>
      <c r="Q48" s="47"/>
      <c r="R48" s="47"/>
      <c r="S48" s="47"/>
      <c r="T48" s="45"/>
      <c r="U48" s="45"/>
      <c r="V48" s="47"/>
      <c r="W48" s="47"/>
      <c r="X48" s="47"/>
      <c r="Y48" s="47"/>
      <c r="Z48" s="47"/>
      <c r="AA48" s="47"/>
      <c r="AB48" s="47"/>
      <c r="AC48" s="47"/>
      <c r="AD48" s="47"/>
      <c r="AE48" s="44"/>
      <c r="AF48" s="44"/>
    </row>
    <row r="49" spans="1:36" x14ac:dyDescent="0.25">
      <c r="A49" s="44"/>
      <c r="B49" s="48"/>
      <c r="C49" s="48"/>
      <c r="D49" s="44"/>
      <c r="E49" s="44"/>
      <c r="F49" s="44"/>
      <c r="G49" s="43"/>
      <c r="H49" s="43"/>
      <c r="I49" s="43"/>
      <c r="J49" s="49"/>
      <c r="K49" s="49"/>
      <c r="L49" s="46"/>
      <c r="M49" s="45"/>
      <c r="N49" s="47"/>
      <c r="O49" s="47"/>
      <c r="P49" s="47"/>
      <c r="Q49" s="47"/>
      <c r="R49" s="47"/>
      <c r="S49" s="47"/>
      <c r="T49" s="45"/>
      <c r="U49" s="45"/>
      <c r="V49" s="47"/>
      <c r="W49" s="47"/>
      <c r="X49" s="47"/>
      <c r="Y49" s="47"/>
      <c r="Z49" s="47"/>
      <c r="AA49" s="47"/>
      <c r="AB49" s="47"/>
      <c r="AC49" s="47"/>
      <c r="AD49" s="47"/>
      <c r="AE49" s="44"/>
      <c r="AF49" s="44"/>
    </row>
    <row r="50" spans="1:36" x14ac:dyDescent="0.25">
      <c r="A50" s="44"/>
      <c r="B50" s="48"/>
      <c r="C50" s="48"/>
      <c r="D50" s="44"/>
      <c r="E50" s="44"/>
      <c r="F50" s="44"/>
      <c r="G50" s="43"/>
      <c r="H50" s="43"/>
      <c r="I50" s="43"/>
      <c r="J50" s="49"/>
      <c r="K50" s="49"/>
      <c r="L50" s="46"/>
      <c r="M50" s="45"/>
      <c r="N50" s="47"/>
      <c r="O50" s="47"/>
      <c r="P50" s="47"/>
      <c r="Q50" s="47"/>
      <c r="R50" s="47"/>
      <c r="S50" s="47"/>
      <c r="T50" s="45"/>
      <c r="U50" s="45"/>
      <c r="V50" s="47"/>
      <c r="W50" s="47"/>
      <c r="X50" s="47"/>
      <c r="Y50" s="47"/>
      <c r="Z50" s="47"/>
      <c r="AA50" s="47"/>
      <c r="AB50" s="47"/>
      <c r="AC50" s="47"/>
      <c r="AD50" s="47"/>
      <c r="AE50" s="44"/>
      <c r="AF50" s="44"/>
    </row>
    <row r="51" spans="1:36" x14ac:dyDescent="0.25">
      <c r="A51" s="44"/>
      <c r="B51" s="48"/>
      <c r="C51" s="48"/>
      <c r="D51" s="44"/>
      <c r="E51" s="44"/>
      <c r="F51" s="49"/>
      <c r="G51" s="43"/>
      <c r="H51" s="43"/>
      <c r="I51" s="43"/>
      <c r="J51" s="49"/>
      <c r="K51" s="49"/>
      <c r="L51" s="46"/>
      <c r="M51" s="45"/>
      <c r="N51" s="47"/>
      <c r="O51" s="47"/>
      <c r="P51" s="47"/>
      <c r="Q51" s="47"/>
      <c r="R51" s="47"/>
      <c r="S51" s="47"/>
      <c r="T51" s="45"/>
      <c r="U51" s="45"/>
      <c r="V51" s="47"/>
      <c r="W51" s="47"/>
      <c r="X51" s="47"/>
      <c r="Y51" s="47"/>
      <c r="Z51" s="47"/>
      <c r="AA51" s="47"/>
      <c r="AB51" s="47"/>
      <c r="AC51" s="47"/>
      <c r="AD51" s="47"/>
      <c r="AE51" s="44"/>
      <c r="AF51" s="44"/>
    </row>
    <row r="52" spans="1:36" x14ac:dyDescent="0.25">
      <c r="A52" s="44"/>
      <c r="B52" s="48"/>
      <c r="C52" s="48"/>
      <c r="D52" s="44"/>
      <c r="E52" s="44"/>
      <c r="F52" s="44"/>
      <c r="G52" s="43"/>
      <c r="H52" s="43"/>
      <c r="I52" s="43"/>
      <c r="J52" s="49"/>
      <c r="K52" s="49"/>
      <c r="L52" s="46"/>
      <c r="M52" s="45"/>
      <c r="N52" s="47"/>
      <c r="O52" s="47"/>
      <c r="P52" s="47"/>
      <c r="Q52" s="47"/>
      <c r="R52" s="47"/>
      <c r="S52" s="47"/>
      <c r="T52" s="45"/>
      <c r="U52" s="45"/>
      <c r="V52" s="47"/>
      <c r="W52" s="47"/>
      <c r="X52" s="47"/>
      <c r="Y52" s="47"/>
      <c r="Z52" s="47"/>
      <c r="AA52" s="47"/>
      <c r="AB52" s="47"/>
      <c r="AC52" s="47"/>
      <c r="AD52" s="47"/>
      <c r="AE52" s="44"/>
      <c r="AF52" s="44"/>
    </row>
    <row r="53" spans="1:36" x14ac:dyDescent="0.25">
      <c r="A53" s="44"/>
      <c r="B53" s="48"/>
      <c r="C53" s="48"/>
      <c r="D53" s="44"/>
      <c r="E53" s="44"/>
      <c r="F53" s="49"/>
      <c r="G53" s="43"/>
      <c r="H53" s="43"/>
      <c r="I53" s="43"/>
      <c r="J53" s="49"/>
      <c r="K53" s="49"/>
      <c r="L53" s="46"/>
      <c r="M53" s="45"/>
      <c r="N53" s="47"/>
      <c r="O53" s="47"/>
      <c r="P53" s="47"/>
      <c r="Q53" s="47"/>
      <c r="R53" s="47"/>
      <c r="S53" s="47"/>
      <c r="T53" s="45"/>
      <c r="U53" s="45"/>
      <c r="V53" s="47"/>
      <c r="W53" s="47"/>
      <c r="X53" s="47"/>
      <c r="Y53" s="47"/>
      <c r="Z53" s="47"/>
      <c r="AA53" s="47"/>
      <c r="AB53" s="47"/>
      <c r="AC53" s="47"/>
      <c r="AD53" s="47"/>
      <c r="AE53" s="44"/>
      <c r="AF53" s="44"/>
    </row>
    <row r="54" spans="1:36" x14ac:dyDescent="0.25">
      <c r="A54" s="44"/>
      <c r="B54" s="48"/>
      <c r="C54" s="48"/>
      <c r="D54" s="44"/>
      <c r="E54" s="44"/>
      <c r="F54" s="44"/>
      <c r="G54" s="43"/>
      <c r="H54" s="43"/>
      <c r="I54" s="43"/>
      <c r="J54" s="49"/>
      <c r="K54" s="49"/>
      <c r="L54" s="46"/>
      <c r="M54" s="45"/>
      <c r="N54" s="47"/>
      <c r="O54" s="47"/>
      <c r="P54" s="47"/>
      <c r="Q54" s="47"/>
      <c r="R54" s="47"/>
      <c r="S54" s="47"/>
      <c r="T54" s="45"/>
      <c r="U54" s="45"/>
      <c r="V54" s="47"/>
      <c r="W54" s="47"/>
      <c r="X54" s="47"/>
      <c r="Y54" s="47"/>
      <c r="Z54" s="47"/>
      <c r="AA54" s="47"/>
      <c r="AB54" s="47"/>
      <c r="AC54" s="47"/>
      <c r="AD54" s="47"/>
      <c r="AE54" s="44"/>
      <c r="AF54" s="44"/>
    </row>
    <row r="55" spans="1:36" x14ac:dyDescent="0.25">
      <c r="A55" s="44"/>
      <c r="B55" s="48"/>
      <c r="C55" s="48"/>
      <c r="D55" s="44"/>
      <c r="E55" s="44"/>
      <c r="F55" s="44"/>
      <c r="G55" s="43"/>
      <c r="H55" s="43"/>
      <c r="I55" s="43"/>
      <c r="J55" s="49"/>
      <c r="K55" s="49"/>
      <c r="L55" s="46"/>
      <c r="M55" s="45"/>
      <c r="N55" s="47"/>
      <c r="O55" s="47"/>
      <c r="P55" s="47"/>
      <c r="Q55" s="47"/>
      <c r="R55" s="47"/>
      <c r="S55" s="47"/>
      <c r="T55" s="45"/>
      <c r="U55" s="45"/>
      <c r="V55" s="47"/>
      <c r="W55" s="47"/>
      <c r="X55" s="47"/>
      <c r="Y55" s="47"/>
      <c r="Z55" s="47"/>
      <c r="AA55" s="47"/>
      <c r="AB55" s="47"/>
      <c r="AC55" s="47"/>
      <c r="AD55" s="47"/>
      <c r="AE55" s="44"/>
      <c r="AF55" s="44"/>
    </row>
    <row r="56" spans="1:36" x14ac:dyDescent="0.25">
      <c r="A56" s="44"/>
      <c r="B56" s="48"/>
      <c r="C56" s="50"/>
      <c r="D56" s="44"/>
      <c r="E56" s="44"/>
      <c r="F56" s="50"/>
      <c r="G56" s="43"/>
      <c r="H56" s="43"/>
      <c r="I56" s="43"/>
      <c r="J56" s="49"/>
      <c r="K56" s="49"/>
      <c r="L56" s="46"/>
      <c r="M56" s="45"/>
      <c r="N56" s="47"/>
      <c r="O56" s="47"/>
      <c r="P56" s="47"/>
      <c r="Q56" s="47"/>
      <c r="R56" s="47"/>
      <c r="S56" s="47"/>
      <c r="T56" s="45"/>
      <c r="U56" s="45"/>
      <c r="V56" s="47"/>
      <c r="W56" s="47"/>
      <c r="X56" s="47"/>
      <c r="Y56" s="47"/>
      <c r="Z56" s="47"/>
      <c r="AA56" s="47"/>
      <c r="AB56" s="47"/>
      <c r="AC56" s="47"/>
      <c r="AD56" s="47"/>
      <c r="AE56" s="44"/>
      <c r="AF56" s="44"/>
    </row>
    <row r="57" spans="1:36" x14ac:dyDescent="0.25">
      <c r="A57" s="44"/>
      <c r="B57" s="48"/>
      <c r="C57" s="48"/>
      <c r="D57" s="44"/>
      <c r="E57" s="44"/>
      <c r="F57" s="44"/>
      <c r="G57" s="43"/>
      <c r="H57" s="43"/>
      <c r="I57" s="43"/>
      <c r="J57" s="49"/>
      <c r="K57" s="49"/>
      <c r="L57" s="46"/>
      <c r="M57" s="45"/>
      <c r="N57" s="47"/>
      <c r="O57" s="47"/>
      <c r="P57" s="47"/>
      <c r="Q57" s="47"/>
      <c r="R57" s="47"/>
      <c r="S57" s="47"/>
      <c r="T57" s="45"/>
      <c r="U57" s="45"/>
      <c r="V57" s="47"/>
      <c r="W57" s="47"/>
      <c r="X57" s="47"/>
      <c r="Y57" s="47"/>
      <c r="Z57" s="47"/>
      <c r="AA57" s="47"/>
      <c r="AB57" s="47"/>
      <c r="AC57" s="47"/>
      <c r="AD57" s="47"/>
      <c r="AE57" s="44"/>
      <c r="AF57" s="44"/>
    </row>
    <row r="58" spans="1:36" x14ac:dyDescent="0.25">
      <c r="A58" s="44"/>
      <c r="B58" s="48"/>
      <c r="C58" s="48"/>
      <c r="D58" s="44"/>
      <c r="E58" s="44"/>
      <c r="F58" s="44"/>
      <c r="G58" s="43"/>
      <c r="H58" s="43"/>
      <c r="I58" s="43"/>
      <c r="J58" s="49"/>
      <c r="K58" s="49"/>
      <c r="L58" s="46"/>
      <c r="M58" s="45"/>
      <c r="N58" s="47"/>
      <c r="O58" s="47"/>
      <c r="P58" s="47"/>
      <c r="Q58" s="47"/>
      <c r="R58" s="47"/>
      <c r="S58" s="47"/>
      <c r="T58" s="45"/>
      <c r="U58" s="45"/>
      <c r="V58" s="47"/>
      <c r="W58" s="47"/>
      <c r="X58" s="47"/>
      <c r="Y58" s="47"/>
      <c r="Z58" s="47"/>
      <c r="AA58" s="47"/>
      <c r="AB58" s="47"/>
      <c r="AC58" s="47"/>
      <c r="AD58" s="47"/>
      <c r="AE58" s="44"/>
      <c r="AF58" s="44"/>
    </row>
    <row r="59" spans="1:36" x14ac:dyDescent="0.25">
      <c r="A59" s="44"/>
      <c r="B59" s="48"/>
      <c r="C59" s="48"/>
      <c r="D59" s="44"/>
      <c r="E59" s="44"/>
      <c r="F59" s="44"/>
      <c r="G59" s="43"/>
      <c r="H59" s="43"/>
      <c r="I59" s="43"/>
      <c r="J59" s="49"/>
      <c r="K59" s="49"/>
      <c r="L59" s="46"/>
      <c r="M59" s="45"/>
      <c r="N59" s="47"/>
      <c r="O59" s="47"/>
      <c r="P59" s="47"/>
      <c r="Q59" s="47"/>
      <c r="R59" s="47"/>
      <c r="S59" s="47"/>
      <c r="T59" s="45"/>
      <c r="U59" s="45"/>
      <c r="V59" s="47"/>
      <c r="W59" s="47"/>
      <c r="X59" s="47"/>
      <c r="Y59" s="47"/>
      <c r="Z59" s="47"/>
      <c r="AA59" s="47"/>
      <c r="AB59" s="47"/>
      <c r="AC59" s="47"/>
      <c r="AD59" s="47"/>
      <c r="AE59" s="44"/>
      <c r="AF59" s="44"/>
    </row>
    <row r="60" spans="1:36" x14ac:dyDescent="0.25">
      <c r="A60" s="44"/>
      <c r="B60" s="48"/>
      <c r="C60" s="48"/>
      <c r="D60" s="44"/>
      <c r="E60" s="44"/>
      <c r="F60" s="49"/>
      <c r="G60" s="43"/>
      <c r="H60" s="43"/>
      <c r="I60" s="43"/>
      <c r="J60" s="49"/>
      <c r="K60" s="49"/>
      <c r="L60" s="46"/>
      <c r="M60" s="45"/>
      <c r="N60" s="47"/>
      <c r="O60" s="47"/>
      <c r="P60" s="47"/>
      <c r="Q60" s="47"/>
      <c r="R60" s="47"/>
      <c r="S60" s="47"/>
      <c r="T60" s="45"/>
      <c r="U60" s="45"/>
      <c r="V60" s="47"/>
      <c r="W60" s="47"/>
      <c r="X60" s="47"/>
      <c r="Y60" s="47"/>
      <c r="Z60" s="47"/>
      <c r="AA60" s="47"/>
      <c r="AB60" s="47"/>
      <c r="AC60" s="47"/>
      <c r="AD60" s="47"/>
      <c r="AE60" s="44"/>
      <c r="AF60" s="44"/>
      <c r="AH60" s="44"/>
      <c r="AI60" s="44"/>
      <c r="AJ60" s="44"/>
    </row>
    <row r="61" spans="1:36" x14ac:dyDescent="0.25">
      <c r="A61" s="44"/>
      <c r="B61" s="48"/>
      <c r="C61" s="48"/>
      <c r="D61" s="44"/>
      <c r="E61" s="44"/>
      <c r="F61" s="49"/>
      <c r="G61" s="43"/>
      <c r="H61" s="43"/>
      <c r="I61" s="43"/>
      <c r="J61" s="49"/>
      <c r="K61" s="49"/>
      <c r="L61" s="46"/>
      <c r="M61" s="45"/>
      <c r="N61" s="47"/>
      <c r="O61" s="47"/>
      <c r="P61" s="47"/>
      <c r="Q61" s="47"/>
      <c r="R61" s="47"/>
      <c r="S61" s="47"/>
      <c r="T61" s="45"/>
      <c r="U61" s="45"/>
      <c r="V61" s="47"/>
      <c r="W61" s="47"/>
      <c r="X61" s="47"/>
      <c r="Y61" s="47"/>
      <c r="Z61" s="47"/>
      <c r="AA61" s="47"/>
      <c r="AB61" s="47"/>
      <c r="AC61" s="47"/>
      <c r="AD61" s="47"/>
      <c r="AE61" s="44"/>
      <c r="AF61" s="44"/>
      <c r="AH61" s="44"/>
      <c r="AI61" s="44"/>
      <c r="AJ61" s="44"/>
    </row>
    <row r="62" spans="1:36" x14ac:dyDescent="0.25">
      <c r="A62" s="40"/>
      <c r="C62" s="2"/>
      <c r="D62" s="42"/>
      <c r="E62" s="42"/>
      <c r="F62" s="42"/>
      <c r="G62" s="42"/>
      <c r="H62" s="42"/>
      <c r="I62" s="10"/>
      <c r="J62" s="10"/>
      <c r="K62" s="10"/>
      <c r="L62" s="10"/>
      <c r="M62" s="10"/>
      <c r="V62" s="2"/>
      <c r="W62" s="13"/>
      <c r="X62" s="2"/>
      <c r="Y62" s="2"/>
      <c r="Z62" s="2"/>
      <c r="AH62" s="44"/>
      <c r="AI62" s="44"/>
      <c r="AJ62" s="44"/>
    </row>
    <row r="63" spans="1:36" x14ac:dyDescent="0.25">
      <c r="A63" s="40"/>
      <c r="C63" s="2"/>
      <c r="D63" s="42"/>
      <c r="E63" s="42"/>
      <c r="F63" s="42"/>
      <c r="G63" s="42"/>
      <c r="H63" s="42"/>
      <c r="I63" s="10"/>
      <c r="J63" s="10"/>
      <c r="K63" s="10"/>
      <c r="L63" s="10"/>
      <c r="M63" s="10"/>
      <c r="V63" s="2"/>
      <c r="W63" s="13"/>
      <c r="X63" s="2"/>
      <c r="Y63" s="2"/>
      <c r="Z63" s="2"/>
      <c r="AH63" s="44"/>
      <c r="AI63" s="44"/>
      <c r="AJ63" s="44"/>
    </row>
    <row r="64" spans="1:36" x14ac:dyDescent="0.25">
      <c r="A64" s="40"/>
      <c r="C64" s="2"/>
      <c r="D64" s="42"/>
      <c r="E64" s="42"/>
      <c r="F64" s="42"/>
      <c r="G64" s="42"/>
      <c r="H64" s="42"/>
      <c r="I64" s="10"/>
      <c r="J64" s="10"/>
      <c r="K64" s="10"/>
      <c r="L64" s="10"/>
      <c r="M64" s="10"/>
      <c r="V64" s="2"/>
      <c r="W64" s="13"/>
      <c r="X64" s="2"/>
      <c r="Y64" s="2"/>
      <c r="Z64" s="2"/>
      <c r="AH64" s="44"/>
      <c r="AI64" s="44"/>
      <c r="AJ64" s="44"/>
    </row>
    <row r="65" spans="1:36" x14ac:dyDescent="0.25">
      <c r="A65" s="40"/>
      <c r="C65" s="2"/>
      <c r="D65" s="42"/>
      <c r="E65" s="42"/>
      <c r="F65" s="42"/>
      <c r="G65" s="42"/>
      <c r="H65" s="42"/>
      <c r="I65" s="10"/>
      <c r="J65" s="10"/>
      <c r="K65" s="10"/>
      <c r="L65" s="10"/>
      <c r="M65" s="10"/>
      <c r="V65" s="2"/>
      <c r="W65" s="13"/>
      <c r="X65" s="2"/>
      <c r="Y65" s="2"/>
      <c r="Z65" s="2"/>
      <c r="AH65" s="44"/>
      <c r="AI65" s="44"/>
      <c r="AJ65" s="44"/>
    </row>
    <row r="66" spans="1:36" x14ac:dyDescent="0.25">
      <c r="A66" s="40"/>
      <c r="C66" s="2"/>
      <c r="D66" s="42"/>
      <c r="E66" s="42"/>
      <c r="F66" s="42"/>
      <c r="G66" s="42"/>
      <c r="H66" s="42"/>
      <c r="I66" s="10"/>
      <c r="J66" s="10"/>
      <c r="K66" s="10"/>
      <c r="L66" s="10"/>
      <c r="M66" s="10"/>
      <c r="V66" s="2"/>
      <c r="W66" s="13"/>
      <c r="X66" s="2"/>
      <c r="Y66" s="2"/>
      <c r="Z66" s="2"/>
      <c r="AH66" s="44"/>
      <c r="AI66" s="44"/>
      <c r="AJ66" s="44"/>
    </row>
    <row r="67" spans="1:36" x14ac:dyDescent="0.25">
      <c r="A67" s="40"/>
      <c r="C67" s="2"/>
      <c r="D67" s="42"/>
      <c r="E67" s="42"/>
      <c r="F67" s="42"/>
      <c r="G67" s="42"/>
      <c r="H67" s="42"/>
      <c r="I67" s="10"/>
      <c r="J67" s="10"/>
      <c r="K67" s="10"/>
      <c r="L67" s="10"/>
      <c r="M67" s="10"/>
      <c r="V67" s="2"/>
      <c r="W67" s="13"/>
      <c r="X67" s="2"/>
      <c r="Y67" s="2"/>
      <c r="Z67" s="2"/>
    </row>
    <row r="68" spans="1:36" x14ac:dyDescent="0.25">
      <c r="A68" s="40"/>
      <c r="C68" s="2"/>
      <c r="D68" s="42"/>
      <c r="E68" s="42"/>
      <c r="F68" s="42"/>
      <c r="G68" s="42"/>
      <c r="H68" s="42"/>
      <c r="I68" s="10"/>
      <c r="J68" s="10"/>
      <c r="K68" s="10"/>
      <c r="L68" s="10"/>
      <c r="M68" s="10"/>
      <c r="V68" s="2"/>
      <c r="W68" s="13"/>
      <c r="X68" s="2"/>
      <c r="Y68" s="2"/>
      <c r="Z68" s="2"/>
      <c r="AA68" s="2"/>
    </row>
    <row r="69" spans="1:36" x14ac:dyDescent="0.25">
      <c r="A69" s="40"/>
      <c r="C69" s="2"/>
      <c r="D69" s="42"/>
      <c r="E69" s="42"/>
      <c r="F69" s="42"/>
      <c r="G69" s="42"/>
      <c r="H69" s="42"/>
      <c r="I69" s="10"/>
      <c r="J69" s="10"/>
      <c r="K69" s="10"/>
      <c r="L69" s="10"/>
      <c r="M69" s="10"/>
      <c r="V69" s="2"/>
      <c r="W69" s="13"/>
      <c r="X69" s="2"/>
      <c r="Y69" s="2"/>
      <c r="Z69" s="2"/>
      <c r="AA69" s="2"/>
    </row>
    <row r="70" spans="1:36" x14ac:dyDescent="0.25">
      <c r="A70" s="40"/>
      <c r="C70" s="2"/>
      <c r="D70" s="42"/>
      <c r="E70" s="42"/>
      <c r="F70" s="42"/>
      <c r="G70" s="42"/>
      <c r="H70" s="42"/>
      <c r="I70" s="10"/>
      <c r="J70" s="10"/>
      <c r="K70" s="10"/>
      <c r="L70" s="10"/>
      <c r="M70" s="10"/>
      <c r="V70" s="2"/>
      <c r="W70" s="13"/>
      <c r="X70" s="2"/>
      <c r="Y70" s="2"/>
      <c r="Z70" s="2"/>
      <c r="AA70" s="2"/>
    </row>
    <row r="71" spans="1:36" x14ac:dyDescent="0.25">
      <c r="A71" s="40"/>
      <c r="C71" s="2"/>
      <c r="D71" s="42"/>
      <c r="E71" s="42"/>
      <c r="F71" s="42"/>
      <c r="G71" s="42"/>
      <c r="H71" s="42"/>
      <c r="I71" s="10"/>
      <c r="J71" s="10"/>
      <c r="K71" s="10"/>
      <c r="L71" s="10"/>
      <c r="M71" s="10"/>
      <c r="W71" s="2"/>
      <c r="X71" s="13"/>
      <c r="Y71" s="2"/>
      <c r="Z71" s="2"/>
      <c r="AA71" s="2"/>
    </row>
    <row r="72" spans="1:36" x14ac:dyDescent="0.25">
      <c r="A72" s="40"/>
      <c r="C72" s="2"/>
      <c r="D72" s="42"/>
      <c r="E72" s="42"/>
      <c r="F72" s="42"/>
      <c r="G72" s="42"/>
      <c r="H72" s="42"/>
      <c r="I72" s="10"/>
      <c r="J72" s="10"/>
      <c r="K72" s="10"/>
      <c r="L72" s="10"/>
      <c r="M72" s="10"/>
      <c r="W72" s="2"/>
      <c r="X72" s="13"/>
      <c r="Y72" s="2"/>
      <c r="Z72" s="2"/>
      <c r="AA72" s="2"/>
    </row>
    <row r="73" spans="1:36" x14ac:dyDescent="0.25">
      <c r="A73" s="40"/>
      <c r="C73" s="2"/>
      <c r="D73" s="42"/>
      <c r="E73" s="42"/>
      <c r="F73" s="42"/>
      <c r="G73" s="42"/>
      <c r="H73" s="42"/>
      <c r="I73" s="10"/>
      <c r="J73" s="10"/>
      <c r="K73" s="10"/>
      <c r="L73" s="10"/>
      <c r="M73" s="10"/>
      <c r="W73" s="2"/>
      <c r="X73" s="13"/>
      <c r="Y73" s="2"/>
      <c r="Z73" s="2"/>
      <c r="AA73" s="2"/>
    </row>
    <row r="74" spans="1:36" x14ac:dyDescent="0.25">
      <c r="A74" s="40"/>
      <c r="C74" s="2"/>
      <c r="D74" s="42"/>
      <c r="E74" s="42"/>
      <c r="F74" s="42"/>
      <c r="G74" s="42"/>
      <c r="H74" s="42"/>
      <c r="I74" s="10"/>
      <c r="J74" s="10"/>
      <c r="K74" s="10"/>
      <c r="L74" s="10"/>
      <c r="M74" s="10"/>
      <c r="X74" s="13"/>
      <c r="Y74" s="2"/>
      <c r="Z74" s="2"/>
      <c r="AA74" s="2"/>
    </row>
    <row r="75" spans="1:36" x14ac:dyDescent="0.25">
      <c r="A75" s="17"/>
      <c r="C75" s="2"/>
      <c r="D75" s="42"/>
      <c r="E75" s="42"/>
      <c r="F75" s="42"/>
      <c r="G75" s="42"/>
      <c r="H75" s="42"/>
      <c r="I75" s="10"/>
      <c r="J75" s="10"/>
      <c r="K75" s="10"/>
      <c r="L75" s="10"/>
      <c r="M75" s="10"/>
      <c r="X75" s="13"/>
      <c r="Y75" s="2"/>
      <c r="Z75" s="2"/>
      <c r="AA75" s="2"/>
    </row>
    <row r="76" spans="1:36" x14ac:dyDescent="0.25">
      <c r="A76" s="17"/>
      <c r="C76" s="2"/>
      <c r="D76" s="42"/>
      <c r="E76" s="42"/>
      <c r="F76" s="42"/>
      <c r="G76" s="42"/>
      <c r="H76" s="42"/>
      <c r="I76" s="10"/>
      <c r="J76" s="10"/>
      <c r="K76" s="10"/>
      <c r="L76" s="10"/>
      <c r="M76" s="10"/>
      <c r="X76" s="13"/>
      <c r="Y76" s="2"/>
      <c r="Z76" s="2"/>
      <c r="AA76" s="2"/>
    </row>
    <row r="77" spans="1:36" x14ac:dyDescent="0.25">
      <c r="A77" s="17"/>
      <c r="C77" s="2"/>
      <c r="D77" s="42"/>
      <c r="E77" s="42"/>
      <c r="F77" s="42"/>
      <c r="G77" s="42"/>
      <c r="H77" s="42"/>
      <c r="I77" s="10"/>
      <c r="J77" s="10"/>
      <c r="K77" s="10"/>
      <c r="L77" s="10"/>
      <c r="M77" s="10"/>
      <c r="X77" s="13"/>
      <c r="Y77" s="2"/>
      <c r="Z77" s="2"/>
      <c r="AA77" s="2"/>
    </row>
    <row r="78" spans="1:36" x14ac:dyDescent="0.25">
      <c r="A78" s="17"/>
      <c r="C78" s="2"/>
      <c r="D78" s="42"/>
      <c r="E78" s="42"/>
      <c r="F78" s="42"/>
      <c r="G78" s="42"/>
      <c r="H78" s="42"/>
      <c r="I78" s="10"/>
      <c r="J78" s="10"/>
      <c r="K78" s="10"/>
      <c r="L78" s="10"/>
      <c r="M78" s="10"/>
      <c r="X78" s="13"/>
      <c r="Y78" s="2"/>
      <c r="Z78" s="2"/>
      <c r="AA78" s="2"/>
    </row>
    <row r="79" spans="1:36" x14ac:dyDescent="0.25">
      <c r="A79" s="17"/>
      <c r="C79" s="2"/>
      <c r="D79" s="42"/>
      <c r="E79" s="42"/>
      <c r="F79" s="42"/>
      <c r="G79" s="42"/>
      <c r="H79" s="42"/>
      <c r="I79" s="10"/>
      <c r="J79" s="10"/>
      <c r="K79" s="10"/>
      <c r="L79" s="10"/>
      <c r="M79" s="10"/>
      <c r="X79" s="13"/>
      <c r="Y79" s="2"/>
      <c r="Z79" s="2"/>
      <c r="AA79" s="2"/>
    </row>
    <row r="80" spans="1:36" x14ac:dyDescent="0.25">
      <c r="A80" s="17"/>
      <c r="C80" s="2"/>
      <c r="D80" s="42"/>
      <c r="E80" s="42"/>
      <c r="F80" s="42"/>
      <c r="G80" s="42"/>
      <c r="H80" s="42"/>
      <c r="I80" s="10"/>
      <c r="J80" s="10"/>
      <c r="K80" s="10"/>
      <c r="L80" s="10"/>
      <c r="M80" s="10"/>
      <c r="X80" s="13"/>
      <c r="Y80" s="2"/>
      <c r="Z80" s="2"/>
      <c r="AA80" s="2"/>
    </row>
    <row r="81" spans="1:27" x14ac:dyDescent="0.25">
      <c r="A81" s="17"/>
      <c r="C81" s="2"/>
      <c r="D81" s="42"/>
      <c r="E81" s="42"/>
      <c r="F81" s="42"/>
      <c r="G81" s="42"/>
      <c r="H81" s="42"/>
      <c r="I81" s="10"/>
      <c r="J81" s="10"/>
      <c r="K81" s="10"/>
      <c r="L81" s="10"/>
      <c r="M81" s="10"/>
      <c r="X81" s="13"/>
      <c r="Y81" s="2"/>
      <c r="Z81" s="2"/>
      <c r="AA81" s="2"/>
    </row>
    <row r="82" spans="1:27" x14ac:dyDescent="0.25">
      <c r="A82" s="17"/>
      <c r="C82" s="2"/>
      <c r="D82" s="42"/>
      <c r="E82" s="42"/>
      <c r="F82" s="42"/>
      <c r="G82" s="42"/>
      <c r="H82" s="42"/>
      <c r="I82" s="10"/>
      <c r="J82" s="10"/>
      <c r="K82" s="10"/>
      <c r="L82" s="10"/>
      <c r="M82" s="10"/>
      <c r="X82" s="13"/>
      <c r="Y82" s="2"/>
      <c r="Z82" s="2"/>
      <c r="AA82" s="2"/>
    </row>
    <row r="83" spans="1:27" x14ac:dyDescent="0.25">
      <c r="A83" s="17"/>
      <c r="C83" s="2"/>
      <c r="D83" s="42"/>
      <c r="E83" s="42"/>
      <c r="F83" s="42"/>
      <c r="G83" s="42"/>
      <c r="H83" s="42"/>
      <c r="I83" s="10"/>
      <c r="J83" s="10"/>
      <c r="K83" s="10"/>
      <c r="L83" s="10"/>
      <c r="M83" s="10"/>
      <c r="X83" s="13"/>
      <c r="Y83" s="2"/>
      <c r="Z83" s="2"/>
      <c r="AA83" s="2"/>
    </row>
    <row r="84" spans="1:27" x14ac:dyDescent="0.25">
      <c r="A84" s="17"/>
      <c r="C84" s="2"/>
      <c r="D84" s="42"/>
      <c r="E84" s="42"/>
      <c r="F84" s="42"/>
      <c r="G84" s="42"/>
      <c r="H84" s="42"/>
      <c r="I84" s="10"/>
      <c r="J84" s="10"/>
      <c r="K84" s="10"/>
      <c r="L84" s="10"/>
      <c r="M84" s="10"/>
      <c r="X84" s="13"/>
      <c r="Y84" s="2"/>
      <c r="Z84" s="2"/>
      <c r="AA84" s="2"/>
    </row>
    <row r="85" spans="1:27" x14ac:dyDescent="0.25">
      <c r="A85" s="17"/>
      <c r="C85" s="2"/>
      <c r="D85" s="42"/>
      <c r="E85" s="42"/>
      <c r="F85" s="42"/>
      <c r="G85" s="42"/>
      <c r="H85" s="42"/>
      <c r="I85" s="10"/>
      <c r="J85" s="10"/>
      <c r="K85" s="10"/>
      <c r="L85" s="10"/>
      <c r="M85" s="10"/>
      <c r="X85" s="13"/>
      <c r="Y85" s="2"/>
      <c r="Z85" s="2"/>
      <c r="AA85" s="2"/>
    </row>
  </sheetData>
  <sortState ref="AH23:AH41">
    <sortCondition ref="AH23"/>
  </sortState>
  <mergeCells count="20">
    <mergeCell ref="A1:B1"/>
    <mergeCell ref="A6:B6"/>
    <mergeCell ref="A7:B7"/>
    <mergeCell ref="A4:B4"/>
    <mergeCell ref="A3:B3"/>
    <mergeCell ref="A2:B2"/>
    <mergeCell ref="AA1:AC1"/>
    <mergeCell ref="T19:U19"/>
    <mergeCell ref="X19:Y19"/>
    <mergeCell ref="Z19:AA19"/>
    <mergeCell ref="M1:Q1"/>
    <mergeCell ref="Q8:R8"/>
    <mergeCell ref="O8:P8"/>
    <mergeCell ref="M10:N10"/>
    <mergeCell ref="M11:N11"/>
    <mergeCell ref="M12:N12"/>
    <mergeCell ref="M14:N14"/>
    <mergeCell ref="M15:N15"/>
    <mergeCell ref="M17:N17"/>
    <mergeCell ref="W1:Y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"/>
  <sheetViews>
    <sheetView zoomScale="90" zoomScaleNormal="90" workbookViewId="0">
      <selection sqref="A1:H35"/>
    </sheetView>
  </sheetViews>
  <sheetFormatPr defaultRowHeight="15" x14ac:dyDescent="0.25"/>
  <cols>
    <col min="2" max="3" width="12.7109375" style="33" bestFit="1" customWidth="1"/>
    <col min="4" max="4" width="11.5703125" style="33" customWidth="1"/>
    <col min="5" max="5" width="47.42578125" bestFit="1" customWidth="1"/>
    <col min="6" max="6" width="8.85546875" style="34"/>
  </cols>
  <sheetData>
    <row r="1" spans="1:8" x14ac:dyDescent="0.25">
      <c r="A1" t="s">
        <v>57</v>
      </c>
      <c r="B1" s="33" t="s">
        <v>7</v>
      </c>
      <c r="C1" s="33" t="s">
        <v>6</v>
      </c>
      <c r="D1" s="33" t="s">
        <v>58</v>
      </c>
      <c r="E1" t="s">
        <v>63</v>
      </c>
      <c r="F1" s="34" t="s">
        <v>59</v>
      </c>
      <c r="G1" s="33" t="s">
        <v>61</v>
      </c>
      <c r="H1" s="33" t="s">
        <v>62</v>
      </c>
    </row>
    <row r="2" spans="1:8" s="10" customFormat="1" x14ac:dyDescent="0.25">
      <c r="A2" s="10" t="str">
        <f>IF(ISNUMBER(Calculations!M4),CONCATENATE("GPS",Calculations!M4),"")</f>
        <v>GPS0</v>
      </c>
      <c r="B2" s="33">
        <f>IF(ISNUMBER(Calculations!N4),CONVERT(Calculations!N4,Units_In,Units_Out),"")</f>
        <v>3567188.8090551179</v>
      </c>
      <c r="C2" s="33">
        <f>IF(ISNUMBER(Calculations!O4),CONVERT(Calculations!O4,Units_In,Units_Out),"")</f>
        <v>1488476.3681102362</v>
      </c>
      <c r="D2" s="33" t="s">
        <v>60</v>
      </c>
      <c r="E2" s="10" t="str">
        <f>CONCATENATE("0503 ",B2,"EUSft ",C2,"NUSft")</f>
        <v>0503 3567188.80905512EUSft 1488476.36811024NUSft</v>
      </c>
      <c r="F2" s="34">
        <v>98</v>
      </c>
      <c r="G2" s="10" t="str">
        <f>IF(F2=98,"Lime",IF(F2=94,"Yellow",""))</f>
        <v>Lime</v>
      </c>
      <c r="H2" s="10" t="str">
        <f>Calculations!$A$1</f>
        <v>CSS18</v>
      </c>
    </row>
    <row r="3" spans="1:8" s="10" customFormat="1" x14ac:dyDescent="0.25">
      <c r="A3" s="10" t="str">
        <f>IF(ISNUMBER(Calculations!M5),CONCATENATE("GPS",Calculations!M5),"")</f>
        <v>GPS1</v>
      </c>
      <c r="B3" s="33">
        <f>IF(ISNUMBER(Calculations!N5),CONVERT(Calculations!N5,Units_In,Units_Out),"")</f>
        <v>3567198.028215223</v>
      </c>
      <c r="C3" s="33">
        <f>IF(ISNUMBER(Calculations!O5),CONVERT(Calculations!O5,Units_In,Units_Out),"")</f>
        <v>1488518.4481627296</v>
      </c>
      <c r="D3" s="33" t="s">
        <v>60</v>
      </c>
      <c r="E3" s="10" t="str">
        <f t="shared" ref="E3:E4" si="0">CONCATENATE("0503 ",B3,"EUSft ",C3,"NUSft")</f>
        <v>0503 3567198.02821522EUSft 1488518.44816273NUSft</v>
      </c>
      <c r="F3" s="34">
        <v>98</v>
      </c>
      <c r="G3" s="10" t="str">
        <f t="shared" ref="G3:G65" si="1">IF(F3=98,"Lime",IF(F3=94,"Yellow",""))</f>
        <v>Lime</v>
      </c>
      <c r="H3" s="10" t="str">
        <f>Calculations!$A$1</f>
        <v>CSS18</v>
      </c>
    </row>
    <row r="4" spans="1:8" s="10" customFormat="1" x14ac:dyDescent="0.25">
      <c r="A4" s="10" t="str">
        <f>IF(ISNUMBER(Calculations!M6),CONCATENATE("GPS",Calculations!M6),"")</f>
        <v>GPS2</v>
      </c>
      <c r="B4" s="33">
        <f>IF(ISNUMBER(Calculations!N6),CONVERT(Calculations!N6,Units_In,Units_Out),"")</f>
        <v>3567211.8667979003</v>
      </c>
      <c r="C4" s="33">
        <f>IF(ISNUMBER(Calculations!O6),CONVERT(Calculations!O6,Units_In,Units_Out),"")</f>
        <v>1488443.1036745408</v>
      </c>
      <c r="D4" s="33" t="s">
        <v>60</v>
      </c>
      <c r="E4" s="10" t="str">
        <f t="shared" si="0"/>
        <v>0503 3567211.8667979EUSft 1488443.10367454NUSft</v>
      </c>
      <c r="F4" s="34">
        <v>98</v>
      </c>
      <c r="G4" s="10" t="str">
        <f t="shared" si="1"/>
        <v>Lime</v>
      </c>
      <c r="H4" s="10" t="str">
        <f>Calculations!$A$1</f>
        <v>CSS18</v>
      </c>
    </row>
    <row r="5" spans="1:8" x14ac:dyDescent="0.25">
      <c r="A5">
        <f>IF(ISNUMBER(Calculations!A21),Calculations!A21,"")</f>
        <v>1</v>
      </c>
      <c r="B5" s="33">
        <f ca="1">IF(ISNUMBER(A5),CONVERT(Calculations!T21,Units_In,Units_Out),"")</f>
        <v>3567230.5983464941</v>
      </c>
      <c r="C5" s="33">
        <f ca="1">IF(ISNUMBER(A5),CONVERT(Calculations!U21,Units_In,Units_Out),"")</f>
        <v>1488492.5509747732</v>
      </c>
      <c r="D5" s="33" t="str">
        <f>IF(ISTEXT(Calculations!F21),Calculations!F21,"")</f>
        <v>BS/ZERO</v>
      </c>
      <c r="E5" t="str">
        <f ca="1">IF(ISNUMBER(A5),CONCATENATE("0503 ",B5,"EUSft ",C5,"NUSft"),"")</f>
        <v>0503 3567230.59834649EUSft 1488492.55097477NUSft</v>
      </c>
      <c r="F5" s="34">
        <f>IF(ISNUMBER(A5),94,"")</f>
        <v>94</v>
      </c>
      <c r="G5" s="10" t="str">
        <f t="shared" si="1"/>
        <v>Yellow</v>
      </c>
      <c r="H5" s="10" t="str">
        <f>IF(ISNUMBER(A5),Calculations!$A$1,"")</f>
        <v>CSS18</v>
      </c>
    </row>
    <row r="6" spans="1:8" x14ac:dyDescent="0.25">
      <c r="A6" s="10">
        <f>IF(ISNUMBER(Calculations!A22),Calculations!A22,"")</f>
        <v>2</v>
      </c>
      <c r="B6" s="33">
        <f ca="1">IF(ISNUMBER(A6),CONVERT(Calculations!T22,Units_In,Units_Out),"")</f>
        <v>3567170.7508912492</v>
      </c>
      <c r="C6" s="33">
        <f ca="1">IF(ISNUMBER(A6),CONVERT(Calculations!U22,Units_In,Units_Out),"")</f>
        <v>1488433.6930093481</v>
      </c>
      <c r="D6" s="33" t="str">
        <f>IF(ISTEXT(Calculations!F22),Calculations!F22,"")</f>
        <v>BS/ZERO</v>
      </c>
      <c r="E6" s="10" t="str">
        <f t="shared" ref="E6:E65" ca="1" si="2">IF(ISNUMBER(A6),CONCATENATE("0503 ",B6,"EUSft ",C6,"NUSft"),"")</f>
        <v>0503 3567170.75089125EUSft 1488433.69300935NUSft</v>
      </c>
      <c r="F6" s="34">
        <f t="shared" ref="F6:F65" si="3">IF(ISNUMBER(A6),94,"")</f>
        <v>94</v>
      </c>
      <c r="G6" s="10" t="str">
        <f t="shared" si="1"/>
        <v>Yellow</v>
      </c>
      <c r="H6" s="10" t="str">
        <f>IF(ISNUMBER(A6),Calculations!$A$1,"")</f>
        <v>CSS18</v>
      </c>
    </row>
    <row r="7" spans="1:8" x14ac:dyDescent="0.25">
      <c r="A7" s="10">
        <f>IF(ISNUMBER(Calculations!A23),Calculations!A23,"")</f>
        <v>3</v>
      </c>
      <c r="B7" s="33">
        <f ca="1">IF(ISNUMBER(A7),CONVERT(Calculations!T23,Units_In,Units_Out),"")</f>
        <v>3567178.1157080079</v>
      </c>
      <c r="C7" s="33">
        <f ca="1">IF(ISNUMBER(A7),CONVERT(Calculations!U23,Units_In,Units_Out),"")</f>
        <v>1488415.5284914193</v>
      </c>
      <c r="D7" s="33" t="str">
        <f>IF(ISTEXT(Calculations!F23),Calculations!F23,"")</f>
        <v>BM 432</v>
      </c>
      <c r="E7" s="10" t="str">
        <f t="shared" ca="1" si="2"/>
        <v>0503 3567178.11570801EUSft 1488415.52849142NUSft</v>
      </c>
      <c r="F7" s="34">
        <f t="shared" si="3"/>
        <v>94</v>
      </c>
      <c r="G7" s="10" t="str">
        <f t="shared" si="1"/>
        <v>Yellow</v>
      </c>
      <c r="H7" s="10" t="str">
        <f>IF(ISNUMBER(A7),Calculations!$A$1,"")</f>
        <v>CSS18</v>
      </c>
    </row>
    <row r="8" spans="1:8" x14ac:dyDescent="0.25">
      <c r="A8" s="10">
        <f>IF(ISNUMBER(Calculations!A24),Calculations!A24,"")</f>
        <v>4</v>
      </c>
      <c r="B8" s="33">
        <f ca="1">IF(ISNUMBER(A8),CONVERT(Calculations!T24,Units_In,Units_Out),"")</f>
        <v>3567187.988533699</v>
      </c>
      <c r="C8" s="33">
        <f ca="1">IF(ISNUMBER(A8),CONVERT(Calculations!U24,Units_In,Units_Out),"")</f>
        <v>1488460.8114119514</v>
      </c>
      <c r="D8" s="33" t="str">
        <f>IF(ISTEXT(Calculations!F24),Calculations!F24,"")</f>
        <v/>
      </c>
      <c r="E8" s="10" t="str">
        <f t="shared" ca="1" si="2"/>
        <v>0503 3567187.9885337EUSft 1488460.81141195NUSft</v>
      </c>
      <c r="F8" s="34">
        <f t="shared" si="3"/>
        <v>94</v>
      </c>
      <c r="G8" s="10" t="str">
        <f t="shared" si="1"/>
        <v>Yellow</v>
      </c>
      <c r="H8" s="10" t="str">
        <f>IF(ISNUMBER(A8),Calculations!$A$1,"")</f>
        <v>CSS18</v>
      </c>
    </row>
    <row r="9" spans="1:8" x14ac:dyDescent="0.25">
      <c r="A9" s="10">
        <f>IF(ISNUMBER(Calculations!A25),Calculations!A25,"")</f>
        <v>5</v>
      </c>
      <c r="B9" s="33">
        <f ca="1">IF(ISNUMBER(A9),CONVERT(Calculations!T25,Units_In,Units_Out),"")</f>
        <v>3567173.5932014002</v>
      </c>
      <c r="C9" s="33">
        <f ca="1">IF(ISNUMBER(A9),CONVERT(Calculations!U25,Units_In,Units_Out),"")</f>
        <v>1488462.0079715194</v>
      </c>
      <c r="D9" s="33" t="str">
        <f>IF(ISTEXT(Calculations!F25),Calculations!F25,"")</f>
        <v/>
      </c>
      <c r="E9" s="10" t="str">
        <f t="shared" ca="1" si="2"/>
        <v>0503 3567173.5932014EUSft 1488462.00797152NUSft</v>
      </c>
      <c r="F9" s="34">
        <f t="shared" si="3"/>
        <v>94</v>
      </c>
      <c r="G9" s="10" t="str">
        <f t="shared" si="1"/>
        <v>Yellow</v>
      </c>
      <c r="H9" s="10" t="str">
        <f>IF(ISNUMBER(A9),Calculations!$A$1,"")</f>
        <v>CSS18</v>
      </c>
    </row>
    <row r="10" spans="1:8" x14ac:dyDescent="0.25">
      <c r="A10" s="10">
        <f>IF(ISNUMBER(Calculations!A26),Calculations!A26,"")</f>
        <v>6</v>
      </c>
      <c r="B10" s="33">
        <f ca="1">IF(ISNUMBER(A10),CONVERT(Calculations!T26,Units_In,Units_Out),"")</f>
        <v>3567167.5245261039</v>
      </c>
      <c r="C10" s="33">
        <f ca="1">IF(ISNUMBER(A10),CONVERT(Calculations!U26,Units_In,Units_Out),"")</f>
        <v>1488462.0775017473</v>
      </c>
      <c r="D10" s="33" t="str">
        <f>IF(ISTEXT(Calculations!F26),Calculations!F26,"")</f>
        <v/>
      </c>
      <c r="E10" s="10" t="str">
        <f t="shared" ca="1" si="2"/>
        <v>0503 3567167.5245261EUSft 1488462.07750175NUSft</v>
      </c>
      <c r="F10" s="34">
        <f t="shared" si="3"/>
        <v>94</v>
      </c>
      <c r="G10" s="10" t="str">
        <f t="shared" si="1"/>
        <v>Yellow</v>
      </c>
      <c r="H10" s="10" t="str">
        <f>IF(ISNUMBER(A10),Calculations!$A$1,"")</f>
        <v>CSS18</v>
      </c>
    </row>
    <row r="11" spans="1:8" x14ac:dyDescent="0.25">
      <c r="A11" s="10">
        <f>IF(ISNUMBER(Calculations!A27),Calculations!A27,"")</f>
        <v>7</v>
      </c>
      <c r="B11" s="33">
        <f ca="1">IF(ISNUMBER(A11),CONVERT(Calculations!T27,Units_In,Units_Out),"")</f>
        <v>3567153.1563136359</v>
      </c>
      <c r="C11" s="33">
        <f ca="1">IF(ISNUMBER(A11),CONVERT(Calculations!U27,Units_In,Units_Out),"")</f>
        <v>1488460.4733869017</v>
      </c>
      <c r="D11" s="33" t="str">
        <f>IF(ISTEXT(Calculations!F27),Calculations!F27,"")</f>
        <v/>
      </c>
      <c r="E11" s="10" t="str">
        <f t="shared" ca="1" si="2"/>
        <v>0503 3567153.15631364EUSft 1488460.4733869NUSft</v>
      </c>
      <c r="F11" s="34">
        <f t="shared" si="3"/>
        <v>94</v>
      </c>
      <c r="G11" s="10" t="str">
        <f t="shared" si="1"/>
        <v>Yellow</v>
      </c>
      <c r="H11" s="10" t="str">
        <f>IF(ISNUMBER(A11),Calculations!$A$1,"")</f>
        <v>CSS18</v>
      </c>
    </row>
    <row r="12" spans="1:8" x14ac:dyDescent="0.25">
      <c r="A12" s="10">
        <f>IF(ISNUMBER(Calculations!A28),Calculations!A28,"")</f>
        <v>8</v>
      </c>
      <c r="B12" s="33">
        <f ca="1">IF(ISNUMBER(A12),CONVERT(Calculations!T28,Units_In,Units_Out),"")</f>
        <v>3567146.1946509089</v>
      </c>
      <c r="C12" s="33">
        <f ca="1">IF(ISNUMBER(A12),CONVERT(Calculations!U28,Units_In,Units_Out),"")</f>
        <v>1488459.3674400833</v>
      </c>
      <c r="D12" s="33" t="str">
        <f>IF(ISTEXT(Calculations!F28),Calculations!F28,"")</f>
        <v/>
      </c>
      <c r="E12" s="10" t="str">
        <f t="shared" ca="1" si="2"/>
        <v>0503 3567146.19465091EUSft 1488459.36744008NUSft</v>
      </c>
      <c r="F12" s="34">
        <f t="shared" si="3"/>
        <v>94</v>
      </c>
      <c r="G12" s="10" t="str">
        <f t="shared" si="1"/>
        <v>Yellow</v>
      </c>
      <c r="H12" s="10" t="str">
        <f>IF(ISNUMBER(A12),Calculations!$A$1,"")</f>
        <v>CSS18</v>
      </c>
    </row>
    <row r="13" spans="1:8" x14ac:dyDescent="0.25">
      <c r="A13" s="10">
        <f>IF(ISNUMBER(Calculations!A29),Calculations!A29,"")</f>
        <v>9</v>
      </c>
      <c r="B13" s="33">
        <f ca="1">IF(ISNUMBER(A13),CONVERT(Calculations!T29,Units_In,Units_Out),"")</f>
        <v>3567112.6520574777</v>
      </c>
      <c r="C13" s="33">
        <f ca="1">IF(ISNUMBER(A13),CONVERT(Calculations!U29,Units_In,Units_Out),"")</f>
        <v>1488452.2548462336</v>
      </c>
      <c r="D13" s="33" t="str">
        <f>IF(ISTEXT(Calculations!F29),Calculations!F29,"")</f>
        <v/>
      </c>
      <c r="E13" s="10" t="str">
        <f t="shared" ca="1" si="2"/>
        <v>0503 3567112.65205748EUSft 1488452.25484623NUSft</v>
      </c>
      <c r="F13" s="34">
        <f t="shared" si="3"/>
        <v>94</v>
      </c>
      <c r="G13" s="10" t="str">
        <f t="shared" si="1"/>
        <v>Yellow</v>
      </c>
      <c r="H13" s="10" t="str">
        <f>IF(ISNUMBER(A13),Calculations!$A$1,"")</f>
        <v>CSS18</v>
      </c>
    </row>
    <row r="14" spans="1:8" x14ac:dyDescent="0.25">
      <c r="A14" s="10">
        <f>IF(ISNUMBER(Calculations!A30),Calculations!A30,"")</f>
        <v>10</v>
      </c>
      <c r="B14" s="33">
        <f ca="1">IF(ISNUMBER(A14),CONVERT(Calculations!T30,Units_In,Units_Out),"")</f>
        <v>3567055.661996441</v>
      </c>
      <c r="C14" s="33">
        <f ca="1">IF(ISNUMBER(A14),CONVERT(Calculations!U30,Units_In,Units_Out),"")</f>
        <v>1488434.9329264597</v>
      </c>
      <c r="D14" s="33" t="str">
        <f>IF(ISTEXT(Calculations!F30),Calculations!F30,"")</f>
        <v/>
      </c>
      <c r="E14" s="10" t="str">
        <f t="shared" ca="1" si="2"/>
        <v>0503 3567055.66199644EUSft 1488434.93292646NUSft</v>
      </c>
      <c r="F14" s="34">
        <f t="shared" si="3"/>
        <v>94</v>
      </c>
      <c r="G14" s="10" t="str">
        <f t="shared" si="1"/>
        <v>Yellow</v>
      </c>
      <c r="H14" s="10" t="str">
        <f>IF(ISNUMBER(A14),Calculations!$A$1,"")</f>
        <v>CSS18</v>
      </c>
    </row>
    <row r="15" spans="1:8" x14ac:dyDescent="0.25">
      <c r="A15" s="10">
        <f>IF(ISNUMBER(Calculations!A31),Calculations!A31,"")</f>
        <v>11</v>
      </c>
      <c r="B15" s="33">
        <f ca="1">IF(ISNUMBER(A15),CONVERT(Calculations!T31,Units_In,Units_Out),"")</f>
        <v>3567045.9378345376</v>
      </c>
      <c r="C15" s="33">
        <f ca="1">IF(ISNUMBER(A15),CONVERT(Calculations!U31,Units_In,Units_Out),"")</f>
        <v>1488427.7270268947</v>
      </c>
      <c r="D15" s="33" t="str">
        <f>IF(ISTEXT(Calculations!F31),Calculations!F31,"")</f>
        <v/>
      </c>
      <c r="E15" s="10" t="str">
        <f t="shared" ca="1" si="2"/>
        <v>0503 3567045.93783454EUSft 1488427.72702689NUSft</v>
      </c>
      <c r="F15" s="34">
        <f t="shared" si="3"/>
        <v>94</v>
      </c>
      <c r="G15" s="10" t="str">
        <f t="shared" si="1"/>
        <v>Yellow</v>
      </c>
      <c r="H15" s="10" t="str">
        <f>IF(ISNUMBER(A15),Calculations!$A$1,"")</f>
        <v>CSS18</v>
      </c>
    </row>
    <row r="16" spans="1:8" x14ac:dyDescent="0.25">
      <c r="A16" s="10">
        <f>IF(ISNUMBER(Calculations!A32),Calculations!A32,"")</f>
        <v>12</v>
      </c>
      <c r="B16" s="33">
        <f ca="1">IF(ISNUMBER(A16),CONVERT(Calculations!T32,Units_In,Units_Out),"")</f>
        <v>3566993.7967249621</v>
      </c>
      <c r="C16" s="33">
        <f ca="1">IF(ISNUMBER(A16),CONVERT(Calculations!U32,Units_In,Units_Out),"")</f>
        <v>1488405.433477367</v>
      </c>
      <c r="D16" s="33" t="str">
        <f>IF(ISTEXT(Calculations!F32),Calculations!F32,"")</f>
        <v/>
      </c>
      <c r="E16" s="10" t="str">
        <f t="shared" ca="1" si="2"/>
        <v>0503 3566993.79672496EUSft 1488405.43347737NUSft</v>
      </c>
      <c r="F16" s="34">
        <f t="shared" si="3"/>
        <v>94</v>
      </c>
      <c r="G16" s="10" t="str">
        <f t="shared" si="1"/>
        <v>Yellow</v>
      </c>
      <c r="H16" s="10" t="str">
        <f>IF(ISNUMBER(A16),Calculations!$A$1,"")</f>
        <v>CSS18</v>
      </c>
    </row>
    <row r="17" spans="1:8" x14ac:dyDescent="0.25">
      <c r="A17" s="10">
        <f>IF(ISNUMBER(Calculations!A33),Calculations!A33,"")</f>
        <v>13</v>
      </c>
      <c r="B17" s="33">
        <f ca="1">IF(ISNUMBER(A17),CONVERT(Calculations!T33,Units_In,Units_Out),"")</f>
        <v>3566994.2597127599</v>
      </c>
      <c r="C17" s="33">
        <f ca="1">IF(ISNUMBER(A17),CONVERT(Calculations!U33,Units_In,Units_Out),"")</f>
        <v>1488401.0843685255</v>
      </c>
      <c r="D17" s="33" t="str">
        <f>IF(ISTEXT(Calculations!F33),Calculations!F33,"")</f>
        <v>WS</v>
      </c>
      <c r="E17" s="10" t="str">
        <f t="shared" ca="1" si="2"/>
        <v>0503 3566994.25971276EUSft 1488401.08436853NUSft</v>
      </c>
      <c r="F17" s="34">
        <f t="shared" si="3"/>
        <v>94</v>
      </c>
      <c r="G17" s="10" t="str">
        <f t="shared" si="1"/>
        <v>Yellow</v>
      </c>
      <c r="H17" s="10" t="str">
        <f>IF(ISNUMBER(A17),Calculations!$A$1,"")</f>
        <v>CSS18</v>
      </c>
    </row>
    <row r="18" spans="1:8" x14ac:dyDescent="0.25">
      <c r="A18" s="10">
        <f>IF(ISNUMBER(Calculations!A34),Calculations!A34,"")</f>
        <v>14</v>
      </c>
      <c r="B18" s="33">
        <f ca="1">IF(ISNUMBER(A18),CONVERT(Calculations!T34,Units_In,Units_Out),"")</f>
        <v>3566989.2460788051</v>
      </c>
      <c r="C18" s="33">
        <f ca="1">IF(ISNUMBER(A18),CONVERT(Calculations!U34,Units_In,Units_Out),"")</f>
        <v>1488401.6576728257</v>
      </c>
      <c r="D18" s="33" t="str">
        <f>IF(ISTEXT(Calculations!F34),Calculations!F34,"")</f>
        <v/>
      </c>
      <c r="E18" s="10" t="str">
        <f t="shared" ca="1" si="2"/>
        <v>0503 3566989.24607881EUSft 1488401.65767283NUSft</v>
      </c>
      <c r="F18" s="34">
        <f t="shared" si="3"/>
        <v>94</v>
      </c>
      <c r="G18" s="10" t="str">
        <f t="shared" si="1"/>
        <v>Yellow</v>
      </c>
      <c r="H18" s="10" t="str">
        <f>IF(ISNUMBER(A18),Calculations!$A$1,"")</f>
        <v>CSS18</v>
      </c>
    </row>
    <row r="19" spans="1:8" x14ac:dyDescent="0.25">
      <c r="A19" s="10">
        <f>IF(ISNUMBER(Calculations!A35),Calculations!A35,"")</f>
        <v>15</v>
      </c>
      <c r="B19" s="33">
        <f ca="1">IF(ISNUMBER(A19),CONVERT(Calculations!T35,Units_In,Units_Out),"")</f>
        <v>3566939.5976052899</v>
      </c>
      <c r="C19" s="33">
        <f ca="1">IF(ISNUMBER(A19),CONVERT(Calculations!U35,Units_In,Units_Out),"")</f>
        <v>1488377.4762323278</v>
      </c>
      <c r="D19" s="33" t="str">
        <f>IF(ISTEXT(Calculations!F35),Calculations!F35,"")</f>
        <v/>
      </c>
      <c r="E19" s="10" t="str">
        <f t="shared" ca="1" si="2"/>
        <v>0503 3566939.59760529EUSft 1488377.47623233NUSft</v>
      </c>
      <c r="F19" s="34">
        <f t="shared" si="3"/>
        <v>94</v>
      </c>
      <c r="G19" s="10" t="str">
        <f t="shared" si="1"/>
        <v>Yellow</v>
      </c>
      <c r="H19" s="10" t="str">
        <f>IF(ISNUMBER(A19),Calculations!$A$1,"")</f>
        <v>CSS18</v>
      </c>
    </row>
    <row r="20" spans="1:8" x14ac:dyDescent="0.25">
      <c r="A20" s="10">
        <f>IF(ISNUMBER(Calculations!A36),Calculations!A36,"")</f>
        <v>16</v>
      </c>
      <c r="B20" s="33">
        <f ca="1">IF(ISNUMBER(A20),CONVERT(Calculations!T36,Units_In,Units_Out),"")</f>
        <v>3566879.0687693139</v>
      </c>
      <c r="C20" s="33">
        <f ca="1">IF(ISNUMBER(A20),CONVERT(Calculations!U36,Units_In,Units_Out),"")</f>
        <v>1488351.4085402647</v>
      </c>
      <c r="D20" s="33" t="str">
        <f>IF(ISTEXT(Calculations!F36),Calculations!F36,"")</f>
        <v/>
      </c>
      <c r="E20" s="10" t="str">
        <f t="shared" ca="1" si="2"/>
        <v>0503 3566879.06876931EUSft 1488351.40854026NUSft</v>
      </c>
      <c r="F20" s="34">
        <f t="shared" si="3"/>
        <v>94</v>
      </c>
      <c r="G20" s="10" t="str">
        <f t="shared" si="1"/>
        <v>Yellow</v>
      </c>
      <c r="H20" s="10" t="str">
        <f>IF(ISNUMBER(A20),Calculations!$A$1,"")</f>
        <v>CSS18</v>
      </c>
    </row>
    <row r="21" spans="1:8" x14ac:dyDescent="0.25">
      <c r="A21" s="10">
        <f>IF(ISNUMBER(Calculations!A37),Calculations!A37,"")</f>
        <v>17</v>
      </c>
      <c r="B21" s="33">
        <f ca="1">IF(ISNUMBER(A21),CONVERT(Calculations!T37,Units_In,Units_Out),"")</f>
        <v>3566875.4372121929</v>
      </c>
      <c r="C21" s="33">
        <f ca="1">IF(ISNUMBER(A21),CONVERT(Calculations!U37,Units_In,Units_Out),"")</f>
        <v>1488350.1730412254</v>
      </c>
      <c r="D21" s="33" t="str">
        <f>IF(ISTEXT(Calculations!F37),Calculations!F37,"")</f>
        <v>WS</v>
      </c>
      <c r="E21" s="10" t="str">
        <f t="shared" ca="1" si="2"/>
        <v>0503 3566875.43721219EUSft 1488350.17304123NUSft</v>
      </c>
      <c r="F21" s="34">
        <f t="shared" si="3"/>
        <v>94</v>
      </c>
      <c r="G21" s="10" t="str">
        <f t="shared" si="1"/>
        <v>Yellow</v>
      </c>
      <c r="H21" s="10" t="str">
        <f>IF(ISNUMBER(A21),Calculations!$A$1,"")</f>
        <v>CSS18</v>
      </c>
    </row>
    <row r="22" spans="1:8" x14ac:dyDescent="0.25">
      <c r="A22" s="10">
        <f>IF(ISNUMBER(Calculations!A38),Calculations!A38,"")</f>
        <v>18</v>
      </c>
      <c r="B22" s="33">
        <f ca="1">IF(ISNUMBER(A22),CONVERT(Calculations!T38,Units_In,Units_Out),"")</f>
        <v>3566873.8904492008</v>
      </c>
      <c r="C22" s="33">
        <f ca="1">IF(ISNUMBER(A22),CONVERT(Calculations!U38,Units_In,Units_Out),"")</f>
        <v>1488348.0857212604</v>
      </c>
      <c r="D22" s="33" t="str">
        <f>IF(ISTEXT(Calculations!F38),Calculations!F38,"")</f>
        <v/>
      </c>
      <c r="E22" s="10" t="str">
        <f t="shared" ca="1" si="2"/>
        <v>0503 3566873.8904492EUSft 1488348.08572126NUSft</v>
      </c>
      <c r="F22" s="34">
        <f t="shared" si="3"/>
        <v>94</v>
      </c>
      <c r="G22" s="10" t="str">
        <f t="shared" si="1"/>
        <v>Yellow</v>
      </c>
      <c r="H22" s="10" t="str">
        <f>IF(ISNUMBER(A22),Calculations!$A$1,"")</f>
        <v>CSS18</v>
      </c>
    </row>
    <row r="23" spans="1:8" x14ac:dyDescent="0.25">
      <c r="A23" s="10">
        <f>IF(ISNUMBER(Calculations!A39),Calculations!A39,"")</f>
        <v>19</v>
      </c>
      <c r="B23" s="33">
        <f ca="1">IF(ISNUMBER(A23),CONVERT(Calculations!T39,Units_In,Units_Out),"")</f>
        <v>3566820.3113543121</v>
      </c>
      <c r="C23" s="33">
        <f ca="1">IF(ISNUMBER(A23),CONVERT(Calculations!U39,Units_In,Units_Out),"")</f>
        <v>1488325.1989238826</v>
      </c>
      <c r="D23" s="33" t="str">
        <f>IF(ISTEXT(Calculations!F39),Calculations!F39,"")</f>
        <v/>
      </c>
      <c r="E23" s="10" t="str">
        <f t="shared" ca="1" si="2"/>
        <v>0503 3566820.31135431EUSft 1488325.19892388NUSft</v>
      </c>
      <c r="F23" s="34">
        <f t="shared" si="3"/>
        <v>94</v>
      </c>
      <c r="G23" s="10" t="str">
        <f t="shared" si="1"/>
        <v>Yellow</v>
      </c>
      <c r="H23" s="10" t="str">
        <f>IF(ISNUMBER(A23),Calculations!$A$1,"")</f>
        <v>CSS18</v>
      </c>
    </row>
    <row r="24" spans="1:8" x14ac:dyDescent="0.25">
      <c r="A24" s="10">
        <f>IF(ISNUMBER(Calculations!A40),Calculations!A40,"")</f>
        <v>20</v>
      </c>
      <c r="B24" s="33">
        <f ca="1">IF(ISNUMBER(A24),CONVERT(Calculations!T40,Units_In,Units_Out),"")</f>
        <v>3566805.4082603958</v>
      </c>
      <c r="C24" s="33">
        <f ca="1">IF(ISNUMBER(A24),CONVERT(Calculations!U40,Units_In,Units_Out),"")</f>
        <v>1488320.0463826454</v>
      </c>
      <c r="D24" s="33" t="str">
        <f>IF(ISTEXT(Calculations!F40),Calculations!F40,"")</f>
        <v/>
      </c>
      <c r="E24" s="10" t="str">
        <f t="shared" ca="1" si="2"/>
        <v>0503 3566805.4082604EUSft 1488320.04638265NUSft</v>
      </c>
      <c r="F24" s="34">
        <f t="shared" si="3"/>
        <v>94</v>
      </c>
      <c r="G24" s="10" t="str">
        <f t="shared" si="1"/>
        <v>Yellow</v>
      </c>
      <c r="H24" s="10" t="str">
        <f>IF(ISNUMBER(A24),Calculations!$A$1,"")</f>
        <v>CSS18</v>
      </c>
    </row>
    <row r="25" spans="1:8" x14ac:dyDescent="0.25">
      <c r="A25" s="10">
        <f>IF(ISNUMBER(Calculations!A41),Calculations!A41,"")</f>
        <v>21</v>
      </c>
      <c r="B25" s="33">
        <f ca="1">IF(ISNUMBER(A25),CONVERT(Calculations!T41,Units_In,Units_Out),"")</f>
        <v>3566797.2434578575</v>
      </c>
      <c r="C25" s="33">
        <f ca="1">IF(ISNUMBER(A25),CONVERT(Calculations!U41,Units_In,Units_Out),"")</f>
        <v>1488315.2010017028</v>
      </c>
      <c r="D25" s="33" t="str">
        <f>IF(ISTEXT(Calculations!F41),Calculations!F41,"")</f>
        <v/>
      </c>
      <c r="E25" s="10" t="str">
        <f t="shared" ca="1" si="2"/>
        <v>0503 3566797.24345786EUSft 1488315.2010017NUSft</v>
      </c>
      <c r="F25" s="34">
        <f t="shared" si="3"/>
        <v>94</v>
      </c>
      <c r="G25" s="10" t="str">
        <f t="shared" si="1"/>
        <v>Yellow</v>
      </c>
      <c r="H25" s="10" t="str">
        <f>IF(ISNUMBER(A25),Calculations!$A$1,"")</f>
        <v>CSS18</v>
      </c>
    </row>
    <row r="26" spans="1:8" x14ac:dyDescent="0.25">
      <c r="A26" s="10">
        <f>IF(ISNUMBER(Calculations!A42),Calculations!A42,"")</f>
        <v>22</v>
      </c>
      <c r="B26" s="33">
        <f ca="1">IF(ISNUMBER(A26),CONVERT(Calculations!T42,Units_In,Units_Out),"")</f>
        <v>3566768.6033379231</v>
      </c>
      <c r="C26" s="33">
        <f ca="1">IF(ISNUMBER(A26),CONVERT(Calculations!U42,Units_In,Units_Out),"")</f>
        <v>1488296.0316898285</v>
      </c>
      <c r="D26" s="33" t="str">
        <f>IF(ISTEXT(Calculations!F42),Calculations!F42,"")</f>
        <v/>
      </c>
      <c r="E26" s="10" t="str">
        <f t="shared" ca="1" si="2"/>
        <v>0503 3566768.60333792EUSft 1488296.03168983NUSft</v>
      </c>
      <c r="F26" s="34">
        <f t="shared" si="3"/>
        <v>94</v>
      </c>
      <c r="G26" s="10" t="str">
        <f t="shared" si="1"/>
        <v>Yellow</v>
      </c>
      <c r="H26" s="10" t="str">
        <f>IF(ISNUMBER(A26),Calculations!$A$1,"")</f>
        <v>CSS18</v>
      </c>
    </row>
    <row r="27" spans="1:8" x14ac:dyDescent="0.25">
      <c r="A27" s="10">
        <f>IF(ISNUMBER(Calculations!A43),Calculations!A43,"")</f>
        <v>23</v>
      </c>
      <c r="B27" s="33">
        <f ca="1">IF(ISNUMBER(A27),CONVERT(Calculations!T43,Units_In,Units_Out),"")</f>
        <v>3567178.140000267</v>
      </c>
      <c r="C27" s="33">
        <f ca="1">IF(ISNUMBER(A27),CONVERT(Calculations!U43,Units_In,Units_Out),"")</f>
        <v>1488415.7201644573</v>
      </c>
      <c r="D27" s="33" t="str">
        <f>IF(ISTEXT(Calculations!F43),Calculations!F43,"")</f>
        <v>BM432</v>
      </c>
      <c r="E27" s="10" t="str">
        <f t="shared" ca="1" si="2"/>
        <v>0503 3567178.14000027EUSft 1488415.72016446NUSft</v>
      </c>
      <c r="F27" s="34">
        <f t="shared" si="3"/>
        <v>94</v>
      </c>
      <c r="G27" s="10" t="str">
        <f t="shared" si="1"/>
        <v>Yellow</v>
      </c>
      <c r="H27" s="10" t="str">
        <f>IF(ISNUMBER(A27),Calculations!$A$1,"")</f>
        <v>CSS18</v>
      </c>
    </row>
    <row r="28" spans="1:8" x14ac:dyDescent="0.25">
      <c r="A28" s="10">
        <f>IF(ISNUMBER(Calculations!A44),Calculations!A44,"")</f>
        <v>24</v>
      </c>
      <c r="B28" s="33">
        <f>IF(ISNUMBER(A28),CONVERT(Calculations!T44,Units_In,Units_Out),"")</f>
        <v>0</v>
      </c>
      <c r="C28" s="33">
        <f>IF(ISNUMBER(A28),CONVERT(Calculations!U44,Units_In,Units_Out),"")</f>
        <v>0</v>
      </c>
      <c r="D28" s="33" t="str">
        <f>IF(ISTEXT(Calculations!F44),Calculations!F44,"")</f>
        <v>PT2</v>
      </c>
      <c r="E28" s="10" t="str">
        <f t="shared" si="2"/>
        <v>0503 0EUSft 0NUSft</v>
      </c>
      <c r="F28" s="34">
        <f t="shared" si="3"/>
        <v>94</v>
      </c>
      <c r="G28" s="10" t="str">
        <f t="shared" si="1"/>
        <v>Yellow</v>
      </c>
      <c r="H28" s="10" t="str">
        <f>IF(ISNUMBER(A28),Calculations!$A$1,"")</f>
        <v>CSS18</v>
      </c>
    </row>
    <row r="29" spans="1:8" x14ac:dyDescent="0.25">
      <c r="A29" s="10">
        <f>IF(ISNUMBER(Calculations!A45),Calculations!A45,"")</f>
        <v>25</v>
      </c>
      <c r="B29" s="33">
        <f>IF(ISNUMBER(A29),CONVERT(Calculations!T45,Units_In,Units_Out),"")</f>
        <v>0</v>
      </c>
      <c r="C29" s="33">
        <f>IF(ISNUMBER(A29),CONVERT(Calculations!U45,Units_In,Units_Out),"")</f>
        <v>0</v>
      </c>
      <c r="D29" s="33" t="str">
        <f>IF(ISTEXT(Calculations!F45),Calculations!F45,"")</f>
        <v>PT1</v>
      </c>
      <c r="E29" s="10" t="str">
        <f t="shared" si="2"/>
        <v>0503 0EUSft 0NUSft</v>
      </c>
      <c r="F29" s="34">
        <f t="shared" si="3"/>
        <v>94</v>
      </c>
      <c r="G29" s="10" t="str">
        <f t="shared" si="1"/>
        <v>Yellow</v>
      </c>
      <c r="H29" s="10" t="str">
        <f>IF(ISNUMBER(A29),Calculations!$A$1,"")</f>
        <v>CSS18</v>
      </c>
    </row>
    <row r="30" spans="1:8" x14ac:dyDescent="0.25">
      <c r="A30" s="10" t="str">
        <f>IF(ISNUMBER(Calculations!A46),Calculations!A46,"")</f>
        <v/>
      </c>
      <c r="B30" s="33" t="str">
        <f>IF(ISNUMBER(A30),CONVERT(Calculations!T46,Units_In,Units_Out),"")</f>
        <v/>
      </c>
      <c r="C30" s="33" t="str">
        <f>IF(ISNUMBER(A30),CONVERT(Calculations!U46,Units_In,Units_Out),"")</f>
        <v/>
      </c>
      <c r="D30" s="33" t="str">
        <f>IF(ISTEXT(Calculations!F46),Calculations!F46,"")</f>
        <v/>
      </c>
      <c r="E30" s="10" t="str">
        <f t="shared" si="2"/>
        <v/>
      </c>
      <c r="F30" s="34" t="str">
        <f t="shared" si="3"/>
        <v/>
      </c>
      <c r="G30" s="10" t="str">
        <f t="shared" si="1"/>
        <v/>
      </c>
      <c r="H30" s="10" t="str">
        <f>IF(ISNUMBER(A30),Calculations!$A$1,"")</f>
        <v/>
      </c>
    </row>
    <row r="31" spans="1:8" x14ac:dyDescent="0.25">
      <c r="A31" s="10" t="str">
        <f>IF(ISNUMBER(Calculations!A47),Calculations!A47,"")</f>
        <v/>
      </c>
      <c r="B31" s="33" t="str">
        <f>IF(ISNUMBER(A31),CONVERT(Calculations!T47,Units_In,Units_Out),"")</f>
        <v/>
      </c>
      <c r="C31" s="33" t="str">
        <f>IF(ISNUMBER(A31),CONVERT(Calculations!U47,Units_In,Units_Out),"")</f>
        <v/>
      </c>
      <c r="D31" s="33" t="str">
        <f>IF(ISTEXT(Calculations!F47),Calculations!F47,"")</f>
        <v/>
      </c>
      <c r="E31" s="10" t="str">
        <f t="shared" si="2"/>
        <v/>
      </c>
      <c r="F31" s="34" t="str">
        <f t="shared" si="3"/>
        <v/>
      </c>
      <c r="G31" s="10" t="str">
        <f t="shared" si="1"/>
        <v/>
      </c>
      <c r="H31" s="10" t="str">
        <f>IF(ISNUMBER(A31),Calculations!$A$1,"")</f>
        <v/>
      </c>
    </row>
    <row r="32" spans="1:8" x14ac:dyDescent="0.25">
      <c r="A32" s="10" t="str">
        <f>IF(ISNUMBER(Calculations!A48),Calculations!A48,"")</f>
        <v/>
      </c>
      <c r="B32" s="33" t="str">
        <f>IF(ISNUMBER(A32),CONVERT(Calculations!T48,Units_In,Units_Out),"")</f>
        <v/>
      </c>
      <c r="C32" s="33" t="str">
        <f>IF(ISNUMBER(A32),CONVERT(Calculations!U48,Units_In,Units_Out),"")</f>
        <v/>
      </c>
      <c r="D32" s="33" t="str">
        <f>IF(ISTEXT(Calculations!F48),Calculations!F48,"")</f>
        <v/>
      </c>
      <c r="E32" s="10" t="str">
        <f t="shared" si="2"/>
        <v/>
      </c>
      <c r="F32" s="34" t="str">
        <f t="shared" si="3"/>
        <v/>
      </c>
      <c r="G32" s="10" t="str">
        <f t="shared" si="1"/>
        <v/>
      </c>
      <c r="H32" s="10" t="str">
        <f>IF(ISNUMBER(A32),Calculations!$A$1,"")</f>
        <v/>
      </c>
    </row>
    <row r="33" spans="1:8" x14ac:dyDescent="0.25">
      <c r="A33" s="10" t="str">
        <f>IF(ISNUMBER(Calculations!A49),Calculations!A49,"")</f>
        <v/>
      </c>
      <c r="B33" s="33" t="str">
        <f>IF(ISNUMBER(A33),CONVERT(Calculations!T49,Units_In,Units_Out),"")</f>
        <v/>
      </c>
      <c r="C33" s="33" t="str">
        <f>IF(ISNUMBER(A33),CONVERT(Calculations!U49,Units_In,Units_Out),"")</f>
        <v/>
      </c>
      <c r="D33" s="33" t="str">
        <f>IF(ISTEXT(Calculations!F49),Calculations!F49,"")</f>
        <v/>
      </c>
      <c r="E33" s="10" t="str">
        <f t="shared" si="2"/>
        <v/>
      </c>
      <c r="F33" s="34" t="str">
        <f t="shared" si="3"/>
        <v/>
      </c>
      <c r="G33" s="10" t="str">
        <f t="shared" si="1"/>
        <v/>
      </c>
      <c r="H33" s="10" t="str">
        <f>IF(ISNUMBER(A33),Calculations!$A$1,"")</f>
        <v/>
      </c>
    </row>
    <row r="34" spans="1:8" x14ac:dyDescent="0.25">
      <c r="A34" s="10" t="str">
        <f>IF(ISNUMBER(Calculations!A50),Calculations!A50,"")</f>
        <v/>
      </c>
      <c r="B34" s="33" t="str">
        <f>IF(ISNUMBER(A34),CONVERT(Calculations!T50,Units_In,Units_Out),"")</f>
        <v/>
      </c>
      <c r="C34" s="33" t="str">
        <f>IF(ISNUMBER(A34),CONVERT(Calculations!U50,Units_In,Units_Out),"")</f>
        <v/>
      </c>
      <c r="D34" s="33" t="str">
        <f>IF(ISTEXT(Calculations!F50),Calculations!F50,"")</f>
        <v/>
      </c>
      <c r="E34" s="10" t="str">
        <f t="shared" si="2"/>
        <v/>
      </c>
      <c r="F34" s="34" t="str">
        <f t="shared" si="3"/>
        <v/>
      </c>
      <c r="G34" s="10" t="str">
        <f t="shared" si="1"/>
        <v/>
      </c>
      <c r="H34" s="10" t="str">
        <f>IF(ISNUMBER(A34),Calculations!$A$1,"")</f>
        <v/>
      </c>
    </row>
    <row r="35" spans="1:8" x14ac:dyDescent="0.25">
      <c r="A35" s="10" t="str">
        <f>IF(ISNUMBER(Calculations!A51),Calculations!A51,"")</f>
        <v/>
      </c>
      <c r="B35" s="33" t="str">
        <f>IF(ISNUMBER(A35),CONVERT(Calculations!T51,Units_In,Units_Out),"")</f>
        <v/>
      </c>
      <c r="C35" s="33" t="str">
        <f>IF(ISNUMBER(A35),CONVERT(Calculations!U51,Units_In,Units_Out),"")</f>
        <v/>
      </c>
      <c r="D35" s="33" t="str">
        <f>IF(ISTEXT(Calculations!F51),Calculations!F51,"")</f>
        <v/>
      </c>
      <c r="E35" s="10" t="str">
        <f t="shared" si="2"/>
        <v/>
      </c>
      <c r="F35" s="34" t="str">
        <f t="shared" si="3"/>
        <v/>
      </c>
      <c r="G35" s="10" t="str">
        <f t="shared" si="1"/>
        <v/>
      </c>
      <c r="H35" s="10" t="str">
        <f>IF(ISNUMBER(A35),Calculations!$A$1,"")</f>
        <v/>
      </c>
    </row>
    <row r="36" spans="1:8" x14ac:dyDescent="0.25">
      <c r="A36" s="10" t="str">
        <f>IF(ISNUMBER(Calculations!A52),Calculations!A52,"")</f>
        <v/>
      </c>
      <c r="B36" s="33" t="str">
        <f>IF(ISNUMBER(A36),CONVERT(Calculations!U52,Units_In,Units_Out),"")</f>
        <v/>
      </c>
      <c r="C36" s="33" t="str">
        <f>IF(ISNUMBER(A36),CONVERT(Calculations!V52,Units_In,Units_Out),"")</f>
        <v/>
      </c>
      <c r="D36" s="33" t="str">
        <f>IF(ISTEXT(Calculations!F52),Calculations!F52,"")</f>
        <v/>
      </c>
      <c r="E36" s="10" t="str">
        <f t="shared" si="2"/>
        <v/>
      </c>
      <c r="F36" s="34" t="str">
        <f t="shared" si="3"/>
        <v/>
      </c>
      <c r="G36" s="10" t="str">
        <f t="shared" si="1"/>
        <v/>
      </c>
      <c r="H36" s="10" t="str">
        <f>IF(ISNUMBER(A36),Calculations!$A$1,"")</f>
        <v/>
      </c>
    </row>
    <row r="37" spans="1:8" x14ac:dyDescent="0.25">
      <c r="A37" s="10" t="str">
        <f>IF(ISNUMBER(Calculations!A53),Calculations!A53,"")</f>
        <v/>
      </c>
      <c r="B37" s="33" t="str">
        <f>IF(ISNUMBER(A37),CONVERT(Calculations!U53,Units_In,Units_Out),"")</f>
        <v/>
      </c>
      <c r="C37" s="33" t="str">
        <f>IF(ISNUMBER(A37),CONVERT(Calculations!V53,Units_In,Units_Out),"")</f>
        <v/>
      </c>
      <c r="D37" s="33" t="str">
        <f>IF(ISTEXT(Calculations!F53),Calculations!F53,"")</f>
        <v/>
      </c>
      <c r="E37" s="10" t="str">
        <f t="shared" si="2"/>
        <v/>
      </c>
      <c r="F37" s="34" t="str">
        <f t="shared" si="3"/>
        <v/>
      </c>
      <c r="G37" s="10" t="str">
        <f t="shared" si="1"/>
        <v/>
      </c>
      <c r="H37" s="10" t="str">
        <f>IF(ISNUMBER(A37),Calculations!$A$1,"")</f>
        <v/>
      </c>
    </row>
    <row r="38" spans="1:8" x14ac:dyDescent="0.25">
      <c r="A38" s="10" t="str">
        <f>IF(ISNUMBER(Calculations!#REF!),Calculations!#REF!,"")</f>
        <v/>
      </c>
      <c r="B38" s="33" t="str">
        <f>IF(ISNUMBER(A38),CONVERT(Calculations!#REF!,Units_In,Units_Out),"")</f>
        <v/>
      </c>
      <c r="C38" s="33" t="str">
        <f>IF(ISNUMBER(A38),CONVERT(Calculations!#REF!,Units_In,Units_Out),"")</f>
        <v/>
      </c>
      <c r="D38" s="33" t="str">
        <f>IF(ISTEXT(Calculations!#REF!),Calculations!#REF!,"")</f>
        <v/>
      </c>
      <c r="E38" s="10" t="str">
        <f t="shared" si="2"/>
        <v/>
      </c>
      <c r="F38" s="34" t="str">
        <f t="shared" si="3"/>
        <v/>
      </c>
      <c r="G38" s="10" t="str">
        <f t="shared" si="1"/>
        <v/>
      </c>
      <c r="H38" s="10" t="str">
        <f>IF(ISNUMBER(A38),Calculations!$A$1,"")</f>
        <v/>
      </c>
    </row>
    <row r="39" spans="1:8" x14ac:dyDescent="0.25">
      <c r="A39" s="10" t="str">
        <f>IF(ISNUMBER(Calculations!#REF!),Calculations!#REF!,"")</f>
        <v/>
      </c>
      <c r="B39" s="33" t="str">
        <f>IF(ISNUMBER(A39),CONVERT(Calculations!#REF!,Units_In,Units_Out),"")</f>
        <v/>
      </c>
      <c r="C39" s="33" t="str">
        <f>IF(ISNUMBER(A39),CONVERT(Calculations!#REF!,Units_In,Units_Out),"")</f>
        <v/>
      </c>
      <c r="D39" s="33" t="str">
        <f>IF(ISTEXT(Calculations!#REF!),Calculations!#REF!,"")</f>
        <v/>
      </c>
      <c r="E39" s="10" t="str">
        <f t="shared" si="2"/>
        <v/>
      </c>
      <c r="F39" s="34" t="str">
        <f t="shared" si="3"/>
        <v/>
      </c>
      <c r="G39" s="10" t="str">
        <f t="shared" si="1"/>
        <v/>
      </c>
      <c r="H39" s="10" t="str">
        <f>IF(ISNUMBER(A39),Calculations!$A$1,"")</f>
        <v/>
      </c>
    </row>
    <row r="40" spans="1:8" x14ac:dyDescent="0.25">
      <c r="A40" s="10" t="str">
        <f>IF(ISNUMBER(Calculations!#REF!),Calculations!#REF!,"")</f>
        <v/>
      </c>
      <c r="B40" s="33" t="str">
        <f>IF(ISNUMBER(A40),CONVERT(Calculations!#REF!,Units_In,Units_Out),"")</f>
        <v/>
      </c>
      <c r="C40" s="33" t="str">
        <f>IF(ISNUMBER(A40),CONVERT(Calculations!#REF!,Units_In,Units_Out),"")</f>
        <v/>
      </c>
      <c r="D40" s="33" t="str">
        <f>IF(ISTEXT(Calculations!#REF!),Calculations!#REF!,"")</f>
        <v/>
      </c>
      <c r="E40" s="10" t="str">
        <f t="shared" si="2"/>
        <v/>
      </c>
      <c r="F40" s="34" t="str">
        <f t="shared" si="3"/>
        <v/>
      </c>
      <c r="G40" s="10" t="str">
        <f t="shared" si="1"/>
        <v/>
      </c>
      <c r="H40" s="10" t="str">
        <f>IF(ISNUMBER(A40),Calculations!$A$1,"")</f>
        <v/>
      </c>
    </row>
    <row r="41" spans="1:8" x14ac:dyDescent="0.25">
      <c r="A41" s="10" t="str">
        <f>IF(ISNUMBER(Calculations!#REF!),Calculations!#REF!,"")</f>
        <v/>
      </c>
      <c r="B41" s="33" t="str">
        <f>IF(ISNUMBER(A41),CONVERT(Calculations!#REF!,Units_In,Units_Out),"")</f>
        <v/>
      </c>
      <c r="C41" s="33" t="str">
        <f>IF(ISNUMBER(A41),CONVERT(Calculations!#REF!,Units_In,Units_Out),"")</f>
        <v/>
      </c>
      <c r="D41" s="33" t="str">
        <f>IF(ISTEXT(Calculations!#REF!),Calculations!#REF!,"")</f>
        <v/>
      </c>
      <c r="E41" s="10" t="str">
        <f t="shared" si="2"/>
        <v/>
      </c>
      <c r="F41" s="34" t="str">
        <f t="shared" si="3"/>
        <v/>
      </c>
      <c r="G41" s="10" t="str">
        <f t="shared" si="1"/>
        <v/>
      </c>
      <c r="H41" s="10" t="str">
        <f>IF(ISNUMBER(A41),Calculations!$A$1,"")</f>
        <v/>
      </c>
    </row>
    <row r="42" spans="1:8" x14ac:dyDescent="0.25">
      <c r="A42" s="10" t="str">
        <f>IF(ISNUMBER(Calculations!#REF!),Calculations!#REF!,"")</f>
        <v/>
      </c>
      <c r="B42" s="33" t="str">
        <f>IF(ISNUMBER(A42),CONVERT(Calculations!#REF!,Units_In,Units_Out),"")</f>
        <v/>
      </c>
      <c r="C42" s="33" t="str">
        <f>IF(ISNUMBER(A42),CONVERT(Calculations!#REF!,Units_In,Units_Out),"")</f>
        <v/>
      </c>
      <c r="D42" s="33" t="str">
        <f>IF(ISTEXT(Calculations!#REF!),Calculations!#REF!,"")</f>
        <v/>
      </c>
      <c r="E42" s="10" t="str">
        <f t="shared" si="2"/>
        <v/>
      </c>
      <c r="F42" s="34" t="str">
        <f t="shared" si="3"/>
        <v/>
      </c>
      <c r="G42" s="10" t="str">
        <f t="shared" si="1"/>
        <v/>
      </c>
      <c r="H42" s="10" t="str">
        <f>IF(ISNUMBER(A42),Calculations!$A$1,"")</f>
        <v/>
      </c>
    </row>
    <row r="43" spans="1:8" x14ac:dyDescent="0.25">
      <c r="A43" s="10" t="str">
        <f>IF(ISNUMBER(Calculations!#REF!),Calculations!#REF!,"")</f>
        <v/>
      </c>
      <c r="B43" s="33" t="str">
        <f>IF(ISNUMBER(A43),CONVERT(Calculations!#REF!,Units_In,Units_Out),"")</f>
        <v/>
      </c>
      <c r="C43" s="33" t="str">
        <f>IF(ISNUMBER(A43),CONVERT(Calculations!#REF!,Units_In,Units_Out),"")</f>
        <v/>
      </c>
      <c r="D43" s="33" t="str">
        <f>IF(ISTEXT(Calculations!#REF!),Calculations!#REF!,"")</f>
        <v/>
      </c>
      <c r="E43" s="10" t="str">
        <f t="shared" si="2"/>
        <v/>
      </c>
      <c r="F43" s="34" t="str">
        <f t="shared" si="3"/>
        <v/>
      </c>
      <c r="G43" s="10" t="str">
        <f t="shared" si="1"/>
        <v/>
      </c>
      <c r="H43" s="10" t="str">
        <f>IF(ISNUMBER(A43),Calculations!$A$1,"")</f>
        <v/>
      </c>
    </row>
    <row r="44" spans="1:8" x14ac:dyDescent="0.25">
      <c r="A44" s="10" t="str">
        <f>IF(ISNUMBER(Calculations!#REF!),Calculations!#REF!,"")</f>
        <v/>
      </c>
      <c r="B44" s="33" t="str">
        <f>IF(ISNUMBER(A44),CONVERT(Calculations!#REF!,Units_In,Units_Out),"")</f>
        <v/>
      </c>
      <c r="C44" s="33" t="str">
        <f>IF(ISNUMBER(A44),CONVERT(Calculations!#REF!,Units_In,Units_Out),"")</f>
        <v/>
      </c>
      <c r="D44" s="33" t="str">
        <f>IF(ISTEXT(Calculations!#REF!),Calculations!#REF!,"")</f>
        <v/>
      </c>
      <c r="E44" s="10" t="str">
        <f t="shared" si="2"/>
        <v/>
      </c>
      <c r="F44" s="34" t="str">
        <f t="shared" si="3"/>
        <v/>
      </c>
      <c r="G44" s="10" t="str">
        <f t="shared" si="1"/>
        <v/>
      </c>
      <c r="H44" s="10" t="str">
        <f>IF(ISNUMBER(A44),Calculations!$A$1,"")</f>
        <v/>
      </c>
    </row>
    <row r="45" spans="1:8" x14ac:dyDescent="0.25">
      <c r="A45" s="10" t="str">
        <f>IF(ISNUMBER(Calculations!#REF!),Calculations!#REF!,"")</f>
        <v/>
      </c>
      <c r="B45" s="33" t="str">
        <f>IF(ISNUMBER(A45),CONVERT(Calculations!#REF!,Units_In,Units_Out),"")</f>
        <v/>
      </c>
      <c r="C45" s="33" t="str">
        <f>IF(ISNUMBER(A45),CONVERT(Calculations!#REF!,Units_In,Units_Out),"")</f>
        <v/>
      </c>
      <c r="D45" s="33" t="str">
        <f>IF(ISTEXT(Calculations!#REF!),Calculations!#REF!,"")</f>
        <v/>
      </c>
      <c r="E45" s="10" t="str">
        <f t="shared" si="2"/>
        <v/>
      </c>
      <c r="F45" s="34" t="str">
        <f t="shared" si="3"/>
        <v/>
      </c>
      <c r="G45" s="10" t="str">
        <f t="shared" si="1"/>
        <v/>
      </c>
      <c r="H45" s="10" t="str">
        <f>IF(ISNUMBER(A45),Calculations!$A$1,"")</f>
        <v/>
      </c>
    </row>
    <row r="46" spans="1:8" x14ac:dyDescent="0.25">
      <c r="A46" s="10" t="str">
        <f>IF(ISNUMBER(Calculations!#REF!),Calculations!#REF!,"")</f>
        <v/>
      </c>
      <c r="B46" s="33" t="str">
        <f>IF(ISNUMBER(A46),CONVERT(Calculations!#REF!,Units_In,Units_Out),"")</f>
        <v/>
      </c>
      <c r="C46" s="33" t="str">
        <f>IF(ISNUMBER(A46),CONVERT(Calculations!#REF!,Units_In,Units_Out),"")</f>
        <v/>
      </c>
      <c r="D46" s="33" t="str">
        <f>IF(ISTEXT(Calculations!#REF!),Calculations!#REF!,"")</f>
        <v/>
      </c>
      <c r="E46" s="10" t="str">
        <f t="shared" si="2"/>
        <v/>
      </c>
      <c r="F46" s="34" t="str">
        <f t="shared" si="3"/>
        <v/>
      </c>
      <c r="G46" s="10" t="str">
        <f t="shared" si="1"/>
        <v/>
      </c>
      <c r="H46" s="10" t="str">
        <f>IF(ISNUMBER(A46),Calculations!$A$1,"")</f>
        <v/>
      </c>
    </row>
    <row r="47" spans="1:8" x14ac:dyDescent="0.25">
      <c r="A47" s="10" t="str">
        <f>IF(ISNUMBER(Calculations!#REF!),Calculations!#REF!,"")</f>
        <v/>
      </c>
      <c r="B47" s="33" t="str">
        <f>IF(ISNUMBER(A47),CONVERT(Calculations!#REF!,Units_In,Units_Out),"")</f>
        <v/>
      </c>
      <c r="C47" s="33" t="str">
        <f>IF(ISNUMBER(A47),CONVERT(Calculations!#REF!,Units_In,Units_Out),"")</f>
        <v/>
      </c>
      <c r="D47" s="33" t="str">
        <f>IF(ISTEXT(Calculations!#REF!),Calculations!#REF!,"")</f>
        <v/>
      </c>
      <c r="E47" s="10" t="str">
        <f t="shared" si="2"/>
        <v/>
      </c>
      <c r="F47" s="34" t="str">
        <f t="shared" si="3"/>
        <v/>
      </c>
      <c r="G47" s="10" t="str">
        <f t="shared" si="1"/>
        <v/>
      </c>
      <c r="H47" s="10" t="str">
        <f>IF(ISNUMBER(A47),Calculations!$A$1,"")</f>
        <v/>
      </c>
    </row>
    <row r="48" spans="1:8" x14ac:dyDescent="0.25">
      <c r="A48" s="10" t="str">
        <f>IF(ISNUMBER(Calculations!#REF!),Calculations!#REF!,"")</f>
        <v/>
      </c>
      <c r="B48" s="33" t="str">
        <f>IF(ISNUMBER(A48),CONVERT(Calculations!#REF!,Units_In,Units_Out),"")</f>
        <v/>
      </c>
      <c r="C48" s="33" t="str">
        <f>IF(ISNUMBER(A48),CONVERT(Calculations!#REF!,Units_In,Units_Out),"")</f>
        <v/>
      </c>
      <c r="D48" s="33" t="str">
        <f>IF(ISTEXT(Calculations!#REF!),Calculations!#REF!,"")</f>
        <v/>
      </c>
      <c r="E48" s="10" t="str">
        <f t="shared" si="2"/>
        <v/>
      </c>
      <c r="F48" s="34" t="str">
        <f t="shared" si="3"/>
        <v/>
      </c>
      <c r="G48" s="10" t="str">
        <f t="shared" si="1"/>
        <v/>
      </c>
      <c r="H48" s="10" t="str">
        <f>IF(ISNUMBER(A48),Calculations!$A$1,"")</f>
        <v/>
      </c>
    </row>
    <row r="49" spans="1:8" x14ac:dyDescent="0.25">
      <c r="A49" s="10" t="str">
        <f>IF(ISNUMBER(Calculations!#REF!),Calculations!#REF!,"")</f>
        <v/>
      </c>
      <c r="B49" s="33" t="str">
        <f>IF(ISNUMBER(A49),CONVERT(Calculations!#REF!,Units_In,Units_Out),"")</f>
        <v/>
      </c>
      <c r="C49" s="33" t="str">
        <f>IF(ISNUMBER(A49),CONVERT(Calculations!#REF!,Units_In,Units_Out),"")</f>
        <v/>
      </c>
      <c r="D49" s="33" t="str">
        <f>IF(ISTEXT(Calculations!#REF!),Calculations!#REF!,"")</f>
        <v/>
      </c>
      <c r="E49" s="10" t="str">
        <f t="shared" si="2"/>
        <v/>
      </c>
      <c r="F49" s="34" t="str">
        <f t="shared" si="3"/>
        <v/>
      </c>
      <c r="G49" s="10" t="str">
        <f t="shared" si="1"/>
        <v/>
      </c>
      <c r="H49" s="10" t="str">
        <f>IF(ISNUMBER(A49),Calculations!$A$1,"")</f>
        <v/>
      </c>
    </row>
    <row r="50" spans="1:8" x14ac:dyDescent="0.25">
      <c r="A50" s="10" t="str">
        <f>IF(ISNUMBER(Calculations!#REF!),Calculations!#REF!,"")</f>
        <v/>
      </c>
      <c r="B50" s="33" t="str">
        <f>IF(ISNUMBER(A50),CONVERT(Calculations!#REF!,Units_In,Units_Out),"")</f>
        <v/>
      </c>
      <c r="C50" s="33" t="str">
        <f>IF(ISNUMBER(A50),CONVERT(Calculations!#REF!,Units_In,Units_Out),"")</f>
        <v/>
      </c>
      <c r="D50" s="33" t="str">
        <f>IF(ISTEXT(Calculations!#REF!),Calculations!#REF!,"")</f>
        <v/>
      </c>
      <c r="E50" s="10" t="str">
        <f t="shared" si="2"/>
        <v/>
      </c>
      <c r="F50" s="34" t="str">
        <f t="shared" si="3"/>
        <v/>
      </c>
      <c r="G50" s="10" t="str">
        <f t="shared" si="1"/>
        <v/>
      </c>
      <c r="H50" s="10" t="str">
        <f>IF(ISNUMBER(A50),Calculations!$A$1,"")</f>
        <v/>
      </c>
    </row>
    <row r="51" spans="1:8" x14ac:dyDescent="0.25">
      <c r="A51" s="10" t="str">
        <f>IF(ISNUMBER(Calculations!#REF!),Calculations!#REF!,"")</f>
        <v/>
      </c>
      <c r="B51" s="33" t="str">
        <f>IF(ISNUMBER(A51),CONVERT(Calculations!#REF!,Units_In,Units_Out),"")</f>
        <v/>
      </c>
      <c r="C51" s="33" t="str">
        <f>IF(ISNUMBER(A51),CONVERT(Calculations!#REF!,Units_In,Units_Out),"")</f>
        <v/>
      </c>
      <c r="D51" s="33" t="str">
        <f>IF(ISTEXT(Calculations!#REF!),Calculations!#REF!,"")</f>
        <v/>
      </c>
      <c r="E51" s="10" t="str">
        <f t="shared" si="2"/>
        <v/>
      </c>
      <c r="F51" s="34" t="str">
        <f t="shared" si="3"/>
        <v/>
      </c>
      <c r="G51" s="10" t="str">
        <f t="shared" si="1"/>
        <v/>
      </c>
      <c r="H51" s="10" t="str">
        <f>IF(ISNUMBER(A51),Calculations!$A$1,"")</f>
        <v/>
      </c>
    </row>
    <row r="52" spans="1:8" x14ac:dyDescent="0.25">
      <c r="A52" s="10" t="str">
        <f>IF(ISNUMBER(Calculations!#REF!),Calculations!#REF!,"")</f>
        <v/>
      </c>
      <c r="B52" s="33" t="str">
        <f>IF(ISNUMBER(A52),CONVERT(Calculations!#REF!,Units_In,Units_Out),"")</f>
        <v/>
      </c>
      <c r="C52" s="33" t="str">
        <f>IF(ISNUMBER(A52),CONVERT(Calculations!#REF!,Units_In,Units_Out),"")</f>
        <v/>
      </c>
      <c r="D52" s="33" t="str">
        <f>IF(ISTEXT(Calculations!#REF!),Calculations!#REF!,"")</f>
        <v/>
      </c>
      <c r="E52" s="10" t="str">
        <f t="shared" si="2"/>
        <v/>
      </c>
      <c r="F52" s="34" t="str">
        <f t="shared" si="3"/>
        <v/>
      </c>
      <c r="G52" s="10" t="str">
        <f t="shared" si="1"/>
        <v/>
      </c>
      <c r="H52" s="10" t="str">
        <f>IF(ISNUMBER(A52),Calculations!$A$1,"")</f>
        <v/>
      </c>
    </row>
    <row r="53" spans="1:8" x14ac:dyDescent="0.25">
      <c r="A53" s="10" t="str">
        <f>IF(ISNUMBER(Calculations!#REF!),Calculations!#REF!,"")</f>
        <v/>
      </c>
      <c r="B53" s="33" t="str">
        <f>IF(ISNUMBER(A53),CONVERT(Calculations!#REF!,Units_In,Units_Out),"")</f>
        <v/>
      </c>
      <c r="C53" s="33" t="str">
        <f>IF(ISNUMBER(A53),CONVERT(Calculations!#REF!,Units_In,Units_Out),"")</f>
        <v/>
      </c>
      <c r="D53" s="33" t="str">
        <f>IF(ISTEXT(Calculations!#REF!),Calculations!#REF!,"")</f>
        <v/>
      </c>
      <c r="E53" s="10" t="str">
        <f t="shared" si="2"/>
        <v/>
      </c>
      <c r="F53" s="34" t="str">
        <f t="shared" si="3"/>
        <v/>
      </c>
      <c r="G53" s="10" t="str">
        <f t="shared" si="1"/>
        <v/>
      </c>
      <c r="H53" s="10" t="str">
        <f>IF(ISNUMBER(A53),Calculations!$A$1,"")</f>
        <v/>
      </c>
    </row>
    <row r="54" spans="1:8" x14ac:dyDescent="0.25">
      <c r="A54" s="10" t="str">
        <f>IF(ISNUMBER(Calculations!#REF!),Calculations!#REF!,"")</f>
        <v/>
      </c>
      <c r="B54" s="33" t="str">
        <f>IF(ISNUMBER(A54),CONVERT(Calculations!#REF!,Units_In,Units_Out),"")</f>
        <v/>
      </c>
      <c r="C54" s="33" t="str">
        <f>IF(ISNUMBER(A54),CONVERT(Calculations!#REF!,Units_In,Units_Out),"")</f>
        <v/>
      </c>
      <c r="D54" s="33" t="str">
        <f>IF(ISTEXT(Calculations!#REF!),Calculations!#REF!,"")</f>
        <v/>
      </c>
      <c r="E54" s="10" t="str">
        <f t="shared" si="2"/>
        <v/>
      </c>
      <c r="F54" s="34" t="str">
        <f t="shared" si="3"/>
        <v/>
      </c>
      <c r="G54" s="10" t="str">
        <f t="shared" si="1"/>
        <v/>
      </c>
      <c r="H54" s="10" t="str">
        <f>IF(ISNUMBER(A54),Calculations!$A$1,"")</f>
        <v/>
      </c>
    </row>
    <row r="55" spans="1:8" x14ac:dyDescent="0.25">
      <c r="A55" s="10" t="str">
        <f>IF(ISNUMBER(Calculations!#REF!),Calculations!#REF!,"")</f>
        <v/>
      </c>
      <c r="B55" s="33" t="str">
        <f>IF(ISNUMBER(A55),CONVERT(Calculations!#REF!,Units_In,Units_Out),"")</f>
        <v/>
      </c>
      <c r="C55" s="33" t="str">
        <f>IF(ISNUMBER(A55),CONVERT(Calculations!#REF!,Units_In,Units_Out),"")</f>
        <v/>
      </c>
      <c r="D55" s="33" t="str">
        <f>IF(ISTEXT(Calculations!#REF!),Calculations!#REF!,"")</f>
        <v/>
      </c>
      <c r="E55" s="10" t="str">
        <f t="shared" si="2"/>
        <v/>
      </c>
      <c r="F55" s="34" t="str">
        <f t="shared" si="3"/>
        <v/>
      </c>
      <c r="G55" s="10" t="str">
        <f t="shared" si="1"/>
        <v/>
      </c>
      <c r="H55" s="10" t="str">
        <f>IF(ISNUMBER(A55),Calculations!$A$1,"")</f>
        <v/>
      </c>
    </row>
    <row r="56" spans="1:8" x14ac:dyDescent="0.25">
      <c r="A56" s="10" t="str">
        <f>IF(ISNUMBER(Calculations!#REF!),Calculations!#REF!,"")</f>
        <v/>
      </c>
      <c r="B56" s="33" t="str">
        <f>IF(ISNUMBER(A56),CONVERT(Calculations!#REF!,Units_In,Units_Out),"")</f>
        <v/>
      </c>
      <c r="C56" s="33" t="str">
        <f>IF(ISNUMBER(A56),CONVERT(Calculations!#REF!,Units_In,Units_Out),"")</f>
        <v/>
      </c>
      <c r="D56" s="33" t="str">
        <f>IF(ISTEXT(Calculations!#REF!),Calculations!#REF!,"")</f>
        <v/>
      </c>
      <c r="E56" s="10" t="str">
        <f t="shared" si="2"/>
        <v/>
      </c>
      <c r="F56" s="34" t="str">
        <f t="shared" si="3"/>
        <v/>
      </c>
      <c r="G56" s="10" t="str">
        <f t="shared" si="1"/>
        <v/>
      </c>
      <c r="H56" s="10" t="str">
        <f>IF(ISNUMBER(A56),Calculations!$A$1,"")</f>
        <v/>
      </c>
    </row>
    <row r="57" spans="1:8" x14ac:dyDescent="0.25">
      <c r="A57" s="10" t="str">
        <f>IF(ISNUMBER(Calculations!#REF!),Calculations!#REF!,"")</f>
        <v/>
      </c>
      <c r="B57" s="33" t="str">
        <f>IF(ISNUMBER(A57),CONVERT(Calculations!#REF!,Units_In,Units_Out),"")</f>
        <v/>
      </c>
      <c r="C57" s="33" t="str">
        <f>IF(ISNUMBER(A57),CONVERT(Calculations!#REF!,Units_In,Units_Out),"")</f>
        <v/>
      </c>
      <c r="D57" s="33" t="str">
        <f>IF(ISTEXT(Calculations!#REF!),Calculations!#REF!,"")</f>
        <v/>
      </c>
      <c r="E57" s="10" t="str">
        <f t="shared" si="2"/>
        <v/>
      </c>
      <c r="F57" s="34" t="str">
        <f t="shared" si="3"/>
        <v/>
      </c>
      <c r="G57" s="10" t="str">
        <f t="shared" si="1"/>
        <v/>
      </c>
      <c r="H57" s="10" t="str">
        <f>IF(ISNUMBER(A57),Calculations!$A$1,"")</f>
        <v/>
      </c>
    </row>
    <row r="58" spans="1:8" x14ac:dyDescent="0.25">
      <c r="A58" s="10" t="str">
        <f>IF(ISNUMBER(Calculations!#REF!),Calculations!#REF!,"")</f>
        <v/>
      </c>
      <c r="B58" s="33" t="str">
        <f>IF(ISNUMBER(A58),CONVERT(Calculations!#REF!,Units_In,Units_Out),"")</f>
        <v/>
      </c>
      <c r="C58" s="33" t="str">
        <f>IF(ISNUMBER(A58),CONVERT(Calculations!#REF!,Units_In,Units_Out),"")</f>
        <v/>
      </c>
      <c r="D58" s="33" t="str">
        <f>IF(ISTEXT(Calculations!#REF!),Calculations!#REF!,"")</f>
        <v/>
      </c>
      <c r="E58" s="10" t="str">
        <f t="shared" si="2"/>
        <v/>
      </c>
      <c r="F58" s="34" t="str">
        <f t="shared" si="3"/>
        <v/>
      </c>
      <c r="G58" s="10" t="str">
        <f t="shared" si="1"/>
        <v/>
      </c>
      <c r="H58" s="10" t="str">
        <f>IF(ISNUMBER(A58),Calculations!$A$1,"")</f>
        <v/>
      </c>
    </row>
    <row r="59" spans="1:8" x14ac:dyDescent="0.25">
      <c r="A59" s="10" t="str">
        <f>IF(ISNUMBER(Calculations!#REF!),Calculations!#REF!,"")</f>
        <v/>
      </c>
      <c r="B59" s="33" t="str">
        <f>IF(ISNUMBER(A59),CONVERT(Calculations!#REF!,Units_In,Units_Out),"")</f>
        <v/>
      </c>
      <c r="C59" s="33" t="str">
        <f>IF(ISNUMBER(A59),CONVERT(Calculations!#REF!,Units_In,Units_Out),"")</f>
        <v/>
      </c>
      <c r="D59" s="33" t="str">
        <f>IF(ISTEXT(Calculations!#REF!),Calculations!#REF!,"")</f>
        <v/>
      </c>
      <c r="E59" s="10" t="str">
        <f t="shared" si="2"/>
        <v/>
      </c>
      <c r="F59" s="34" t="str">
        <f t="shared" si="3"/>
        <v/>
      </c>
      <c r="G59" s="10" t="str">
        <f t="shared" si="1"/>
        <v/>
      </c>
      <c r="H59" s="10" t="str">
        <f>IF(ISNUMBER(A59),Calculations!$A$1,"")</f>
        <v/>
      </c>
    </row>
    <row r="60" spans="1:8" x14ac:dyDescent="0.25">
      <c r="A60" s="10" t="str">
        <f>IF(ISNUMBER(Calculations!#REF!),Calculations!#REF!,"")</f>
        <v/>
      </c>
      <c r="B60" s="33" t="str">
        <f>IF(ISNUMBER(A60),CONVERT(Calculations!#REF!,Units_In,Units_Out),"")</f>
        <v/>
      </c>
      <c r="C60" s="33" t="str">
        <f>IF(ISNUMBER(A60),CONVERT(Calculations!#REF!,Units_In,Units_Out),"")</f>
        <v/>
      </c>
      <c r="D60" s="33" t="str">
        <f>IF(ISTEXT(Calculations!#REF!),Calculations!#REF!,"")</f>
        <v/>
      </c>
      <c r="E60" s="10" t="str">
        <f t="shared" si="2"/>
        <v/>
      </c>
      <c r="F60" s="34" t="str">
        <f t="shared" si="3"/>
        <v/>
      </c>
      <c r="G60" s="10" t="str">
        <f t="shared" si="1"/>
        <v/>
      </c>
      <c r="H60" s="10" t="str">
        <f>IF(ISNUMBER(A60),Calculations!$A$1,"")</f>
        <v/>
      </c>
    </row>
    <row r="61" spans="1:8" x14ac:dyDescent="0.25">
      <c r="A61" s="10" t="str">
        <f>IF(ISNUMBER(Calculations!#REF!),Calculations!#REF!,"")</f>
        <v/>
      </c>
      <c r="B61" s="33" t="str">
        <f>IF(ISNUMBER(A61),CONVERT(Calculations!#REF!,Units_In,Units_Out),"")</f>
        <v/>
      </c>
      <c r="C61" s="33" t="str">
        <f>IF(ISNUMBER(A61),CONVERT(Calculations!#REF!,Units_In,Units_Out),"")</f>
        <v/>
      </c>
      <c r="D61" s="33" t="str">
        <f>IF(ISTEXT(Calculations!#REF!),Calculations!#REF!,"")</f>
        <v/>
      </c>
      <c r="E61" s="10" t="str">
        <f t="shared" si="2"/>
        <v/>
      </c>
      <c r="F61" s="34" t="str">
        <f t="shared" si="3"/>
        <v/>
      </c>
      <c r="G61" s="10" t="str">
        <f t="shared" si="1"/>
        <v/>
      </c>
      <c r="H61" s="10" t="str">
        <f>IF(ISNUMBER(A61),Calculations!$A$1,"")</f>
        <v/>
      </c>
    </row>
    <row r="62" spans="1:8" x14ac:dyDescent="0.25">
      <c r="A62" s="10" t="str">
        <f>IF(ISNUMBER(Calculations!#REF!),Calculations!#REF!,"")</f>
        <v/>
      </c>
      <c r="B62" s="33" t="str">
        <f>IF(ISNUMBER(A62),CONVERT(Calculations!#REF!,Units_In,Units_Out),"")</f>
        <v/>
      </c>
      <c r="C62" s="33" t="str">
        <f>IF(ISNUMBER(A62),CONVERT(Calculations!#REF!,Units_In,Units_Out),"")</f>
        <v/>
      </c>
      <c r="D62" s="33" t="str">
        <f>IF(ISTEXT(Calculations!#REF!),Calculations!#REF!,"")</f>
        <v/>
      </c>
      <c r="E62" s="10" t="str">
        <f t="shared" si="2"/>
        <v/>
      </c>
      <c r="F62" s="34" t="str">
        <f t="shared" si="3"/>
        <v/>
      </c>
      <c r="G62" s="10" t="str">
        <f t="shared" si="1"/>
        <v/>
      </c>
      <c r="H62" s="10" t="str">
        <f>IF(ISNUMBER(A62),Calculations!$A$1,"")</f>
        <v/>
      </c>
    </row>
    <row r="63" spans="1:8" x14ac:dyDescent="0.25">
      <c r="A63" s="10" t="str">
        <f>IF(ISNUMBER(Calculations!#REF!),Calculations!#REF!,"")</f>
        <v/>
      </c>
      <c r="B63" s="33" t="str">
        <f>IF(ISNUMBER(A63),CONVERT(Calculations!#REF!,Units_In,Units_Out),"")</f>
        <v/>
      </c>
      <c r="C63" s="33" t="str">
        <f>IF(ISNUMBER(A63),CONVERT(Calculations!#REF!,Units_In,Units_Out),"")</f>
        <v/>
      </c>
      <c r="D63" s="33" t="str">
        <f>IF(ISTEXT(Calculations!#REF!),Calculations!#REF!,"")</f>
        <v/>
      </c>
      <c r="E63" s="10" t="str">
        <f t="shared" si="2"/>
        <v/>
      </c>
      <c r="F63" s="34" t="str">
        <f t="shared" si="3"/>
        <v/>
      </c>
      <c r="G63" s="10" t="str">
        <f t="shared" si="1"/>
        <v/>
      </c>
      <c r="H63" s="10" t="str">
        <f>IF(ISNUMBER(A63),Calculations!$A$1,"")</f>
        <v/>
      </c>
    </row>
    <row r="64" spans="1:8" x14ac:dyDescent="0.25">
      <c r="A64" s="10" t="str">
        <f>IF(ISNUMBER(Calculations!#REF!),Calculations!#REF!,"")</f>
        <v/>
      </c>
      <c r="B64" s="33" t="str">
        <f>IF(ISNUMBER(A64),CONVERT(Calculations!#REF!,Units_In,Units_Out),"")</f>
        <v/>
      </c>
      <c r="C64" s="33" t="str">
        <f>IF(ISNUMBER(A64),CONVERT(Calculations!#REF!,Units_In,Units_Out),"")</f>
        <v/>
      </c>
      <c r="D64" s="33" t="str">
        <f>IF(ISTEXT(Calculations!#REF!),Calculations!#REF!,"")</f>
        <v/>
      </c>
      <c r="E64" s="10" t="str">
        <f t="shared" si="2"/>
        <v/>
      </c>
      <c r="F64" s="34" t="str">
        <f t="shared" si="3"/>
        <v/>
      </c>
      <c r="G64" s="10" t="str">
        <f t="shared" si="1"/>
        <v/>
      </c>
      <c r="H64" s="10" t="str">
        <f>IF(ISNUMBER(A64),Calculations!$A$1,"")</f>
        <v/>
      </c>
    </row>
    <row r="65" spans="1:8" x14ac:dyDescent="0.25">
      <c r="A65" s="10" t="str">
        <f>IF(ISNUMBER(Calculations!#REF!),Calculations!#REF!,"")</f>
        <v/>
      </c>
      <c r="B65" s="33" t="str">
        <f>IF(ISNUMBER(A65),CONVERT(Calculations!#REF!,Units_In,Units_Out),"")</f>
        <v/>
      </c>
      <c r="C65" s="33" t="str">
        <f>IF(ISNUMBER(A65),CONVERT(Calculations!#REF!,Units_In,Units_Out),"")</f>
        <v/>
      </c>
      <c r="D65" s="33" t="str">
        <f>IF(ISTEXT(Calculations!#REF!),Calculations!#REF!,"")</f>
        <v/>
      </c>
      <c r="E65" s="10" t="str">
        <f t="shared" si="2"/>
        <v/>
      </c>
      <c r="F65" s="34" t="str">
        <f t="shared" si="3"/>
        <v/>
      </c>
      <c r="G65" s="10" t="str">
        <f t="shared" si="1"/>
        <v/>
      </c>
      <c r="H65" s="10" t="str">
        <f>IF(ISNUMBER(A65),Calculations!$A$1,"")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"/>
  <sheetViews>
    <sheetView workbookViewId="0">
      <selection sqref="A1:L32"/>
    </sheetView>
  </sheetViews>
  <sheetFormatPr defaultRowHeight="15" x14ac:dyDescent="0.25"/>
  <cols>
    <col min="1" max="1" width="10" bestFit="1" customWidth="1"/>
    <col min="2" max="2" width="9" bestFit="1" customWidth="1"/>
    <col min="3" max="3" width="12" bestFit="1" customWidth="1"/>
    <col min="4" max="4" width="7.85546875" bestFit="1" customWidth="1"/>
    <col min="5" max="6" width="12.7109375" bestFit="1" customWidth="1"/>
    <col min="7" max="7" width="12.7109375" style="10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Calculations</vt:lpstr>
      <vt:lpstr>GoogleEarth</vt:lpstr>
      <vt:lpstr>Sheet1</vt:lpstr>
      <vt:lpstr>bA</vt:lpstr>
      <vt:lpstr>CS_End</vt:lpstr>
      <vt:lpstr>CS_Start</vt:lpstr>
      <vt:lpstr>DfromL</vt:lpstr>
      <vt:lpstr>dZ</vt:lpstr>
      <vt:lpstr>HI</vt:lpstr>
      <vt:lpstr>mA</vt:lpstr>
      <vt:lpstr>mB</vt:lpstr>
      <vt:lpstr>Min_Z</vt:lpstr>
      <vt:lpstr>Old_X0</vt:lpstr>
      <vt:lpstr>Old_X1</vt:lpstr>
      <vt:lpstr>Old_X2</vt:lpstr>
      <vt:lpstr>Old_Y0</vt:lpstr>
      <vt:lpstr>Old_Y1</vt:lpstr>
      <vt:lpstr>Old_Y2</vt:lpstr>
      <vt:lpstr>Old_Z0</vt:lpstr>
      <vt:lpstr>Old_Z1</vt:lpstr>
      <vt:lpstr>Old_Z2</vt:lpstr>
      <vt:lpstr>Units_In</vt:lpstr>
      <vt:lpstr>Units_Out</vt:lpstr>
      <vt:lpstr>xB</vt:lpstr>
      <vt:lpstr>yB</vt:lpstr>
      <vt:lpstr>Zs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</dc:creator>
  <cp:lastModifiedBy>Tschan</cp:lastModifiedBy>
  <dcterms:created xsi:type="dcterms:W3CDTF">2011-11-09T05:33:48Z</dcterms:created>
  <dcterms:modified xsi:type="dcterms:W3CDTF">2013-08-28T10:44:44Z</dcterms:modified>
</cp:coreProperties>
</file>