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hesis\LARB\03 Thesis-Calcs\1 Data\survey\USR Survey\1 Fieldbooks\"/>
    </mc:Choice>
  </mc:AlternateContent>
  <bookViews>
    <workbookView xWindow="-435" yWindow="330" windowWidth="18180" windowHeight="1242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52511"/>
</workbook>
</file>

<file path=xl/calcChain.xml><?xml version="1.0" encoding="utf-8"?>
<calcChain xmlns="http://schemas.openxmlformats.org/spreadsheetml/2006/main">
  <c r="AD22" i="1" l="1"/>
  <c r="AF22" i="1"/>
  <c r="AD24" i="1"/>
  <c r="AF24" i="1" s="1"/>
  <c r="AD21" i="1"/>
  <c r="AF21" i="1" s="1"/>
  <c r="AB22" i="1"/>
  <c r="AC22" i="1"/>
  <c r="AE22" i="1" s="1"/>
  <c r="AB24" i="1"/>
  <c r="AC24" i="1"/>
  <c r="AE24" i="1" s="1"/>
  <c r="AB50" i="1"/>
  <c r="AC50" i="1"/>
  <c r="AB51" i="1"/>
  <c r="AC51" i="1"/>
  <c r="X22" i="1"/>
  <c r="Y22" i="1" s="1"/>
  <c r="X24" i="1"/>
  <c r="Y24" i="1" s="1"/>
  <c r="X50" i="1"/>
  <c r="Y50" i="1" s="1"/>
  <c r="X51" i="1"/>
  <c r="Y51" i="1"/>
  <c r="Z51" i="1"/>
  <c r="AA51" i="1" s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Z50" i="1" l="1"/>
  <c r="AA50" i="1" s="1"/>
  <c r="Z24" i="1"/>
  <c r="AA24" i="1" s="1"/>
  <c r="Z22" i="1"/>
  <c r="AA22" i="1" s="1"/>
  <c r="G21" i="1"/>
  <c r="H21" i="1" s="1"/>
  <c r="I21" i="1"/>
  <c r="L21" i="1" l="1"/>
  <c r="K21" i="1"/>
  <c r="P11" i="1"/>
  <c r="R11" i="1"/>
  <c r="P12" i="1"/>
  <c r="R12" i="1"/>
  <c r="N21" i="1"/>
  <c r="J21" i="1"/>
  <c r="P5" i="1"/>
  <c r="P6" i="1"/>
  <c r="P4" i="1"/>
  <c r="O5" i="1"/>
  <c r="O6" i="1"/>
  <c r="O4" i="1"/>
  <c r="N5" i="1"/>
  <c r="N6" i="1"/>
  <c r="N4" i="1"/>
  <c r="V21" i="1" l="1"/>
  <c r="X21" i="1"/>
  <c r="H3" i="2" l="1"/>
  <c r="H4" i="2"/>
  <c r="H2" i="2"/>
  <c r="G3" i="2" l="1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E4" i="2" l="1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E37" i="2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E36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X4" i="1" l="1"/>
  <c r="Y4" i="1"/>
  <c r="Q5" i="1" l="1"/>
  <c r="P10" i="1" s="1"/>
  <c r="Q6" i="1"/>
  <c r="R10" i="1" s="1"/>
  <c r="Y5" i="1" l="1"/>
  <c r="Y8" i="1" s="1"/>
  <c r="X6" i="1"/>
  <c r="X9" i="1" s="1"/>
  <c r="Y6" i="1"/>
  <c r="Y9" i="1" s="1"/>
  <c r="R14" i="1"/>
  <c r="R15" i="1"/>
  <c r="P14" i="1"/>
  <c r="P15" i="1"/>
  <c r="O17" i="1" l="1"/>
  <c r="O21" i="1" l="1"/>
  <c r="P21" i="1" s="1"/>
  <c r="Q21" i="1" s="1"/>
  <c r="O40" i="1"/>
  <c r="P40" i="1" s="1"/>
  <c r="Q40" i="1" s="1"/>
  <c r="O44" i="1"/>
  <c r="P44" i="1" s="1"/>
  <c r="Q44" i="1" s="1"/>
  <c r="O23" i="1"/>
  <c r="P23" i="1" s="1"/>
  <c r="Q23" i="1" s="1"/>
  <c r="O31" i="1"/>
  <c r="P31" i="1" s="1"/>
  <c r="Q31" i="1" s="1"/>
  <c r="O22" i="1"/>
  <c r="P22" i="1" s="1"/>
  <c r="Q22" i="1" s="1"/>
  <c r="O26" i="1"/>
  <c r="P26" i="1" s="1"/>
  <c r="Q26" i="1" s="1"/>
  <c r="O30" i="1"/>
  <c r="P30" i="1" s="1"/>
  <c r="Q30" i="1" s="1"/>
  <c r="O34" i="1"/>
  <c r="P34" i="1" s="1"/>
  <c r="Q34" i="1" s="1"/>
  <c r="O38" i="1"/>
  <c r="P38" i="1" s="1"/>
  <c r="Q38" i="1" s="1"/>
  <c r="O42" i="1"/>
  <c r="P42" i="1" s="1"/>
  <c r="Q42" i="1" s="1"/>
  <c r="O46" i="1"/>
  <c r="P46" i="1" s="1"/>
  <c r="Q46" i="1" s="1"/>
  <c r="O50" i="1"/>
  <c r="P50" i="1" s="1"/>
  <c r="Q50" i="1" s="1"/>
  <c r="O25" i="1"/>
  <c r="P25" i="1" s="1"/>
  <c r="Q25" i="1" s="1"/>
  <c r="O29" i="1"/>
  <c r="P29" i="1" s="1"/>
  <c r="Q29" i="1" s="1"/>
  <c r="O33" i="1"/>
  <c r="P33" i="1" s="1"/>
  <c r="Q33" i="1" s="1"/>
  <c r="O41" i="1"/>
  <c r="P41" i="1" s="1"/>
  <c r="Q41" i="1" s="1"/>
  <c r="O45" i="1"/>
  <c r="P45" i="1" s="1"/>
  <c r="Q45" i="1" s="1"/>
  <c r="O37" i="1"/>
  <c r="P37" i="1" s="1"/>
  <c r="Q37" i="1" s="1"/>
  <c r="O49" i="1"/>
  <c r="P49" i="1" s="1"/>
  <c r="Q49" i="1" s="1"/>
  <c r="O24" i="1"/>
  <c r="P24" i="1" s="1"/>
  <c r="Q24" i="1" s="1"/>
  <c r="O28" i="1"/>
  <c r="P28" i="1" s="1"/>
  <c r="Q28" i="1" s="1"/>
  <c r="O32" i="1"/>
  <c r="P32" i="1" s="1"/>
  <c r="Q32" i="1" s="1"/>
  <c r="O36" i="1"/>
  <c r="P36" i="1" s="1"/>
  <c r="Q36" i="1" s="1"/>
  <c r="O48" i="1"/>
  <c r="P48" i="1" s="1"/>
  <c r="Q48" i="1" s="1"/>
  <c r="O27" i="1"/>
  <c r="P27" i="1" s="1"/>
  <c r="Q27" i="1" s="1"/>
  <c r="O35" i="1"/>
  <c r="P35" i="1" s="1"/>
  <c r="Q35" i="1" s="1"/>
  <c r="O39" i="1"/>
  <c r="P39" i="1" s="1"/>
  <c r="Q39" i="1" s="1"/>
  <c r="O43" i="1"/>
  <c r="P43" i="1" s="1"/>
  <c r="Q43" i="1" s="1"/>
  <c r="O47" i="1"/>
  <c r="P47" i="1" s="1"/>
  <c r="Q47" i="1" s="1"/>
  <c r="O51" i="1"/>
  <c r="P51" i="1" s="1"/>
  <c r="Q51" i="1" s="1"/>
  <c r="R47" i="1" l="1"/>
  <c r="T47" i="1" s="1"/>
  <c r="X47" i="1" s="1"/>
  <c r="S47" i="1"/>
  <c r="U47" i="1" s="1"/>
  <c r="S33" i="1"/>
  <c r="U33" i="1" s="1"/>
  <c r="R33" i="1"/>
  <c r="T33" i="1" s="1"/>
  <c r="X33" i="1" s="1"/>
  <c r="R51" i="1"/>
  <c r="T51" i="1" s="1"/>
  <c r="S51" i="1"/>
  <c r="U51" i="1" s="1"/>
  <c r="R29" i="1"/>
  <c r="T29" i="1" s="1"/>
  <c r="X29" i="1" s="1"/>
  <c r="S29" i="1"/>
  <c r="U29" i="1" s="1"/>
  <c r="R28" i="1"/>
  <c r="T28" i="1" s="1"/>
  <c r="X28" i="1" s="1"/>
  <c r="S28" i="1"/>
  <c r="U28" i="1" s="1"/>
  <c r="S22" i="1"/>
  <c r="U22" i="1" s="1"/>
  <c r="R22" i="1"/>
  <c r="T22" i="1" s="1"/>
  <c r="R43" i="1"/>
  <c r="T43" i="1" s="1"/>
  <c r="X43" i="1" s="1"/>
  <c r="S43" i="1"/>
  <c r="U43" i="1" s="1"/>
  <c r="R24" i="1"/>
  <c r="T24" i="1" s="1"/>
  <c r="S24" i="1"/>
  <c r="U24" i="1" s="1"/>
  <c r="S50" i="1"/>
  <c r="U50" i="1" s="1"/>
  <c r="R50" i="1"/>
  <c r="T50" i="1" s="1"/>
  <c r="R31" i="1"/>
  <c r="T31" i="1" s="1"/>
  <c r="X31" i="1" s="1"/>
  <c r="S31" i="1"/>
  <c r="U31" i="1" s="1"/>
  <c r="R39" i="1"/>
  <c r="T39" i="1" s="1"/>
  <c r="X39" i="1" s="1"/>
  <c r="S39" i="1"/>
  <c r="U39" i="1" s="1"/>
  <c r="R49" i="1"/>
  <c r="T49" i="1" s="1"/>
  <c r="X49" i="1" s="1"/>
  <c r="S49" i="1"/>
  <c r="U49" i="1" s="1"/>
  <c r="S46" i="1"/>
  <c r="U46" i="1" s="1"/>
  <c r="R46" i="1"/>
  <c r="T46" i="1" s="1"/>
  <c r="X46" i="1" s="1"/>
  <c r="R23" i="1"/>
  <c r="T23" i="1" s="1"/>
  <c r="X23" i="1" s="1"/>
  <c r="S23" i="1"/>
  <c r="U23" i="1" s="1"/>
  <c r="R35" i="1"/>
  <c r="T35" i="1" s="1"/>
  <c r="X35" i="1" s="1"/>
  <c r="S35" i="1"/>
  <c r="U35" i="1" s="1"/>
  <c r="S37" i="1"/>
  <c r="U37" i="1" s="1"/>
  <c r="R37" i="1"/>
  <c r="T37" i="1" s="1"/>
  <c r="X37" i="1" s="1"/>
  <c r="R42" i="1"/>
  <c r="T42" i="1" s="1"/>
  <c r="X42" i="1" s="1"/>
  <c r="S42" i="1"/>
  <c r="U42" i="1" s="1"/>
  <c r="R44" i="1"/>
  <c r="T44" i="1" s="1"/>
  <c r="X44" i="1" s="1"/>
  <c r="S44" i="1"/>
  <c r="U44" i="1" s="1"/>
  <c r="R27" i="1"/>
  <c r="T27" i="1" s="1"/>
  <c r="X27" i="1" s="1"/>
  <c r="S27" i="1"/>
  <c r="U27" i="1" s="1"/>
  <c r="R45" i="1"/>
  <c r="T45" i="1" s="1"/>
  <c r="X45" i="1" s="1"/>
  <c r="S45" i="1"/>
  <c r="U45" i="1" s="1"/>
  <c r="R38" i="1"/>
  <c r="T38" i="1" s="1"/>
  <c r="X38" i="1" s="1"/>
  <c r="S38" i="1"/>
  <c r="U38" i="1" s="1"/>
  <c r="R40" i="1"/>
  <c r="T40" i="1" s="1"/>
  <c r="X40" i="1" s="1"/>
  <c r="S40" i="1"/>
  <c r="U40" i="1" s="1"/>
  <c r="R36" i="1"/>
  <c r="T36" i="1" s="1"/>
  <c r="X36" i="1" s="1"/>
  <c r="S36" i="1"/>
  <c r="U36" i="1" s="1"/>
  <c r="S30" i="1"/>
  <c r="U30" i="1" s="1"/>
  <c r="R30" i="1"/>
  <c r="T30" i="1" s="1"/>
  <c r="X30" i="1" s="1"/>
  <c r="R32" i="1"/>
  <c r="T32" i="1" s="1"/>
  <c r="X32" i="1" s="1"/>
  <c r="S32" i="1"/>
  <c r="U32" i="1" s="1"/>
  <c r="R26" i="1"/>
  <c r="T26" i="1" s="1"/>
  <c r="X26" i="1" s="1"/>
  <c r="S26" i="1"/>
  <c r="U26" i="1" s="1"/>
  <c r="R25" i="1"/>
  <c r="T25" i="1" s="1"/>
  <c r="X25" i="1" s="1"/>
  <c r="S25" i="1"/>
  <c r="U25" i="1" s="1"/>
  <c r="R48" i="1"/>
  <c r="T48" i="1" s="1"/>
  <c r="X48" i="1" s="1"/>
  <c r="S48" i="1"/>
  <c r="U48" i="1" s="1"/>
  <c r="R41" i="1"/>
  <c r="T41" i="1" s="1"/>
  <c r="X41" i="1" s="1"/>
  <c r="S41" i="1"/>
  <c r="U41" i="1" s="1"/>
  <c r="S34" i="1"/>
  <c r="U34" i="1" s="1"/>
  <c r="R34" i="1"/>
  <c r="T34" i="1" s="1"/>
  <c r="X34" i="1" s="1"/>
  <c r="R21" i="1"/>
  <c r="T21" i="1" s="1"/>
  <c r="S21" i="1"/>
  <c r="U21" i="1" s="1"/>
  <c r="X5" i="1"/>
  <c r="X8" i="1" s="1"/>
  <c r="X11" i="1" s="1"/>
  <c r="Y27" i="1" l="1"/>
  <c r="Y43" i="1"/>
  <c r="Y46" i="1"/>
  <c r="Y32" i="1"/>
  <c r="Y42" i="1"/>
  <c r="Y30" i="1"/>
  <c r="Y37" i="1"/>
  <c r="Y48" i="1"/>
  <c r="Y45" i="1"/>
  <c r="Y49" i="1"/>
  <c r="Y29" i="1"/>
  <c r="Y36" i="1"/>
  <c r="Y39" i="1"/>
  <c r="Y33" i="1"/>
  <c r="Y26" i="1"/>
  <c r="Y40" i="1"/>
  <c r="Y44" i="1"/>
  <c r="Y23" i="1"/>
  <c r="Y31" i="1"/>
  <c r="Y25" i="1"/>
  <c r="Y35" i="1"/>
  <c r="Y34" i="1"/>
  <c r="Y41" i="1"/>
  <c r="Y38" i="1"/>
  <c r="Y28" i="1"/>
  <c r="Y47" i="1"/>
  <c r="W48" i="1"/>
  <c r="W49" i="1"/>
  <c r="W36" i="1"/>
  <c r="W43" i="1"/>
  <c r="W22" i="1"/>
  <c r="W30" i="1"/>
  <c r="W37" i="1"/>
  <c r="W29" i="1"/>
  <c r="W25" i="1"/>
  <c r="W39" i="1"/>
  <c r="W33" i="1"/>
  <c r="W44" i="1"/>
  <c r="W31" i="1"/>
  <c r="W24" i="1"/>
  <c r="W35" i="1"/>
  <c r="W34" i="1"/>
  <c r="W23" i="1"/>
  <c r="W46" i="1"/>
  <c r="W50" i="1"/>
  <c r="W45" i="1"/>
  <c r="W27" i="1"/>
  <c r="W51" i="1"/>
  <c r="W26" i="1"/>
  <c r="W40" i="1"/>
  <c r="W41" i="1"/>
  <c r="W32" i="1"/>
  <c r="W38" i="1"/>
  <c r="W42" i="1"/>
  <c r="W28" i="1"/>
  <c r="W47" i="1"/>
  <c r="C11" i="2"/>
  <c r="C15" i="2"/>
  <c r="B19" i="2"/>
  <c r="C27" i="2"/>
  <c r="C31" i="2"/>
  <c r="B35" i="2"/>
  <c r="C6" i="2"/>
  <c r="C10" i="2"/>
  <c r="C14" i="2"/>
  <c r="C22" i="2"/>
  <c r="C34" i="2"/>
  <c r="C13" i="2"/>
  <c r="C17" i="2"/>
  <c r="B29" i="2"/>
  <c r="C33" i="2"/>
  <c r="B20" i="2"/>
  <c r="B8" i="2"/>
  <c r="B12" i="2"/>
  <c r="B16" i="2"/>
  <c r="B7" i="2"/>
  <c r="B24" i="2"/>
  <c r="B28" i="2"/>
  <c r="B32" i="2"/>
  <c r="C5" i="2"/>
  <c r="B5" i="2"/>
  <c r="W21" i="1"/>
  <c r="B31" i="2" l="1"/>
  <c r="E31" i="2" s="1"/>
  <c r="C30" i="2"/>
  <c r="C32" i="2"/>
  <c r="E32" i="2" s="1"/>
  <c r="C7" i="2"/>
  <c r="E7" i="2" s="1"/>
  <c r="C16" i="2"/>
  <c r="E16" i="2" s="1"/>
  <c r="C29" i="2"/>
  <c r="E29" i="2" s="1"/>
  <c r="B17" i="2"/>
  <c r="E17" i="2" s="1"/>
  <c r="C21" i="2"/>
  <c r="C9" i="2"/>
  <c r="C25" i="2"/>
  <c r="C26" i="2"/>
  <c r="B26" i="2"/>
  <c r="B25" i="2"/>
  <c r="B9" i="2"/>
  <c r="C28" i="2"/>
  <c r="E28" i="2" s="1"/>
  <c r="C12" i="2"/>
  <c r="E12" i="2" s="1"/>
  <c r="C35" i="2"/>
  <c r="E35" i="2" s="1"/>
  <c r="C19" i="2"/>
  <c r="E19" i="2" s="1"/>
  <c r="C23" i="2"/>
  <c r="C24" i="2"/>
  <c r="E24" i="2" s="1"/>
  <c r="C18" i="2"/>
  <c r="C8" i="2"/>
  <c r="E8" i="2" s="1"/>
  <c r="C20" i="2"/>
  <c r="E20" i="2" s="1"/>
  <c r="B21" i="2"/>
  <c r="B18" i="2"/>
  <c r="B30" i="2"/>
  <c r="E30" i="2" s="1"/>
  <c r="E5" i="2"/>
  <c r="AD51" i="1"/>
  <c r="AD50" i="1"/>
  <c r="Y21" i="1"/>
  <c r="Z21" i="1"/>
  <c r="AB21" i="1"/>
  <c r="B14" i="2" l="1"/>
  <c r="E14" i="2" s="1"/>
  <c r="E26" i="2"/>
  <c r="B27" i="2"/>
  <c r="E27" i="2" s="1"/>
  <c r="E21" i="2"/>
  <c r="B22" i="2"/>
  <c r="E22" i="2" s="1"/>
  <c r="E9" i="2"/>
  <c r="E25" i="2"/>
  <c r="B34" i="2"/>
  <c r="E34" i="2" s="1"/>
  <c r="B23" i="2"/>
  <c r="E23" i="2" s="1"/>
  <c r="B6" i="2"/>
  <c r="E6" i="2" s="1"/>
  <c r="B10" i="2"/>
  <c r="E10" i="2" s="1"/>
  <c r="B13" i="2"/>
  <c r="E13" i="2" s="1"/>
  <c r="E18" i="2"/>
  <c r="B11" i="2"/>
  <c r="E11" i="2" s="1"/>
  <c r="B15" i="2"/>
  <c r="E15" i="2" s="1"/>
  <c r="B33" i="2"/>
  <c r="E33" i="2" s="1"/>
  <c r="AC21" i="1"/>
  <c r="AE21" i="1" s="1"/>
  <c r="AA21" i="1"/>
  <c r="X13" i="1" l="1"/>
  <c r="AD25" i="1" l="1"/>
  <c r="AF25" i="1" s="1"/>
  <c r="AD48" i="1"/>
  <c r="AF48" i="1" s="1"/>
  <c r="AD44" i="1"/>
  <c r="AF44" i="1" s="1"/>
  <c r="AD43" i="1"/>
  <c r="AF43" i="1" s="1"/>
  <c r="AD41" i="1"/>
  <c r="AF41" i="1" s="1"/>
  <c r="AD40" i="1"/>
  <c r="AF40" i="1" s="1"/>
  <c r="AD32" i="1"/>
  <c r="AF32" i="1" s="1"/>
  <c r="AD29" i="1"/>
  <c r="AF29" i="1" s="1"/>
  <c r="AD23" i="1"/>
  <c r="AF23" i="1" s="1"/>
  <c r="AD26" i="1"/>
  <c r="AF26" i="1" s="1"/>
  <c r="AD39" i="1"/>
  <c r="AF39" i="1" s="1"/>
  <c r="AD37" i="1"/>
  <c r="AF37" i="1" s="1"/>
  <c r="AD42" i="1"/>
  <c r="AF42" i="1" s="1"/>
  <c r="AD36" i="1"/>
  <c r="AF36" i="1" s="1"/>
  <c r="AD47" i="1"/>
  <c r="AF47" i="1" s="1"/>
  <c r="AD49" i="1"/>
  <c r="AF49" i="1" s="1"/>
  <c r="AD28" i="1"/>
  <c r="AF28" i="1" s="1"/>
  <c r="AD35" i="1"/>
  <c r="AF35" i="1" s="1"/>
  <c r="AD33" i="1"/>
  <c r="AF33" i="1" s="1"/>
  <c r="AD46" i="1"/>
  <c r="AF46" i="1" s="1"/>
  <c r="AD34" i="1"/>
  <c r="AF34" i="1" s="1"/>
  <c r="AD31" i="1"/>
  <c r="AF31" i="1" s="1"/>
  <c r="AD30" i="1"/>
  <c r="AF30" i="1" s="1"/>
  <c r="AD27" i="1"/>
  <c r="AF27" i="1" s="1"/>
  <c r="AD38" i="1"/>
  <c r="AF38" i="1" s="1"/>
  <c r="AD45" i="1"/>
  <c r="AF45" i="1" s="1"/>
  <c r="AC4" i="1"/>
  <c r="AC3" i="1"/>
  <c r="AC6" i="1" s="1"/>
  <c r="Z45" i="1" l="1"/>
  <c r="Z39" i="1"/>
  <c r="Z30" i="1"/>
  <c r="Z34" i="1"/>
  <c r="Z29" i="1"/>
  <c r="Z41" i="1"/>
  <c r="Z27" i="1"/>
  <c r="Z42" i="1"/>
  <c r="Z44" i="1"/>
  <c r="Z35" i="1"/>
  <c r="Z28" i="1"/>
  <c r="Z49" i="1"/>
  <c r="Z26" i="1"/>
  <c r="Z33" i="1"/>
  <c r="Z23" i="1"/>
  <c r="Z37" i="1"/>
  <c r="Z32" i="1"/>
  <c r="Z48" i="1"/>
  <c r="Z36" i="1"/>
  <c r="Z40" i="1"/>
  <c r="Z25" i="1"/>
  <c r="Z38" i="1"/>
  <c r="Z43" i="1"/>
  <c r="Z47" i="1"/>
  <c r="Z46" i="1"/>
  <c r="Z31" i="1"/>
  <c r="AA23" i="1" l="1"/>
  <c r="AB23" i="1" s="1"/>
  <c r="AA38" i="1"/>
  <c r="AA41" i="1"/>
  <c r="AB41" i="1" s="1"/>
  <c r="AA46" i="1"/>
  <c r="AB46" i="1" s="1"/>
  <c r="AA32" i="1"/>
  <c r="AB32" i="1" s="1"/>
  <c r="AA44" i="1"/>
  <c r="AB44" i="1" s="1"/>
  <c r="AA45" i="1"/>
  <c r="AB45" i="1" s="1"/>
  <c r="AA47" i="1"/>
  <c r="AB47" i="1" s="1"/>
  <c r="AA37" i="1"/>
  <c r="AB37" i="1" s="1"/>
  <c r="AA42" i="1"/>
  <c r="AA43" i="1"/>
  <c r="AB43" i="1" s="1"/>
  <c r="AA27" i="1"/>
  <c r="AB27" i="1" s="1"/>
  <c r="AA33" i="1"/>
  <c r="AA25" i="1"/>
  <c r="AB25" i="1" s="1"/>
  <c r="AA26" i="1"/>
  <c r="AB26" i="1" s="1"/>
  <c r="AA29" i="1"/>
  <c r="AB29" i="1" s="1"/>
  <c r="AA40" i="1"/>
  <c r="AB40" i="1" s="1"/>
  <c r="AA49" i="1"/>
  <c r="AA34" i="1"/>
  <c r="AA36" i="1"/>
  <c r="AB36" i="1" s="1"/>
  <c r="AA28" i="1"/>
  <c r="AB28" i="1" s="1"/>
  <c r="AA30" i="1"/>
  <c r="AB30" i="1" s="1"/>
  <c r="AA31" i="1"/>
  <c r="AB31" i="1" s="1"/>
  <c r="AA48" i="1"/>
  <c r="AB48" i="1" s="1"/>
  <c r="AA35" i="1"/>
  <c r="AA39" i="1"/>
  <c r="AC27" i="1" l="1"/>
  <c r="AE27" i="1" s="1"/>
  <c r="AC35" i="1"/>
  <c r="AE35" i="1" s="1"/>
  <c r="AC40" i="1"/>
  <c r="AE40" i="1" s="1"/>
  <c r="AC42" i="1"/>
  <c r="AE42" i="1" s="1"/>
  <c r="AC46" i="1"/>
  <c r="AE46" i="1" s="1"/>
  <c r="AC39" i="1"/>
  <c r="AE39" i="1" s="1"/>
  <c r="AC47" i="1"/>
  <c r="AE47" i="1" s="1"/>
  <c r="AC34" i="1"/>
  <c r="AE34" i="1" s="1"/>
  <c r="AC25" i="1"/>
  <c r="AE25" i="1" s="1"/>
  <c r="AB35" i="1"/>
  <c r="AC49" i="1"/>
  <c r="AE49" i="1" s="1"/>
  <c r="AC33" i="1"/>
  <c r="AE33" i="1" s="1"/>
  <c r="AC45" i="1"/>
  <c r="AE45" i="1" s="1"/>
  <c r="AC38" i="1"/>
  <c r="AE38" i="1" s="1"/>
  <c r="AC28" i="1"/>
  <c r="AE28" i="1" s="1"/>
  <c r="AB33" i="1"/>
  <c r="AC44" i="1"/>
  <c r="AE44" i="1" s="1"/>
  <c r="AC48" i="1"/>
  <c r="AE48" i="1" s="1"/>
  <c r="AC36" i="1"/>
  <c r="AE36" i="1" s="1"/>
  <c r="AC23" i="1"/>
  <c r="AE23" i="1" s="1"/>
  <c r="AI23" i="1" s="1"/>
  <c r="AJ23" i="1" s="1"/>
  <c r="AC30" i="1"/>
  <c r="AE30" i="1" s="1"/>
  <c r="AC32" i="1"/>
  <c r="AE32" i="1" s="1"/>
  <c r="AC31" i="1"/>
  <c r="AC29" i="1"/>
  <c r="AC37" i="1"/>
  <c r="AC26" i="1"/>
  <c r="AE26" i="1" s="1"/>
  <c r="AB34" i="1"/>
  <c r="AC43" i="1"/>
  <c r="AE43" i="1" s="1"/>
  <c r="AC41" i="1"/>
  <c r="AB39" i="1"/>
  <c r="AB49" i="1"/>
  <c r="AB42" i="1"/>
  <c r="AB38" i="1"/>
  <c r="AI25" i="1" l="1"/>
  <c r="AJ25" i="1" s="1"/>
  <c r="AI24" i="1"/>
  <c r="AJ24" i="1" s="1"/>
  <c r="AC9" i="1"/>
  <c r="AE37" i="1"/>
  <c r="AE29" i="1"/>
  <c r="AE31" i="1"/>
  <c r="AI27" i="1"/>
  <c r="AJ27" i="1" s="1"/>
  <c r="AE41" i="1"/>
  <c r="AI26" i="1"/>
  <c r="AJ26" i="1" s="1"/>
  <c r="AC10" i="1"/>
  <c r="AI42" i="1" l="1"/>
  <c r="AJ42" i="1" s="1"/>
  <c r="AI44" i="1"/>
  <c r="AJ44" i="1" s="1"/>
  <c r="AI45" i="1"/>
  <c r="AJ45" i="1" s="1"/>
  <c r="AI37" i="1"/>
  <c r="AJ37" i="1" s="1"/>
  <c r="AI41" i="1"/>
  <c r="AJ41" i="1" s="1"/>
  <c r="AI31" i="1"/>
  <c r="AJ31" i="1" s="1"/>
  <c r="AI35" i="1"/>
  <c r="AJ35" i="1" s="1"/>
  <c r="AI34" i="1"/>
  <c r="AJ34" i="1" s="1"/>
  <c r="AI36" i="1"/>
  <c r="AJ36" i="1" s="1"/>
  <c r="AI43" i="1"/>
  <c r="AJ43" i="1" s="1"/>
  <c r="AI32" i="1"/>
  <c r="AJ32" i="1" s="1"/>
  <c r="AI47" i="1"/>
  <c r="AJ47" i="1" s="1"/>
  <c r="AI38" i="1"/>
  <c r="AJ38" i="1" s="1"/>
  <c r="AI40" i="1"/>
  <c r="AJ40" i="1" s="1"/>
  <c r="AI30" i="1"/>
  <c r="AJ30" i="1" s="1"/>
  <c r="AI28" i="1"/>
  <c r="AJ28" i="1" s="1"/>
  <c r="AI39" i="1"/>
  <c r="AJ39" i="1" s="1"/>
  <c r="AI48" i="1"/>
  <c r="AJ48" i="1" s="1"/>
  <c r="AI29" i="1"/>
  <c r="AJ29" i="1" s="1"/>
  <c r="AI33" i="1"/>
  <c r="AJ33" i="1" s="1"/>
  <c r="AI46" i="1"/>
  <c r="AJ46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 shape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 shape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 shape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 shape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 shape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 shape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 shape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 shape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 shape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 shape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 shape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 shape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 shape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 shape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 shape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<sst xmlns="http://schemas.openxmlformats.org/spreadsheetml/2006/main" count="375" uniqueCount="231">
  <si>
    <t>PT</t>
  </si>
  <si>
    <t>HL</t>
  </si>
  <si>
    <t>VL</t>
  </si>
  <si>
    <t>SD</t>
  </si>
  <si>
    <t>HR</t>
  </si>
  <si>
    <t>Notes</t>
  </si>
  <si>
    <t>CSS1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</si>
  <si>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</si>
  <si>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</si>
  <si>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</si>
  <si>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</si>
  <si>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</si>
  <si>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</si>
  <si>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</si>
  <si>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</si>
  <si>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</si>
  <si>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</si>
  <si>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</si>
  <si>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</si>
  <si>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</si>
  <si>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</si>
  <si>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</si>
  <si>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</si>
  <si>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</si>
  <si>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</si>
  <si>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</si>
  <si>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</si>
  <si>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</si>
  <si>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</si>
  <si>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</si>
  <si>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</si>
  <si>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</si>
  <si>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</si>
  <si>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</si>
  <si>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</si>
  <si>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</si>
  <si>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</si>
  <si>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</si>
  <si>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</si>
  <si>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</si>
  <si>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</si>
  <si>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</si>
  <si>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</si>
  <si>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</si>
  <si>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</si>
  <si>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</si>
  <si>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</si>
  <si>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</si>
  <si>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</si>
  <si>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</si>
  <si>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</si>
  <si>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</si>
  <si>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</si>
  <si>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</si>
  <si>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</si>
  <si>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</si>
  <si>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</si>
  <si>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</si>
  <si>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</si>
  <si>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</si>
  <si>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</si>
  <si>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</si>
  <si>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</si>
  <si>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</si>
  <si>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</si>
  <si>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</si>
  <si>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</si>
  <si>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</si>
  <si>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</si>
  <si>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</si>
  <si>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BS</t>
  </si>
  <si>
    <t>ZERO</t>
  </si>
  <si>
    <t>WS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</si>
  <si>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</si>
  <si>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</si>
  <si>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</si>
  <si>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</si>
  <si>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</si>
  <si>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</si>
  <si>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</si>
  <si>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</si>
  <si>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</si>
  <si>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</si>
  <si>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</si>
  <si>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</si>
  <si>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</si>
  <si>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</si>
  <si>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</si>
  <si>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Count</t>
  </si>
  <si>
    <t>Start Y</t>
  </si>
  <si>
    <t>Length</t>
  </si>
  <si>
    <t>0.1000</t>
  </si>
  <si>
    <t>27.6191</t>
  </si>
  <si>
    <t>0.2000</t>
  </si>
  <si>
    <t>55.2382</t>
  </si>
  <si>
    <t>0.3000</t>
  </si>
  <si>
    <t>82.8573</t>
  </si>
  <si>
    <t>0.4000</t>
  </si>
  <si>
    <t>93.4910</t>
  </si>
  <si>
    <t>0.5000</t>
  </si>
  <si>
    <t>96.8452</t>
  </si>
  <si>
    <t>0.6000</t>
  </si>
  <si>
    <t>84.8488</t>
  </si>
  <si>
    <t>100.1994</t>
  </si>
  <si>
    <t>0.7000</t>
  </si>
  <si>
    <t>107.4810</t>
  </si>
  <si>
    <t>103.5537</t>
  </si>
  <si>
    <t>0.8000</t>
  </si>
  <si>
    <t>109.5876</t>
  </si>
  <si>
    <t>106.9079</t>
  </si>
  <si>
    <t>0.9000</t>
  </si>
  <si>
    <t>111.6943</t>
  </si>
  <si>
    <t>108.4406</t>
  </si>
  <si>
    <t>1.0000</t>
  </si>
  <si>
    <t>113.8009</t>
  </si>
  <si>
    <t>108.7590</t>
  </si>
  <si>
    <t>1.1000</t>
  </si>
  <si>
    <t>115.9076</t>
  </si>
  <si>
    <t>109.0774</t>
  </si>
  <si>
    <t>1.2000</t>
  </si>
  <si>
    <t>121.8716</t>
  </si>
  <si>
    <t>109.3958</t>
  </si>
  <si>
    <t>1.3000</t>
  </si>
  <si>
    <t>136.8362</t>
  </si>
  <si>
    <t>109.7142</t>
  </si>
  <si>
    <t>1.4000</t>
  </si>
  <si>
    <t>150.3415</t>
  </si>
  <si>
    <t>110.0468</t>
  </si>
  <si>
    <t>1.5000</t>
  </si>
  <si>
    <t>150.7128</t>
  </si>
  <si>
    <t>110.4361</t>
  </si>
  <si>
    <t>1.6000</t>
  </si>
  <si>
    <t>151.0841</t>
  </si>
  <si>
    <t>110.8254</t>
  </si>
  <si>
    <t>1.7000</t>
  </si>
  <si>
    <t>151.4554</t>
  </si>
  <si>
    <t>111.2148</t>
  </si>
  <si>
    <t>1.8000</t>
  </si>
  <si>
    <t>151.8267</t>
  </si>
  <si>
    <t>111.6041</t>
  </si>
  <si>
    <t>1.9000</t>
  </si>
  <si>
    <t>152.1980</t>
  </si>
  <si>
    <t>111.9934</t>
  </si>
  <si>
    <t>2.0000</t>
  </si>
  <si>
    <t>152.5901</t>
  </si>
  <si>
    <t>112.3828</t>
  </si>
  <si>
    <t>2.1000</t>
  </si>
  <si>
    <t>153.1687</t>
  </si>
  <si>
    <t>112.7721</t>
  </si>
  <si>
    <t>2.2000</t>
  </si>
  <si>
    <t>153.7324</t>
  </si>
  <si>
    <t>113.1188</t>
  </si>
  <si>
    <t>2.3000</t>
  </si>
  <si>
    <t>154.2364</t>
  </si>
  <si>
    <t>113.4227</t>
  </si>
  <si>
    <t>2.4000</t>
  </si>
  <si>
    <t>154.7404</t>
  </si>
  <si>
    <t>113.7266</t>
  </si>
  <si>
    <t>2.5000</t>
  </si>
  <si>
    <t>155.2444</t>
  </si>
  <si>
    <t>114.0305</t>
  </si>
  <si>
    <t>2.6000</t>
  </si>
  <si>
    <t>155.7484</t>
  </si>
  <si>
    <t>114.3345</t>
  </si>
  <si>
    <t>2.7000</t>
  </si>
  <si>
    <t>156.2524</t>
  </si>
  <si>
    <t>114.6384</t>
  </si>
  <si>
    <t>2.8000</t>
  </si>
  <si>
    <t>156.7564</t>
  </si>
  <si>
    <t>114.9423</t>
  </si>
  <si>
    <t>2.9000</t>
  </si>
  <si>
    <t>157.2604</t>
  </si>
  <si>
    <t>115.2463</t>
  </si>
  <si>
    <t>3.0000</t>
  </si>
  <si>
    <t>157.7644</t>
  </si>
  <si>
    <t>115.5502</t>
  </si>
  <si>
    <t>3.1000</t>
  </si>
  <si>
    <t>158.2684</t>
  </si>
  <si>
    <t>115.8541</t>
  </si>
  <si>
    <t>3.2000</t>
  </si>
  <si>
    <t>158.7724</t>
  </si>
  <si>
    <t>116.1581</t>
  </si>
  <si>
    <t>3.3000</t>
  </si>
  <si>
    <t>161.7631</t>
  </si>
  <si>
    <t>116.4620</t>
  </si>
  <si>
    <t>3.4000</t>
  </si>
  <si>
    <t>166.4117</t>
  </si>
  <si>
    <t>116.7659</t>
  </si>
  <si>
    <t>3.5000</t>
  </si>
  <si>
    <t>171.0603</t>
  </si>
  <si>
    <t>117.0698</t>
  </si>
  <si>
    <t>3.6000</t>
  </si>
  <si>
    <t>175.7089</t>
  </si>
  <si>
    <t>119.5653</t>
  </si>
  <si>
    <t>3.7000</t>
  </si>
  <si>
    <t>180.3574</t>
  </si>
  <si>
    <t>130.8268</t>
  </si>
  <si>
    <t>3.8000</t>
  </si>
  <si>
    <t>185.0934</t>
  </si>
  <si>
    <t>142.0992</t>
  </si>
  <si>
    <t>3.9000</t>
  </si>
  <si>
    <t>190.1787</t>
  </si>
  <si>
    <t>153.4689</t>
  </si>
  <si>
    <t>4.0000</t>
  </si>
  <si>
    <t>195.2641</t>
  </si>
  <si>
    <t>164.8387</t>
  </si>
  <si>
    <t>4.1000</t>
  </si>
  <si>
    <t>200.3495</t>
  </si>
  <si>
    <t>176.2084</t>
  </si>
  <si>
    <t>4.2000</t>
  </si>
  <si>
    <t>205.4349</t>
  </si>
  <si>
    <t>178.8245</t>
  </si>
  <si>
    <t>4.3000</t>
  </si>
  <si>
    <t>214.1116</t>
  </si>
  <si>
    <t>179.2523</t>
  </si>
  <si>
    <t>4.4000</t>
  </si>
  <si>
    <t>255.1098</t>
  </si>
  <si>
    <t>179.6800</t>
  </si>
  <si>
    <t>4.5000</t>
  </si>
  <si>
    <t>447.7994</t>
  </si>
  <si>
    <t>4.6000</t>
  </si>
  <si>
    <t>448.6305</t>
  </si>
  <si>
    <t>4.7000</t>
  </si>
  <si>
    <t>449.4616</t>
  </si>
  <si>
    <t>4.8000</t>
  </si>
  <si>
    <t>450.2927</t>
  </si>
  <si>
    <t>4.9000</t>
  </si>
  <si>
    <t>451.1238</t>
  </si>
  <si>
    <t>5.0000</t>
  </si>
  <si>
    <t>451.9549</t>
  </si>
  <si>
    <t>WS-corrected by similar Z'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</si>
</sst>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quotePrefix="1" applyNumberFormat="1"/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Calculations!$AH$23:$AH$48</c:f>
              <c:numCache>
                <c:formatCode>General</c:formatCode>
                <c:ptCount val="26"/>
                <c:pt idx="0">
                  <c:v>0</c:v>
                </c:pt>
                <c:pt idx="1">
                  <c:v>87.04</c:v>
                </c:pt>
                <c:pt idx="2">
                  <c:v>93.55</c:v>
                </c:pt>
                <c:pt idx="3">
                  <c:v>154.01</c:v>
                </c:pt>
                <c:pt idx="4">
                  <c:v>160.55000000000001</c:v>
                </c:pt>
                <c:pt idx="5">
                  <c:v>177.25</c:v>
                </c:pt>
                <c:pt idx="6">
                  <c:v>268.13</c:v>
                </c:pt>
                <c:pt idx="7">
                  <c:v>268.23</c:v>
                </c:pt>
                <c:pt idx="8">
                  <c:v>269.23</c:v>
                </c:pt>
                <c:pt idx="9">
                  <c:v>269.91000000000003</c:v>
                </c:pt>
                <c:pt idx="10">
                  <c:v>270.39</c:v>
                </c:pt>
                <c:pt idx="11">
                  <c:v>271.45999999999998</c:v>
                </c:pt>
                <c:pt idx="12">
                  <c:v>272.57</c:v>
                </c:pt>
                <c:pt idx="13">
                  <c:v>329.16</c:v>
                </c:pt>
                <c:pt idx="14">
                  <c:v>376.5</c:v>
                </c:pt>
                <c:pt idx="15">
                  <c:v>381.05</c:v>
                </c:pt>
                <c:pt idx="16">
                  <c:v>381.99</c:v>
                </c:pt>
                <c:pt idx="17">
                  <c:v>414.44</c:v>
                </c:pt>
                <c:pt idx="18">
                  <c:v>423.9</c:v>
                </c:pt>
                <c:pt idx="19">
                  <c:v>467.6</c:v>
                </c:pt>
                <c:pt idx="20">
                  <c:v>530.47</c:v>
                </c:pt>
                <c:pt idx="21">
                  <c:v>533.99</c:v>
                </c:pt>
                <c:pt idx="22">
                  <c:v>536.23</c:v>
                </c:pt>
                <c:pt idx="23">
                  <c:v>544.19000000000005</c:v>
                </c:pt>
                <c:pt idx="24">
                  <c:v>549.88</c:v>
                </c:pt>
                <c:pt idx="25">
                  <c:v>570.99</c:v>
                </c:pt>
              </c:numCache>
            </c:numRef>
          </c:xVal>
          <c:yVal>
            <c:numRef>
              <c:f>Calculations!$AI$23:$AI$48</c:f>
              <c:numCache>
                <c:formatCode>General</c:formatCode>
                <c:ptCount val="26"/>
                <c:pt idx="0">
                  <c:v>10.79</c:v>
                </c:pt>
                <c:pt idx="1">
                  <c:v>7.4</c:v>
                </c:pt>
                <c:pt idx="2">
                  <c:v>4.84</c:v>
                </c:pt>
                <c:pt idx="3">
                  <c:v>4.3</c:v>
                </c:pt>
                <c:pt idx="4">
                  <c:v>1.56</c:v>
                </c:pt>
                <c:pt idx="5">
                  <c:v>1.05</c:v>
                </c:pt>
                <c:pt idx="6">
                  <c:v>0.72</c:v>
                </c:pt>
                <c:pt idx="7">
                  <c:v>0</c:v>
                </c:pt>
                <c:pt idx="8">
                  <c:v>2.1</c:v>
                </c:pt>
                <c:pt idx="9">
                  <c:v>1.34</c:v>
                </c:pt>
                <c:pt idx="10">
                  <c:v>2.87</c:v>
                </c:pt>
                <c:pt idx="11">
                  <c:v>4.51</c:v>
                </c:pt>
                <c:pt idx="12">
                  <c:v>5.15</c:v>
                </c:pt>
                <c:pt idx="13">
                  <c:v>5.01</c:v>
                </c:pt>
                <c:pt idx="14">
                  <c:v>3.96</c:v>
                </c:pt>
                <c:pt idx="15">
                  <c:v>2.71</c:v>
                </c:pt>
                <c:pt idx="16">
                  <c:v>2.11</c:v>
                </c:pt>
                <c:pt idx="17">
                  <c:v>1.89</c:v>
                </c:pt>
                <c:pt idx="18">
                  <c:v>1.39</c:v>
                </c:pt>
                <c:pt idx="19">
                  <c:v>1.25</c:v>
                </c:pt>
                <c:pt idx="20">
                  <c:v>1.26</c:v>
                </c:pt>
                <c:pt idx="21">
                  <c:v>2.9</c:v>
                </c:pt>
                <c:pt idx="22">
                  <c:v>4.5</c:v>
                </c:pt>
                <c:pt idx="23">
                  <c:v>5.88</c:v>
                </c:pt>
                <c:pt idx="24">
                  <c:v>5.63</c:v>
                </c:pt>
                <c:pt idx="25">
                  <c:v>9.73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9448"/>
        <c:axId val="171949832"/>
      </c:scatterChart>
      <c:valAx>
        <c:axId val="17194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49832"/>
        <c:crosses val="autoZero"/>
        <c:crossBetween val="midCat"/>
      </c:valAx>
      <c:valAx>
        <c:axId val="17194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949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Calculations!$R$23:$R$49</c:f>
              <c:numCache>
                <c:formatCode>0.00</c:formatCode>
                <c:ptCount val="27"/>
                <c:pt idx="0">
                  <c:v>7.5021007975843066</c:v>
                </c:pt>
                <c:pt idx="1">
                  <c:v>2.5373329440930394</c:v>
                </c:pt>
                <c:pt idx="2">
                  <c:v>7.5639770706673026</c:v>
                </c:pt>
                <c:pt idx="3">
                  <c:v>7.444461612060711</c:v>
                </c:pt>
                <c:pt idx="4">
                  <c:v>11.731136961054256</c:v>
                </c:pt>
                <c:pt idx="5">
                  <c:v>11.312716642507382</c:v>
                </c:pt>
                <c:pt idx="6">
                  <c:v>12.349960856936478</c:v>
                </c:pt>
                <c:pt idx="7">
                  <c:v>18.285266895989384</c:v>
                </c:pt>
                <c:pt idx="8">
                  <c:v>18.351842723766971</c:v>
                </c:pt>
                <c:pt idx="9">
                  <c:v>17.793833338262449</c:v>
                </c:pt>
                <c:pt idx="10">
                  <c:v>17.358350299114942</c:v>
                </c:pt>
                <c:pt idx="11">
                  <c:v>17.590033097871281</c:v>
                </c:pt>
                <c:pt idx="12">
                  <c:v>17.63719385392552</c:v>
                </c:pt>
                <c:pt idx="13">
                  <c:v>17.779551148915022</c:v>
                </c:pt>
                <c:pt idx="14">
                  <c:v>21.813123101711028</c:v>
                </c:pt>
                <c:pt idx="15">
                  <c:v>24.59474740654721</c:v>
                </c:pt>
                <c:pt idx="16">
                  <c:v>24.952461976956926</c:v>
                </c:pt>
                <c:pt idx="17">
                  <c:v>25.022512747147601</c:v>
                </c:pt>
                <c:pt idx="18">
                  <c:v>27.132547049377298</c:v>
                </c:pt>
                <c:pt idx="19">
                  <c:v>27.739366919521803</c:v>
                </c:pt>
                <c:pt idx="20">
                  <c:v>30.580111501550224</c:v>
                </c:pt>
                <c:pt idx="21">
                  <c:v>34.339191686237044</c:v>
                </c:pt>
                <c:pt idx="22">
                  <c:v>34.385821620752921</c:v>
                </c:pt>
                <c:pt idx="23">
                  <c:v>34.599679490631701</c:v>
                </c:pt>
                <c:pt idx="24">
                  <c:v>35.222590786795827</c:v>
                </c:pt>
                <c:pt idx="25">
                  <c:v>35.554696562360924</c:v>
                </c:pt>
                <c:pt idx="26">
                  <c:v>36.674310883165219</c:v>
                </c:pt>
              </c:numCache>
            </c:numRef>
          </c:xVal>
          <c:yVal>
            <c:numRef>
              <c:f>Calculations!$S$23:$S$49</c:f>
              <c:numCache>
                <c:formatCode>0.00</c:formatCode>
                <c:ptCount val="27"/>
                <c:pt idx="0">
                  <c:v>5.7907536015702901</c:v>
                </c:pt>
                <c:pt idx="1">
                  <c:v>9.857524290985193</c:v>
                </c:pt>
                <c:pt idx="2">
                  <c:v>32.824418635157208</c:v>
                </c:pt>
                <c:pt idx="3">
                  <c:v>34.874053715636066</c:v>
                </c:pt>
                <c:pt idx="4">
                  <c:v>52.810737636595064</c:v>
                </c:pt>
                <c:pt idx="5">
                  <c:v>54.92379408327217</c:v>
                </c:pt>
                <c:pt idx="6">
                  <c:v>59.908215946676492</c:v>
                </c:pt>
                <c:pt idx="7">
                  <c:v>87.002554177291543</c:v>
                </c:pt>
                <c:pt idx="8">
                  <c:v>87.300401354190328</c:v>
                </c:pt>
                <c:pt idx="9">
                  <c:v>88.447512240715056</c:v>
                </c:pt>
                <c:pt idx="10">
                  <c:v>87.154461389932507</c:v>
                </c:pt>
                <c:pt idx="11">
                  <c:v>87.663060293925909</c:v>
                </c:pt>
                <c:pt idx="12">
                  <c:v>87.800990019362715</c:v>
                </c:pt>
                <c:pt idx="13">
                  <c:v>88.10696729473554</c:v>
                </c:pt>
                <c:pt idx="14">
                  <c:v>105.23484598056491</c:v>
                </c:pt>
                <c:pt idx="15">
                  <c:v>119.39405715773798</c:v>
                </c:pt>
                <c:pt idx="16">
                  <c:v>120.73655144507936</c:v>
                </c:pt>
                <c:pt idx="17">
                  <c:v>121.01630003824175</c:v>
                </c:pt>
                <c:pt idx="18">
                  <c:v>130.68099186941939</c:v>
                </c:pt>
                <c:pt idx="19">
                  <c:v>133.4996177748331</c:v>
                </c:pt>
                <c:pt idx="20">
                  <c:v>146.51481235152517</c:v>
                </c:pt>
                <c:pt idx="21">
                  <c:v>165.30646395659315</c:v>
                </c:pt>
                <c:pt idx="22">
                  <c:v>166.38953846633029</c:v>
                </c:pt>
                <c:pt idx="23">
                  <c:v>167.04432652028595</c:v>
                </c:pt>
                <c:pt idx="24">
                  <c:v>169.39411799929749</c:v>
                </c:pt>
                <c:pt idx="25">
                  <c:v>171.09533683461319</c:v>
                </c:pt>
                <c:pt idx="26">
                  <c:v>177.43292602992699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70640"/>
        <c:axId val="171641816"/>
      </c:scatterChart>
      <c:valAx>
        <c:axId val="1715706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71641816"/>
        <c:crosses val="autoZero"/>
        <c:crossBetween val="midCat"/>
      </c:valAx>
      <c:valAx>
        <c:axId val="171641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57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General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10552"/>
        <c:axId val="171965456"/>
      </c:scatterChart>
      <c:valAx>
        <c:axId val="17161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965456"/>
        <c:crosses val="autoZero"/>
        <c:crossBetween val="midCat"/>
      </c:valAx>
      <c:valAx>
        <c:axId val="17196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1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285495</xdr:colOff>
      <xdr:row>53</xdr:row>
      <xdr:rowOff>22897</xdr:rowOff>
    </xdr:from>
    <xdr:to>
      <xdr:col>29</xdr:col>
      <xdr:colOff>571244</xdr:colOff>
      <xdr:row>67</xdr:row>
      <xdr:rowOff>99097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52</xdr:row>
      <xdr:rowOff>109841</xdr:rowOff>
    </xdr:from>
    <xdr:to>
      <xdr:col>21</xdr:col>
      <xdr:colOff>665306</xdr:colOff>
      <xdr:row>66</xdr:row>
      <xdr:rowOff>186041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topLeftCell="A16" zoomScale="85" zoomScaleNormal="85" workbookViewId="0">
      <selection activeCell="J25" sqref="J25"/>
    </sheetView>
  </sheetViews>
  <sheetFormatPr defaultColWidth="10.7109375" defaultRowHeight="15" x14ac:dyDescent="0.25"/>
  <cols>
    <col min="1" max="1" width="10.7109375" style="2"/>
    <col min="2" max="2" width="10.85546875" style="18" bestFit="1" customWidth="1"/>
    <col min="3" max="3" width="10.7109375" style="18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7"/>
    <col min="15" max="15" width="10.7109375" style="17" customWidth="1"/>
    <col min="16" max="21" width="10.7109375" style="17"/>
    <col min="22" max="22" width="11.5703125" style="17" bestFit="1" customWidth="1"/>
    <col min="23" max="23" width="10.7109375" style="17"/>
    <col min="24" max="24" width="10.7109375" style="17" customWidth="1"/>
    <col min="25" max="27" width="10.7109375" style="17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52" t="s">
        <v>6</v>
      </c>
      <c r="B1" s="53"/>
      <c r="C1" s="40">
        <v>40823</v>
      </c>
      <c r="M1" s="50" t="s">
        <v>22</v>
      </c>
      <c r="N1" s="50"/>
      <c r="O1" s="50"/>
      <c r="P1" s="50"/>
      <c r="Q1" s="50"/>
      <c r="R1" s="23"/>
      <c r="W1" s="47" t="s">
        <v>35</v>
      </c>
      <c r="X1" s="47"/>
      <c r="Y1" s="47"/>
      <c r="Z1" s="2"/>
      <c r="AA1" s="47" t="s">
        <v>57</v>
      </c>
      <c r="AB1" s="47"/>
      <c r="AC1" s="47"/>
    </row>
    <row r="2" spans="1:29" x14ac:dyDescent="0.25">
      <c r="A2" s="52" t="s">
        <v>17</v>
      </c>
      <c r="B2" s="53"/>
      <c r="C2" s="39">
        <v>1.3902000000000001</v>
      </c>
      <c r="M2" s="21"/>
      <c r="N2" s="21"/>
      <c r="O2" s="21"/>
      <c r="P2" s="21"/>
      <c r="Q2" s="21"/>
      <c r="R2" s="23"/>
      <c r="W2" s="23"/>
      <c r="X2" s="23"/>
      <c r="Y2" s="23"/>
      <c r="Z2" s="2"/>
      <c r="AA2" s="23"/>
      <c r="AB2" s="23"/>
      <c r="AC2" s="23"/>
    </row>
    <row r="3" spans="1:29" ht="18" x14ac:dyDescent="0.35">
      <c r="A3" s="52" t="s">
        <v>67</v>
      </c>
      <c r="B3" s="53"/>
      <c r="C3" s="39" t="s">
        <v>76</v>
      </c>
      <c r="M3" s="22" t="s">
        <v>14</v>
      </c>
      <c r="N3" s="22" t="s">
        <v>10</v>
      </c>
      <c r="O3" s="22" t="s">
        <v>15</v>
      </c>
      <c r="P3" s="22" t="s">
        <v>11</v>
      </c>
      <c r="Q3" s="22" t="s">
        <v>16</v>
      </c>
      <c r="R3" s="23"/>
      <c r="W3" s="21"/>
      <c r="X3" s="22" t="s">
        <v>11</v>
      </c>
      <c r="Y3" s="22" t="s">
        <v>11</v>
      </c>
      <c r="Z3" s="2"/>
      <c r="AA3" s="22" t="s">
        <v>41</v>
      </c>
      <c r="AB3" s="22" t="s">
        <v>54</v>
      </c>
      <c r="AC3" s="21">
        <f ca="1">SLOPE(yB,xB)</f>
        <v>5.0377211937854041</v>
      </c>
    </row>
    <row r="4" spans="1:29" ht="18" x14ac:dyDescent="0.35">
      <c r="A4" s="52" t="s">
        <v>68</v>
      </c>
      <c r="B4" s="53"/>
      <c r="C4" s="39" t="s">
        <v>75</v>
      </c>
      <c r="M4" s="23">
        <v>0</v>
      </c>
      <c r="N4" s="21">
        <f>CONVERT(D10,"ft","m")</f>
        <v>1051019.5960007999</v>
      </c>
      <c r="O4" s="21">
        <f>CONVERT(C10,"ft","m")</f>
        <v>467839.72096080001</v>
      </c>
      <c r="P4" s="21">
        <f>CONVERT(E10,"ft","m")</f>
        <v>1280.8726224</v>
      </c>
      <c r="Q4" s="24"/>
      <c r="R4" s="23"/>
      <c r="W4" s="28"/>
      <c r="X4" s="21">
        <f ca="1">VALUE(OFFSET($P$3,MATCH($O$10,$M$4:$M$6,0),0))</f>
        <v>1280.4818687999998</v>
      </c>
      <c r="Y4" s="21">
        <f ca="1">OFFSET($P$3,MATCH($Q$10,$M$4:$M$6,0),0)</f>
        <v>1281.6644928000001</v>
      </c>
      <c r="Z4" s="2"/>
      <c r="AA4" s="27" t="s">
        <v>42</v>
      </c>
      <c r="AB4" s="27" t="s">
        <v>55</v>
      </c>
      <c r="AC4" s="29">
        <f ca="1">INTERCEPT(yB,xB)</f>
        <v>-4826909.7387257488</v>
      </c>
    </row>
    <row r="5" spans="1:29" x14ac:dyDescent="0.25">
      <c r="A5" s="13"/>
      <c r="B5" s="16"/>
      <c r="C5" s="16"/>
      <c r="D5" s="4"/>
      <c r="M5" s="23">
        <v>1</v>
      </c>
      <c r="N5" s="21">
        <f>CONVERT(D11,"ft","m")</f>
        <v>1051031.7712367999</v>
      </c>
      <c r="O5" s="21">
        <f>CONVERT(C11,"ft","m")</f>
        <v>467811.16181040002</v>
      </c>
      <c r="P5" s="21">
        <f>CONVERT(E11,"ft","m")</f>
        <v>1280.4818687999998</v>
      </c>
      <c r="Q5" s="25">
        <f>DEGREES(ATAN2(Old_Y1-Old_Y0,Old_X1-Old_X0))+IF(Old_X1-Old_X0&lt;0,360)</f>
        <v>156.91065025105604</v>
      </c>
      <c r="R5" s="23"/>
      <c r="W5" s="22"/>
      <c r="X5" s="21">
        <f ca="1">VALUE(OFFSET($V$20,MATCH($O11,$A$21:$A$51,0),0))</f>
        <v>1279.3992305958673</v>
      </c>
      <c r="Y5" s="21">
        <f ca="1">OFFSET($V$20,MATCH($Q11,$A$21:$A$51,0),0)</f>
        <v>1280.7000479896917</v>
      </c>
      <c r="Z5" s="2"/>
      <c r="AA5" s="27"/>
      <c r="AB5" s="27"/>
      <c r="AC5" s="21"/>
    </row>
    <row r="6" spans="1:29" ht="18" x14ac:dyDescent="0.35">
      <c r="A6" s="54" t="s">
        <v>18</v>
      </c>
      <c r="B6" s="54"/>
      <c r="C6" s="39">
        <v>4</v>
      </c>
      <c r="D6" s="4"/>
      <c r="M6" s="23">
        <v>2</v>
      </c>
      <c r="N6" s="21">
        <f>CONVERT(D12,"ft","m")</f>
        <v>1050991.7119823999</v>
      </c>
      <c r="O6" s="21">
        <f>CONVERT(C12,"ft","m")</f>
        <v>467820.16712639999</v>
      </c>
      <c r="P6" s="21">
        <f>CONVERT(E12,"ft","m")</f>
        <v>1281.6644928000001</v>
      </c>
      <c r="Q6" s="25">
        <f>DEGREES(ATAN2(Old_Y2-Old_Y0,Old_X2-Old_X0))+IF(Old_X2-Old_X0&lt;0,360)</f>
        <v>234.9597117562169</v>
      </c>
      <c r="R6" s="23"/>
      <c r="W6" s="22"/>
      <c r="X6" s="21">
        <f ca="1">VALUE(OFFSET($V$20,MATCH($O12,$A$21:$A$51,0),0))</f>
        <v>1279.3925979788548</v>
      </c>
      <c r="Y6" s="21">
        <f ca="1">OFFSET($V$20,MATCH($Q12,$A$21:$A$51,0),0)</f>
        <v>1280.7036712128036</v>
      </c>
      <c r="Z6" s="5"/>
      <c r="AA6" s="27" t="s">
        <v>43</v>
      </c>
      <c r="AB6" s="22" t="s">
        <v>56</v>
      </c>
      <c r="AC6" s="21">
        <f ca="1">-1/mA</f>
        <v>-0.19850245012241099</v>
      </c>
    </row>
    <row r="7" spans="1:29" x14ac:dyDescent="0.25">
      <c r="A7" s="54" t="s">
        <v>19</v>
      </c>
      <c r="B7" s="54"/>
      <c r="C7" s="39">
        <v>30</v>
      </c>
      <c r="D7" s="4"/>
      <c r="M7" s="21"/>
      <c r="N7" s="21"/>
      <c r="O7" s="21"/>
      <c r="P7" s="21"/>
      <c r="Q7" s="21"/>
      <c r="R7" s="23"/>
      <c r="W7" s="21"/>
      <c r="X7" s="21"/>
      <c r="Y7" s="21"/>
      <c r="Z7" s="2"/>
      <c r="AA7" s="21"/>
      <c r="AB7" s="21"/>
      <c r="AC7" s="21"/>
    </row>
    <row r="8" spans="1:29" x14ac:dyDescent="0.25">
      <c r="A8" s="1"/>
      <c r="D8" s="4"/>
      <c r="M8" s="23"/>
      <c r="N8" s="21"/>
      <c r="O8" s="47" t="s">
        <v>25</v>
      </c>
      <c r="P8" s="47"/>
      <c r="Q8" s="47" t="s">
        <v>26</v>
      </c>
      <c r="R8" s="47"/>
      <c r="W8" s="22" t="s">
        <v>36</v>
      </c>
      <c r="X8" s="21">
        <f ca="1">X5-X4</f>
        <v>-1.082638204132536</v>
      </c>
      <c r="Y8" s="21">
        <f ca="1">Y5-Y4</f>
        <v>-0.9644448103083505</v>
      </c>
      <c r="AA8" s="21"/>
      <c r="AB8" s="23"/>
      <c r="AC8" s="23"/>
    </row>
    <row r="9" spans="1:29" x14ac:dyDescent="0.25">
      <c r="A9" s="6"/>
      <c r="C9" s="9" t="s">
        <v>12</v>
      </c>
      <c r="M9" s="21"/>
      <c r="N9" s="21"/>
      <c r="O9" s="26" t="s">
        <v>24</v>
      </c>
      <c r="P9" s="27" t="s">
        <v>20</v>
      </c>
      <c r="Q9" s="27" t="s">
        <v>24</v>
      </c>
      <c r="R9" s="27" t="s">
        <v>20</v>
      </c>
      <c r="W9" s="22" t="s">
        <v>37</v>
      </c>
      <c r="X9" s="21">
        <f ca="1">X6-X4</f>
        <v>-1.0892708211449644</v>
      </c>
      <c r="Y9" s="21">
        <f ca="1">Y6-Y4</f>
        <v>-0.96082158719650579</v>
      </c>
      <c r="AA9" s="32" t="s">
        <v>50</v>
      </c>
      <c r="AB9" s="32"/>
      <c r="AC9" s="21">
        <f ca="1">AVERAGE(DfromL)</f>
        <v>0.59644597519813169</v>
      </c>
    </row>
    <row r="10" spans="1:29" s="17" customFormat="1" x14ac:dyDescent="0.25">
      <c r="A10" s="8"/>
      <c r="B10" s="18"/>
      <c r="C10" s="36">
        <v>1534907.2209999999</v>
      </c>
      <c r="D10" s="37">
        <v>3448227.0210000002</v>
      </c>
      <c r="E10" s="38">
        <v>4202.3379999999997</v>
      </c>
      <c r="M10" s="51" t="s">
        <v>23</v>
      </c>
      <c r="N10" s="51"/>
      <c r="O10" s="33">
        <v>1</v>
      </c>
      <c r="P10" s="21">
        <f ca="1">OFFSET($Q$3,MATCH($O$10,$M$4:$M$6,0),0)</f>
        <v>156.91065025105604</v>
      </c>
      <c r="Q10" s="33">
        <v>2</v>
      </c>
      <c r="R10" s="21">
        <f ca="1">OFFSET($Q$3,MATCH($Q$10,$M$4:$M$6,0),0)</f>
        <v>234.9597117562169</v>
      </c>
      <c r="W10" s="23"/>
      <c r="X10" s="23"/>
      <c r="Y10" s="23"/>
      <c r="AA10" s="32" t="s">
        <v>51</v>
      </c>
      <c r="AB10" s="32"/>
      <c r="AC10" s="21">
        <f ca="1">_xlfn.STDEV.P(DfromL)</f>
        <v>0.95322841565653671</v>
      </c>
    </row>
    <row r="11" spans="1:29" s="17" customFormat="1" x14ac:dyDescent="0.25">
      <c r="A11" s="15"/>
      <c r="B11" s="18"/>
      <c r="C11" s="36">
        <v>1534813.523</v>
      </c>
      <c r="D11" s="37">
        <v>3448266.966</v>
      </c>
      <c r="E11" s="38">
        <v>4201.0559999999996</v>
      </c>
      <c r="M11" s="47" t="s">
        <v>32</v>
      </c>
      <c r="N11" s="47"/>
      <c r="O11" s="33">
        <v>2</v>
      </c>
      <c r="P11" s="21">
        <f ca="1">OFFSET($I$20,MATCH($O11,$A$21:$A$51,0),0)</f>
        <v>181.71194444444444</v>
      </c>
      <c r="Q11" s="33">
        <v>3</v>
      </c>
      <c r="R11" s="21">
        <f ca="1">OFFSET($I$20,MATCH($Q11,$A$21:$A$51,0),0)</f>
        <v>257.08916666666664</v>
      </c>
      <c r="W11" s="22" t="s">
        <v>38</v>
      </c>
      <c r="X11" s="21">
        <f ca="1">AVERAGE(X8:Y9)</f>
        <v>-1.0242938556955892</v>
      </c>
      <c r="Y11" s="31" t="s">
        <v>39</v>
      </c>
      <c r="AA11" s="21"/>
      <c r="AB11" s="21"/>
      <c r="AC11" s="21"/>
    </row>
    <row r="12" spans="1:29" s="17" customFormat="1" x14ac:dyDescent="0.25">
      <c r="A12" s="15"/>
      <c r="B12" s="18"/>
      <c r="C12" s="36">
        <v>1534843.068</v>
      </c>
      <c r="D12" s="37">
        <v>3448135.5380000002</v>
      </c>
      <c r="E12" s="38">
        <v>4204.9359999999997</v>
      </c>
      <c r="M12" s="47" t="s">
        <v>31</v>
      </c>
      <c r="N12" s="47"/>
      <c r="O12" s="33">
        <v>31</v>
      </c>
      <c r="P12" s="21">
        <f ca="1">OFFSET($I$20,MATCH($O12,$A$21:$A$51,0),0)</f>
        <v>344.83694444444444</v>
      </c>
      <c r="Q12" s="33">
        <v>32</v>
      </c>
      <c r="R12" s="21">
        <f ca="1">OFFSET($I$20,MATCH($Q12,$A$21:$A$51,0),0)</f>
        <v>60.174444444444447</v>
      </c>
      <c r="W12" s="21"/>
      <c r="X12" s="21"/>
      <c r="Y12" s="21"/>
      <c r="AA12" s="21"/>
      <c r="AB12" s="21"/>
      <c r="AC12" s="21"/>
    </row>
    <row r="13" spans="1:29" s="17" customFormat="1" x14ac:dyDescent="0.25">
      <c r="A13" s="15"/>
      <c r="B13" s="18"/>
      <c r="C13" s="18"/>
      <c r="D13" s="19"/>
      <c r="M13" s="21"/>
      <c r="N13" s="21"/>
      <c r="O13" s="21"/>
      <c r="P13" s="21"/>
      <c r="Q13" s="21"/>
      <c r="R13" s="21"/>
      <c r="W13" s="21" t="s">
        <v>65</v>
      </c>
      <c r="X13" s="21">
        <f ca="1">MIN(Zs)</f>
        <v>1276.2122342014195</v>
      </c>
      <c r="Y13" s="21"/>
      <c r="AA13" s="21"/>
      <c r="AB13" s="21"/>
      <c r="AC13" s="21"/>
    </row>
    <row r="14" spans="1:29" s="17" customFormat="1" x14ac:dyDescent="0.25">
      <c r="A14" s="8"/>
      <c r="B14" s="18"/>
      <c r="C14" s="18"/>
      <c r="D14" s="19"/>
      <c r="M14" s="47" t="s">
        <v>33</v>
      </c>
      <c r="N14" s="47"/>
      <c r="O14" s="23"/>
      <c r="P14" s="21">
        <f ca="1">P10-P11+IF(P11&gt;P10,360)</f>
        <v>335.1987058066116</v>
      </c>
      <c r="Q14" s="21"/>
      <c r="R14" s="21">
        <f ca="1">R10-R11+IF(R11&gt;R10,360)</f>
        <v>337.87054508955026</v>
      </c>
      <c r="W14" s="21"/>
      <c r="X14" s="21"/>
      <c r="Y14" s="21"/>
      <c r="AA14" s="21"/>
      <c r="AB14" s="21"/>
      <c r="AC14" s="21"/>
    </row>
    <row r="15" spans="1:29" x14ac:dyDescent="0.25">
      <c r="A15" s="1"/>
      <c r="D15" s="4"/>
      <c r="M15" s="47" t="s">
        <v>34</v>
      </c>
      <c r="N15" s="47"/>
      <c r="O15" s="23"/>
      <c r="P15" s="21">
        <f ca="1">P10-P12+IF(P12&gt;P10,360)</f>
        <v>172.0737058066116</v>
      </c>
      <c r="Q15" s="21"/>
      <c r="R15" s="21">
        <f ca="1">R10-R12+IF(R12&gt;R10,360)</f>
        <v>174.78526731177246</v>
      </c>
      <c r="W15" s="21"/>
      <c r="X15" s="21"/>
      <c r="Y15" s="21"/>
      <c r="AA15" s="23"/>
      <c r="AB15" s="23"/>
      <c r="AC15" s="23"/>
    </row>
    <row r="16" spans="1:29" x14ac:dyDescent="0.25">
      <c r="A16" s="1"/>
      <c r="B16" s="18" t="s">
        <v>69</v>
      </c>
      <c r="D16" s="4"/>
      <c r="M16" s="23"/>
      <c r="N16" s="23"/>
      <c r="O16" s="23"/>
      <c r="P16" s="23"/>
      <c r="Q16" s="23"/>
      <c r="R16" s="30"/>
      <c r="W16" s="21"/>
      <c r="X16" s="21"/>
      <c r="Y16" s="21"/>
      <c r="AA16" s="23"/>
      <c r="AB16" s="23"/>
      <c r="AC16" s="23"/>
    </row>
    <row r="17" spans="1:36" x14ac:dyDescent="0.25">
      <c r="A17" s="1"/>
      <c r="D17" s="4"/>
      <c r="M17" s="47" t="s">
        <v>40</v>
      </c>
      <c r="N17" s="47"/>
      <c r="O17" s="21">
        <f ca="1">AVERAGE(P14,R14)</f>
        <v>336.53462544808093</v>
      </c>
      <c r="P17" s="31"/>
      <c r="Q17" s="23"/>
      <c r="R17" s="23"/>
      <c r="W17" s="21"/>
      <c r="X17" s="21"/>
      <c r="Y17" s="23"/>
      <c r="Z17" s="2"/>
      <c r="AA17" s="23"/>
      <c r="AB17" s="23"/>
      <c r="AC17" s="23"/>
    </row>
    <row r="18" spans="1:36" x14ac:dyDescent="0.25">
      <c r="A18" s="1"/>
      <c r="D18" s="4"/>
      <c r="M18" s="19"/>
      <c r="O18" s="19"/>
      <c r="P18" s="19"/>
      <c r="Q18" s="19"/>
      <c r="R18" s="19"/>
      <c r="S18" s="19"/>
      <c r="T18" s="19"/>
      <c r="U18" s="19"/>
      <c r="V18" s="2"/>
      <c r="W18" s="2"/>
      <c r="X18" s="2"/>
      <c r="Y18" s="2"/>
      <c r="Z18" s="2"/>
      <c r="AA18" s="2"/>
    </row>
    <row r="19" spans="1:36" s="1" customFormat="1" x14ac:dyDescent="0.25">
      <c r="B19" s="11"/>
      <c r="C19" s="11"/>
      <c r="D19" s="7"/>
      <c r="E19" s="7"/>
      <c r="F19" s="7"/>
      <c r="G19" s="7"/>
      <c r="H19" s="7"/>
      <c r="I19" s="7"/>
      <c r="J19" s="7"/>
      <c r="K19" s="7"/>
      <c r="N19" s="15"/>
      <c r="O19" s="15"/>
      <c r="P19" s="15"/>
      <c r="Q19" s="15"/>
      <c r="R19" s="15"/>
      <c r="S19" s="15"/>
      <c r="T19" s="48" t="s">
        <v>21</v>
      </c>
      <c r="U19" s="48"/>
      <c r="X19" s="49" t="s">
        <v>46</v>
      </c>
      <c r="Y19" s="49"/>
      <c r="Z19" s="49" t="s">
        <v>47</v>
      </c>
      <c r="AA19" s="49"/>
      <c r="AB19" s="1" t="s">
        <v>48</v>
      </c>
      <c r="AC19" s="1" t="s">
        <v>52</v>
      </c>
      <c r="AE19" s="43" t="s">
        <v>52</v>
      </c>
      <c r="AG19" s="43"/>
      <c r="AH19" s="43"/>
      <c r="AI19" s="43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87</v>
      </c>
      <c r="H20" s="12" t="s">
        <v>81</v>
      </c>
      <c r="I20" s="12" t="s">
        <v>86</v>
      </c>
      <c r="J20" s="12" t="s">
        <v>85</v>
      </c>
      <c r="K20" s="3" t="s">
        <v>79</v>
      </c>
      <c r="L20" s="3" t="s">
        <v>80</v>
      </c>
      <c r="M20" s="8" t="s">
        <v>27</v>
      </c>
      <c r="N20" s="8" t="s">
        <v>28</v>
      </c>
      <c r="O20" s="8" t="s">
        <v>29</v>
      </c>
      <c r="P20" s="20" t="s">
        <v>30</v>
      </c>
      <c r="Q20" s="20" t="s">
        <v>84</v>
      </c>
      <c r="R20" s="20" t="s">
        <v>82</v>
      </c>
      <c r="S20" s="20" t="s">
        <v>83</v>
      </c>
      <c r="T20" s="20" t="s">
        <v>8</v>
      </c>
      <c r="U20" s="20" t="s">
        <v>7</v>
      </c>
      <c r="V20" s="20" t="s">
        <v>13</v>
      </c>
      <c r="W20" s="20" t="s">
        <v>9</v>
      </c>
      <c r="X20" s="3" t="s">
        <v>44</v>
      </c>
      <c r="Y20" s="3" t="s">
        <v>45</v>
      </c>
      <c r="Z20" s="3" t="s">
        <v>8</v>
      </c>
      <c r="AA20" s="3" t="s">
        <v>7</v>
      </c>
      <c r="AB20" s="3" t="s">
        <v>49</v>
      </c>
      <c r="AC20" s="3" t="s">
        <v>53</v>
      </c>
      <c r="AD20" s="20" t="s">
        <v>66</v>
      </c>
      <c r="AE20" s="3" t="s">
        <v>77</v>
      </c>
      <c r="AF20" s="20" t="s">
        <v>78</v>
      </c>
      <c r="AG20" s="20"/>
      <c r="AH20" s="20"/>
      <c r="AI20" s="20"/>
    </row>
    <row r="21" spans="1:36" x14ac:dyDescent="0.25">
      <c r="A21" s="2">
        <v>2</v>
      </c>
      <c r="B21" s="18">
        <v>7.5713310185185181</v>
      </c>
      <c r="C21" s="18">
        <v>3.7685185185185186</v>
      </c>
      <c r="D21" s="2">
        <v>31.631</v>
      </c>
      <c r="E21" s="17">
        <v>2.6182319999999999</v>
      </c>
      <c r="F21" s="41" t="s">
        <v>70</v>
      </c>
      <c r="G21" s="45">
        <f>C21*24</f>
        <v>90.444444444444443</v>
      </c>
      <c r="H21" s="45">
        <f>RADIANS(G21)</f>
        <v>1.578553345692649</v>
      </c>
      <c r="I21" s="45">
        <f t="shared" ref="I21:I51" si="0">B21*24</f>
        <v>181.71194444444444</v>
      </c>
      <c r="J21" s="41">
        <f>RADIANS(I21)</f>
        <v>3.1714717207565739</v>
      </c>
      <c r="K21" s="41">
        <f>D21*SIN(H21)</f>
        <v>31.630048364909527</v>
      </c>
      <c r="L21" s="16">
        <f>D21*COS(H21)</f>
        <v>-0.24535980413274486</v>
      </c>
      <c r="M21" s="14"/>
      <c r="N21" s="17">
        <f t="shared" ref="N21:N51" si="1">I21+M21</f>
        <v>181.71194444444444</v>
      </c>
      <c r="O21" s="17">
        <f ca="1">$O$17</f>
        <v>336.53462544808093</v>
      </c>
      <c r="P21" s="17">
        <f ca="1">SUM(N21,O21)</f>
        <v>518.24656989252537</v>
      </c>
      <c r="Q21" s="17">
        <f ca="1">RADIANS(P21)</f>
        <v>9.0451089817914827</v>
      </c>
      <c r="R21" s="17">
        <f t="shared" ref="R21:R51" ca="1" si="2">K21*SIN(Q21)</f>
        <v>11.722508429839969</v>
      </c>
      <c r="S21" s="17">
        <f t="shared" ref="S21:S51" ca="1" si="3">K21*COS(Q21)</f>
        <v>-29.377589344240732</v>
      </c>
      <c r="T21" s="14">
        <f t="shared" ref="T21:T51" ca="1" si="4">Old_X0+R21</f>
        <v>1051031.3185092297</v>
      </c>
      <c r="U21" s="14">
        <f t="shared" ref="U21:U51" ca="1" si="5">Old_Y0+S21</f>
        <v>467810.34337145579</v>
      </c>
      <c r="V21" s="17">
        <f t="shared" ref="V21:V51" si="6">Old_Z0+HI+L21-E21</f>
        <v>1279.3992305958673</v>
      </c>
      <c r="W21" s="17">
        <f t="shared" ref="W21:W51" ca="1" si="7">IF(ISNUMBER(T21),V21+dZ,"")</f>
        <v>1278.3749367401717</v>
      </c>
      <c r="X21" s="17" t="str">
        <f t="shared" ref="X21:X51" si="8">IF(AND(A21&gt;=CS_Start,A21&lt;=CS_End),IF(OR(LEFT(UPPER(F21))="D"),"",T21),"")</f>
        <v/>
      </c>
      <c r="Y21" s="17" t="str">
        <f t="shared" ref="Y21:Y51" si="9">IF(ISNUMBER(X21),U21,"")</f>
        <v/>
      </c>
      <c r="Z21" s="17" t="str">
        <f t="shared" ref="Z21:Z51" si="10">IF(X21="","",VALUE((-mB*X21+Y21-bA)/(mA-mB)))</f>
        <v/>
      </c>
      <c r="AA21" s="17" t="str">
        <f t="shared" ref="AA21:AA51" si="11">IF(Z21="","",VALUE(mA*Z21+bA))</f>
        <v/>
      </c>
      <c r="AB21" s="17" t="str">
        <f>IF(ISNUMBER(X21),SQRT((X21-Z21)^2+(Y21-AA21)^2),"")</f>
        <v/>
      </c>
      <c r="AC21" s="17" t="str">
        <f t="shared" ref="AC21:AC51" ca="1" si="12">IF(ISNUMBER(Z21),SQRT(($Z21-OFFSET($Z$20,MATCH(CS_Start,$A$21:$A$51,0),0))^2+($AA21-OFFSET($AA$20,MATCH(CS_Start,$A$21:$A$51,0),0))^2),"")</f>
        <v/>
      </c>
      <c r="AD21" s="17" t="str">
        <f t="shared" ref="AD21:AD22" si="13">IF(ISNUMBER(X21),W21-Min_Z,"")</f>
        <v/>
      </c>
      <c r="AE21" s="2" t="e">
        <f t="shared" ref="AE21:AE22" ca="1" si="14">ROUND(CONVERT(AC21,"m","ft"),2)</f>
        <v>#VALUE!</v>
      </c>
      <c r="AF21" s="2" t="e">
        <f t="shared" ref="AF21:AF22" si="15">ROUND(CONVERT(AD21,"m","ft"),2)</f>
        <v>#VALUE!</v>
      </c>
    </row>
    <row r="22" spans="1:36" x14ac:dyDescent="0.25">
      <c r="A22" s="2">
        <v>3</v>
      </c>
      <c r="B22" s="42">
        <v>10.712048611111111</v>
      </c>
      <c r="C22" s="18">
        <v>3.6757060185185186</v>
      </c>
      <c r="D22" s="2">
        <v>33.920999999999999</v>
      </c>
      <c r="E22" s="17">
        <v>2.6182319999999999</v>
      </c>
      <c r="F22" s="41" t="s">
        <v>70</v>
      </c>
      <c r="G22" s="45">
        <f t="shared" ref="G22:G51" si="16">C22*24</f>
        <v>88.216944444444451</v>
      </c>
      <c r="H22" s="45">
        <f t="shared" ref="H22:H51" si="17">RADIANS(G22)</f>
        <v>1.5396761366044756</v>
      </c>
      <c r="I22" s="45">
        <f t="shared" si="0"/>
        <v>257.08916666666664</v>
      </c>
      <c r="J22" s="41">
        <f t="shared" ref="J22:J51" si="18">RADIANS(I22)</f>
        <v>4.4870524295417882</v>
      </c>
      <c r="K22" s="41">
        <f t="shared" ref="K22:K51" si="19">D22*SIN(H22)</f>
        <v>33.904575653978654</v>
      </c>
      <c r="L22" s="16">
        <f t="shared" ref="L22:L51" si="20">D22*COS(H22)</f>
        <v>1.0554575896916485</v>
      </c>
      <c r="M22" s="14"/>
      <c r="N22" s="17">
        <f t="shared" ref="N22:N51" si="21">I22+M22</f>
        <v>257.08916666666664</v>
      </c>
      <c r="O22" s="17">
        <f t="shared" ref="O22:O51" ca="1" si="22">$O$17</f>
        <v>336.53462544808093</v>
      </c>
      <c r="P22" s="17">
        <f t="shared" ref="P22:P51" ca="1" si="23">SUM(N22,O22)</f>
        <v>593.62379211474763</v>
      </c>
      <c r="Q22" s="17">
        <f t="shared" ref="Q22:Q51" ca="1" si="24">RADIANS(P22)</f>
        <v>10.360689690576699</v>
      </c>
      <c r="R22" s="17">
        <f t="shared" ref="R22:R51" ca="1" si="25">K22*SIN(Q22)</f>
        <v>-27.297934978023527</v>
      </c>
      <c r="S22" s="17">
        <f t="shared" ref="S22:S51" ca="1" si="26">K22*COS(Q22)</f>
        <v>-20.108281781692877</v>
      </c>
      <c r="T22" s="14">
        <f t="shared" ref="T22:T51" ca="1" si="27">Old_X0+R22</f>
        <v>1050992.2980658219</v>
      </c>
      <c r="U22" s="14">
        <f t="shared" ref="U22:U51" ca="1" si="28">Old_Y0+S22</f>
        <v>467819.61267901835</v>
      </c>
      <c r="V22" s="17">
        <f t="shared" ref="V22:V51" si="29">Old_Z0+HI+L22-E22</f>
        <v>1280.7000479896917</v>
      </c>
      <c r="W22" s="17">
        <f t="shared" ref="W22:W51" ca="1" si="30">IF(ISNUMBER(T22),V22+dZ,"")</f>
        <v>1279.6757541339962</v>
      </c>
      <c r="X22" s="17" t="str">
        <f t="shared" ref="X22:X51" si="31">IF(AND(A22&gt;=CS_Start,A22&lt;=CS_End),IF(OR(LEFT(UPPER(F22))="D"),"",T22),"")</f>
        <v/>
      </c>
      <c r="Y22" s="17" t="str">
        <f t="shared" ref="Y22:Y51" si="32">IF(ISNUMBER(X22),U22,"")</f>
        <v/>
      </c>
      <c r="Z22" s="17" t="str">
        <f t="shared" ref="Z22:Z51" si="33">IF(X22="","",VALUE((-mB*X22+Y22-bA)/(mA-mB)))</f>
        <v/>
      </c>
      <c r="AA22" s="17" t="str">
        <f t="shared" ref="AA22:AA51" si="34">IF(Z22="","",VALUE(mA*Z22+bA))</f>
        <v/>
      </c>
      <c r="AB22" s="17" t="str">
        <f t="shared" ref="AB22:AB51" si="35">IF(ISNUMBER(X22),SQRT((X22-Z22)^2+(Y22-AA22)^2),"")</f>
        <v/>
      </c>
      <c r="AC22" s="17" t="str">
        <f t="shared" ref="AC22:AC51" ca="1" si="36">IF(ISNUMBER(Z22),SQRT(($Z22-OFFSET($Z$20,MATCH(CS_Start,$A$21:$A$51,0),0))^2+($AA22-OFFSET($AA$20,MATCH(CS_Start,$A$21:$A$51,0),0))^2),"")</f>
        <v/>
      </c>
      <c r="AD22" s="17" t="str">
        <f t="shared" ref="AD22:AD49" si="37">IF(ISNUMBER(X22),W22-Min_Z,"")</f>
        <v/>
      </c>
      <c r="AE22" s="2" t="e">
        <f t="shared" ref="AE22:AE49" ca="1" si="38">ROUND(CONVERT(AC22,"m","ft"),2)</f>
        <v>#VALUE!</v>
      </c>
      <c r="AF22" s="2" t="e">
        <f t="shared" ref="AF22:AF49" si="39">ROUND(CONVERT(AD22,"m","ft"),2)</f>
        <v>#VALUE!</v>
      </c>
    </row>
    <row r="23" spans="1:36" x14ac:dyDescent="0.25">
      <c r="A23" s="41">
        <v>4</v>
      </c>
      <c r="B23" s="42">
        <v>1.579224537037037</v>
      </c>
      <c r="C23" s="18">
        <v>3.5284490740740737</v>
      </c>
      <c r="D23" s="2">
        <v>9.5180000000000007</v>
      </c>
      <c r="E23" s="17">
        <v>2.6182319999999999</v>
      </c>
      <c r="F23" s="41" t="s">
        <v>71</v>
      </c>
      <c r="G23" s="45">
        <f t="shared" si="16"/>
        <v>84.682777777777773</v>
      </c>
      <c r="H23" s="45">
        <f t="shared" si="17"/>
        <v>1.4779932919569092</v>
      </c>
      <c r="I23" s="45">
        <f t="shared" si="0"/>
        <v>37.901388888888889</v>
      </c>
      <c r="J23" s="41">
        <f t="shared" si="18"/>
        <v>0.66150402718990642</v>
      </c>
      <c r="K23" s="41">
        <f t="shared" si="19"/>
        <v>9.4770429803401424</v>
      </c>
      <c r="L23" s="16">
        <f t="shared" si="20"/>
        <v>0.88203194317759026</v>
      </c>
      <c r="M23" s="14">
        <v>37.9</v>
      </c>
      <c r="N23" s="17">
        <f t="shared" si="21"/>
        <v>75.80138888888888</v>
      </c>
      <c r="O23" s="17">
        <f t="shared" ca="1" si="22"/>
        <v>336.53462544808093</v>
      </c>
      <c r="P23" s="17">
        <f t="shared" ca="1" si="23"/>
        <v>412.33601433696981</v>
      </c>
      <c r="Q23" s="17">
        <f t="shared" ca="1" si="24"/>
        <v>7.1966210747306665</v>
      </c>
      <c r="R23" s="17">
        <f t="shared" ca="1" si="25"/>
        <v>7.5021007975843066</v>
      </c>
      <c r="S23" s="17">
        <f t="shared" ca="1" si="26"/>
        <v>5.7907536015702901</v>
      </c>
      <c r="T23" s="14">
        <f t="shared" ca="1" si="27"/>
        <v>1051027.0981015975</v>
      </c>
      <c r="U23" s="14">
        <f t="shared" ca="1" si="28"/>
        <v>467845.5117144016</v>
      </c>
      <c r="V23" s="17">
        <f t="shared" si="29"/>
        <v>1280.5266223431775</v>
      </c>
      <c r="W23" s="17">
        <f t="shared" ca="1" si="30"/>
        <v>1279.5023284874819</v>
      </c>
      <c r="X23" s="17">
        <f t="shared" ca="1" si="31"/>
        <v>1051027.0981015975</v>
      </c>
      <c r="Y23" s="17">
        <f t="shared" ca="1" si="32"/>
        <v>467845.5117144016</v>
      </c>
      <c r="Z23" s="17">
        <f t="shared" ca="1" si="33"/>
        <v>1051022.087446816</v>
      </c>
      <c r="AA23" s="17">
        <f t="shared" ca="1" si="34"/>
        <v>467846.50634165294</v>
      </c>
      <c r="AB23" s="17">
        <f t="shared" ca="1" si="35"/>
        <v>5.1084190028115666</v>
      </c>
      <c r="AC23" s="17">
        <f t="shared" ca="1" si="36"/>
        <v>0</v>
      </c>
      <c r="AD23" s="17">
        <f t="shared" ca="1" si="37"/>
        <v>3.2900942860624127</v>
      </c>
      <c r="AE23" s="2">
        <f t="shared" ca="1" si="38"/>
        <v>0</v>
      </c>
      <c r="AF23" s="2">
        <f t="shared" ca="1" si="39"/>
        <v>10.79</v>
      </c>
      <c r="AH23" s="2">
        <v>0</v>
      </c>
      <c r="AI23" s="2">
        <f t="shared" ref="AI23:AI48" ca="1" si="40">OFFSET($AF$22,MATCH(AH23,$AE$23:$AE$49,0),0)</f>
        <v>10.79</v>
      </c>
      <c r="AJ23" s="2" t="str">
        <f ca="1">CONCATENATE(AH23,",",AI23)</f>
        <v>0,10.79</v>
      </c>
    </row>
    <row r="24" spans="1:36" x14ac:dyDescent="0.25">
      <c r="A24" s="41">
        <v>5</v>
      </c>
      <c r="B24" s="42">
        <v>0</v>
      </c>
      <c r="C24" s="18">
        <v>3.6817824074074075</v>
      </c>
      <c r="D24" s="2">
        <v>10.183</v>
      </c>
      <c r="E24" s="17">
        <v>2.6182319999999999</v>
      </c>
      <c r="F24" s="2" t="s">
        <v>59</v>
      </c>
      <c r="G24" s="45">
        <f t="shared" si="16"/>
        <v>88.362777777777779</v>
      </c>
      <c r="H24" s="45">
        <f t="shared" si="17"/>
        <v>1.5422214084303005</v>
      </c>
      <c r="I24" s="45">
        <f t="shared" si="0"/>
        <v>0</v>
      </c>
      <c r="J24" s="41">
        <f t="shared" si="18"/>
        <v>0</v>
      </c>
      <c r="K24" s="41">
        <f t="shared" si="19"/>
        <v>10.178842940950753</v>
      </c>
      <c r="L24" s="16">
        <f t="shared" si="20"/>
        <v>0.29093879675462553</v>
      </c>
      <c r="M24" s="14">
        <v>37.9</v>
      </c>
      <c r="N24" s="17">
        <f t="shared" si="21"/>
        <v>37.9</v>
      </c>
      <c r="O24" s="17">
        <f t="shared" ca="1" si="22"/>
        <v>336.53462544808093</v>
      </c>
      <c r="P24" s="17">
        <f t="shared" ca="1" si="23"/>
        <v>374.43462544808091</v>
      </c>
      <c r="Q24" s="17">
        <f t="shared" ca="1" si="24"/>
        <v>6.5351170475407603</v>
      </c>
      <c r="R24" s="17">
        <f t="shared" ca="1" si="25"/>
        <v>2.5373329440930394</v>
      </c>
      <c r="S24" s="17">
        <f t="shared" ca="1" si="26"/>
        <v>9.857524290985193</v>
      </c>
      <c r="T24" s="14">
        <f t="shared" ca="1" si="27"/>
        <v>1051022.133333744</v>
      </c>
      <c r="U24" s="14">
        <f t="shared" ca="1" si="28"/>
        <v>467849.57848509098</v>
      </c>
      <c r="V24" s="17">
        <f t="shared" si="29"/>
        <v>1279.9355291967545</v>
      </c>
      <c r="W24" s="17">
        <f t="shared" ca="1" si="30"/>
        <v>1278.911235341059</v>
      </c>
      <c r="X24" s="17" t="str">
        <f t="shared" si="31"/>
        <v/>
      </c>
      <c r="Y24" s="17" t="str">
        <f t="shared" si="32"/>
        <v/>
      </c>
      <c r="Z24" s="17" t="str">
        <f t="shared" si="33"/>
        <v/>
      </c>
      <c r="AA24" s="17" t="str">
        <f t="shared" si="34"/>
        <v/>
      </c>
      <c r="AB24" s="17" t="str">
        <f t="shared" si="35"/>
        <v/>
      </c>
      <c r="AC24" s="17" t="str">
        <f t="shared" ca="1" si="36"/>
        <v/>
      </c>
      <c r="AD24" s="17" t="str">
        <f t="shared" si="37"/>
        <v/>
      </c>
      <c r="AE24" s="2" t="e">
        <f t="shared" ca="1" si="38"/>
        <v>#VALUE!</v>
      </c>
      <c r="AF24" s="2" t="e">
        <f t="shared" si="39"/>
        <v>#VALUE!</v>
      </c>
      <c r="AH24" s="2">
        <v>87.04</v>
      </c>
      <c r="AI24" s="2">
        <f t="shared" ca="1" si="40"/>
        <v>7.4</v>
      </c>
      <c r="AJ24" s="2" t="str">
        <f t="shared" ref="AJ24:AJ48" ca="1" si="41">CONCATENATE(AH24,",",AI24)</f>
        <v>87.04,7.4</v>
      </c>
    </row>
    <row r="25" spans="1:36" x14ac:dyDescent="0.25">
      <c r="A25" s="41">
        <v>6</v>
      </c>
      <c r="B25" s="42">
        <v>14.939247685185185</v>
      </c>
      <c r="C25" s="18">
        <v>3.7607523148148148</v>
      </c>
      <c r="D25" s="2">
        <v>33.685000000000002</v>
      </c>
      <c r="E25" s="17">
        <v>2.6182319999999999</v>
      </c>
      <c r="G25" s="45">
        <f t="shared" si="16"/>
        <v>90.258055555555558</v>
      </c>
      <c r="H25" s="45">
        <f t="shared" si="17"/>
        <v>1.5753002458924041</v>
      </c>
      <c r="I25" s="45">
        <f t="shared" si="0"/>
        <v>358.54194444444443</v>
      </c>
      <c r="J25" s="41">
        <f t="shared" si="18"/>
        <v>6.2577374370581467</v>
      </c>
      <c r="K25" s="41">
        <f t="shared" si="19"/>
        <v>33.684658345627263</v>
      </c>
      <c r="L25" s="16">
        <f t="shared" si="20"/>
        <v>-0.15171400187130926</v>
      </c>
      <c r="M25" s="14">
        <v>37.9</v>
      </c>
      <c r="N25" s="17">
        <f t="shared" si="21"/>
        <v>396.4419444444444</v>
      </c>
      <c r="O25" s="17">
        <f t="shared" ca="1" si="22"/>
        <v>336.53462544808093</v>
      </c>
      <c r="P25" s="17">
        <f t="shared" ca="1" si="23"/>
        <v>732.97656989252528</v>
      </c>
      <c r="Q25" s="17">
        <f t="shared" ca="1" si="24"/>
        <v>12.792854484598905</v>
      </c>
      <c r="R25" s="17">
        <f t="shared" ca="1" si="25"/>
        <v>7.5639770706673026</v>
      </c>
      <c r="S25" s="17">
        <f t="shared" ca="1" si="26"/>
        <v>32.824418635157208</v>
      </c>
      <c r="T25" s="14">
        <f t="shared" ca="1" si="27"/>
        <v>1051027.1599778705</v>
      </c>
      <c r="U25" s="14">
        <f t="shared" ca="1" si="28"/>
        <v>467872.54537943518</v>
      </c>
      <c r="V25" s="17">
        <f t="shared" si="29"/>
        <v>1279.4928763981286</v>
      </c>
      <c r="W25" s="17">
        <f t="shared" ca="1" si="30"/>
        <v>1278.4685825424331</v>
      </c>
      <c r="X25" s="17">
        <f t="shared" ca="1" si="31"/>
        <v>1051027.1599778705</v>
      </c>
      <c r="Y25" s="17">
        <f t="shared" ca="1" si="32"/>
        <v>467872.54537943518</v>
      </c>
      <c r="Z25" s="17">
        <f t="shared" ca="1" si="33"/>
        <v>1051027.252609625</v>
      </c>
      <c r="AA25" s="17">
        <f t="shared" ca="1" si="34"/>
        <v>467872.52699180506</v>
      </c>
      <c r="AB25" s="17">
        <f t="shared" ca="1" si="35"/>
        <v>9.4439117301192255E-2</v>
      </c>
      <c r="AC25" s="17">
        <f t="shared" ca="1" si="36"/>
        <v>26.528345994085907</v>
      </c>
      <c r="AD25" s="17">
        <f t="shared" ca="1" si="37"/>
        <v>2.2563483410135632</v>
      </c>
      <c r="AE25" s="2">
        <f t="shared" ca="1" si="38"/>
        <v>87.04</v>
      </c>
      <c r="AF25" s="2">
        <f t="shared" ca="1" si="39"/>
        <v>7.4</v>
      </c>
      <c r="AH25" s="2">
        <v>93.55</v>
      </c>
      <c r="AI25" s="2">
        <f t="shared" ca="1" si="40"/>
        <v>4.84</v>
      </c>
      <c r="AJ25" s="2" t="str">
        <f t="shared" ca="1" si="41"/>
        <v>93.55,4.84</v>
      </c>
    </row>
    <row r="26" spans="1:36" x14ac:dyDescent="0.25">
      <c r="A26" s="41">
        <v>7</v>
      </c>
      <c r="B26" s="42">
        <v>14.900636574074076</v>
      </c>
      <c r="C26" s="18">
        <v>3.8125</v>
      </c>
      <c r="D26" s="2">
        <v>35.671999999999997</v>
      </c>
      <c r="E26" s="17">
        <v>2.6182319999999999</v>
      </c>
      <c r="G26" s="45">
        <f t="shared" si="16"/>
        <v>91.5</v>
      </c>
      <c r="H26" s="45">
        <f t="shared" si="17"/>
        <v>1.5969762655748114</v>
      </c>
      <c r="I26" s="45">
        <f t="shared" si="0"/>
        <v>357.61527777777781</v>
      </c>
      <c r="J26" s="41">
        <f t="shared" si="18"/>
        <v>6.241564052656333</v>
      </c>
      <c r="K26" s="41">
        <f t="shared" si="19"/>
        <v>35.659776096528077</v>
      </c>
      <c r="L26" s="16">
        <f t="shared" si="20"/>
        <v>-0.93378410003844614</v>
      </c>
      <c r="M26" s="14">
        <v>37.9</v>
      </c>
      <c r="N26" s="17">
        <f t="shared" si="21"/>
        <v>395.51527777777778</v>
      </c>
      <c r="O26" s="17">
        <f t="shared" ca="1" si="22"/>
        <v>336.53462544808093</v>
      </c>
      <c r="P26" s="17">
        <f t="shared" ca="1" si="23"/>
        <v>732.04990322585877</v>
      </c>
      <c r="Q26" s="17">
        <f t="shared" ca="1" si="24"/>
        <v>12.776681100197095</v>
      </c>
      <c r="R26" s="17">
        <f t="shared" ca="1" si="25"/>
        <v>7.444461612060711</v>
      </c>
      <c r="S26" s="17">
        <f t="shared" ca="1" si="26"/>
        <v>34.874053715636066</v>
      </c>
      <c r="T26" s="14">
        <f t="shared" ca="1" si="27"/>
        <v>1051027.0404624119</v>
      </c>
      <c r="U26" s="14">
        <f t="shared" ca="1" si="28"/>
        <v>467874.59501451562</v>
      </c>
      <c r="V26" s="17">
        <f t="shared" si="29"/>
        <v>1278.7108062999616</v>
      </c>
      <c r="W26" s="17">
        <f t="shared" ca="1" si="30"/>
        <v>1277.6865124442661</v>
      </c>
      <c r="X26" s="17">
        <f t="shared" ca="1" si="31"/>
        <v>1051027.0404624119</v>
      </c>
      <c r="Y26" s="17">
        <f t="shared" ca="1" si="32"/>
        <v>467874.59501451562</v>
      </c>
      <c r="Z26" s="17">
        <f t="shared" ca="1" si="33"/>
        <v>1051027.6395126886</v>
      </c>
      <c r="AA26" s="17">
        <f t="shared" ca="1" si="34"/>
        <v>467874.47610156797</v>
      </c>
      <c r="AB26" s="17">
        <f t="shared" ca="1" si="35"/>
        <v>0.61073850632683413</v>
      </c>
      <c r="AC26" s="17">
        <f t="shared" ca="1" si="36"/>
        <v>28.515485357216594</v>
      </c>
      <c r="AD26" s="17">
        <f t="shared" ca="1" si="37"/>
        <v>1.4742782428465944</v>
      </c>
      <c r="AE26" s="2">
        <f t="shared" ca="1" si="38"/>
        <v>93.55</v>
      </c>
      <c r="AF26" s="2">
        <f t="shared" ca="1" si="39"/>
        <v>4.84</v>
      </c>
      <c r="AH26" s="2">
        <v>154.01</v>
      </c>
      <c r="AI26" s="2">
        <f t="shared" ca="1" si="40"/>
        <v>4.3</v>
      </c>
      <c r="AJ26" s="2" t="str">
        <f t="shared" ca="1" si="41"/>
        <v>154.01,4.3</v>
      </c>
    </row>
    <row r="27" spans="1:36" x14ac:dyDescent="0.25">
      <c r="A27" s="41">
        <v>8</v>
      </c>
      <c r="B27" s="42">
        <v>14.920393518518518</v>
      </c>
      <c r="C27" s="18">
        <v>3.7501967592592593</v>
      </c>
      <c r="D27" s="2">
        <v>54.097999999999999</v>
      </c>
      <c r="E27" s="17">
        <v>3.71</v>
      </c>
      <c r="F27" s="41" t="s">
        <v>72</v>
      </c>
      <c r="G27" s="45">
        <f t="shared" si="16"/>
        <v>90.004722222222227</v>
      </c>
      <c r="H27" s="45">
        <f t="shared" si="17"/>
        <v>1.5708787451206854</v>
      </c>
      <c r="I27" s="45">
        <f t="shared" si="0"/>
        <v>358.08944444444444</v>
      </c>
      <c r="J27" s="41">
        <f t="shared" si="18"/>
        <v>6.2498398221928726</v>
      </c>
      <c r="K27" s="41">
        <f t="shared" si="19"/>
        <v>54.097999816262082</v>
      </c>
      <c r="L27" s="16">
        <f t="shared" si="20"/>
        <v>-4.4586665834721205E-3</v>
      </c>
      <c r="M27" s="14">
        <v>37.9</v>
      </c>
      <c r="N27" s="17">
        <f t="shared" si="21"/>
        <v>395.98944444444442</v>
      </c>
      <c r="O27" s="17">
        <f t="shared" ca="1" si="22"/>
        <v>336.53462544808093</v>
      </c>
      <c r="P27" s="17">
        <f t="shared" ca="1" si="23"/>
        <v>732.5240698925254</v>
      </c>
      <c r="Q27" s="17">
        <f t="shared" ca="1" si="24"/>
        <v>12.784956869733634</v>
      </c>
      <c r="R27" s="17">
        <f t="shared" ca="1" si="25"/>
        <v>11.731136961054256</v>
      </c>
      <c r="S27" s="17">
        <f t="shared" ca="1" si="26"/>
        <v>52.810737636595064</v>
      </c>
      <c r="T27" s="14">
        <f t="shared" ca="1" si="27"/>
        <v>1051031.3271377611</v>
      </c>
      <c r="U27" s="14">
        <f t="shared" ca="1" si="28"/>
        <v>467892.53169843659</v>
      </c>
      <c r="V27" s="17">
        <f t="shared" si="29"/>
        <v>1278.5483637334164</v>
      </c>
      <c r="W27" s="17">
        <f t="shared" ca="1" si="30"/>
        <v>1277.5240698777209</v>
      </c>
      <c r="X27" s="17">
        <f t="shared" ca="1" si="31"/>
        <v>1051031.3271377611</v>
      </c>
      <c r="Y27" s="17">
        <f t="shared" ca="1" si="32"/>
        <v>467892.53169843659</v>
      </c>
      <c r="Z27" s="17">
        <f t="shared" ca="1" si="33"/>
        <v>1051031.2275182358</v>
      </c>
      <c r="AA27" s="17">
        <f t="shared" ca="1" si="34"/>
        <v>467892.55147315655</v>
      </c>
      <c r="AB27" s="17">
        <f t="shared" ca="1" si="35"/>
        <v>0.10156322838885767</v>
      </c>
      <c r="AC27" s="17">
        <f t="shared" ca="1" si="36"/>
        <v>46.943530339575489</v>
      </c>
      <c r="AD27" s="17">
        <f t="shared" ca="1" si="37"/>
        <v>1.3118356763013708</v>
      </c>
      <c r="AE27" s="2">
        <f t="shared" ca="1" si="38"/>
        <v>154.01</v>
      </c>
      <c r="AF27" s="2">
        <f t="shared" ca="1" si="39"/>
        <v>4.3</v>
      </c>
      <c r="AH27" s="2">
        <v>160.55000000000001</v>
      </c>
      <c r="AI27" s="2">
        <f t="shared" ca="1" si="40"/>
        <v>1.56</v>
      </c>
      <c r="AJ27" s="2" t="str">
        <f t="shared" ca="1" si="41"/>
        <v>160.55,1.56</v>
      </c>
    </row>
    <row r="28" spans="1:36" x14ac:dyDescent="0.25">
      <c r="A28" s="41">
        <v>9</v>
      </c>
      <c r="B28" s="42">
        <v>14.883495370370371</v>
      </c>
      <c r="C28" s="18">
        <v>3.7856712962962962</v>
      </c>
      <c r="D28" s="2">
        <v>56.082999999999998</v>
      </c>
      <c r="E28" s="17">
        <v>3.7124640000000002</v>
      </c>
      <c r="G28" s="45">
        <f t="shared" si="16"/>
        <v>90.856111111111105</v>
      </c>
      <c r="H28" s="45">
        <f t="shared" si="17"/>
        <v>1.5857382844466923</v>
      </c>
      <c r="I28" s="45">
        <f t="shared" si="0"/>
        <v>357.20388888888891</v>
      </c>
      <c r="J28" s="41">
        <f t="shared" si="18"/>
        <v>6.2343839620391011</v>
      </c>
      <c r="K28" s="41">
        <f t="shared" si="19"/>
        <v>56.076739512344574</v>
      </c>
      <c r="L28" s="16">
        <f t="shared" si="20"/>
        <v>-0.83795862943979238</v>
      </c>
      <c r="M28" s="14">
        <v>37.9</v>
      </c>
      <c r="N28" s="17">
        <f t="shared" si="21"/>
        <v>395.10388888888889</v>
      </c>
      <c r="O28" s="17">
        <f t="shared" ca="1" si="22"/>
        <v>336.53462544808093</v>
      </c>
      <c r="P28" s="17">
        <f t="shared" ca="1" si="23"/>
        <v>731.63851433696982</v>
      </c>
      <c r="Q28" s="17">
        <f t="shared" ca="1" si="24"/>
        <v>12.76950100957986</v>
      </c>
      <c r="R28" s="17">
        <f t="shared" ca="1" si="25"/>
        <v>11.312716642507382</v>
      </c>
      <c r="S28" s="17">
        <f t="shared" ca="1" si="26"/>
        <v>54.92379408327217</v>
      </c>
      <c r="T28" s="14">
        <f t="shared" ca="1" si="27"/>
        <v>1051030.9087174423</v>
      </c>
      <c r="U28" s="14">
        <f t="shared" ca="1" si="28"/>
        <v>467894.64475488331</v>
      </c>
      <c r="V28" s="17">
        <f t="shared" si="29"/>
        <v>1277.7123997705603</v>
      </c>
      <c r="W28" s="17">
        <f t="shared" ca="1" si="30"/>
        <v>1276.6881059148648</v>
      </c>
      <c r="X28" s="17">
        <f t="shared" ca="1" si="31"/>
        <v>1051030.9087174423</v>
      </c>
      <c r="Y28" s="17">
        <f t="shared" ca="1" si="32"/>
        <v>467894.64475488331</v>
      </c>
      <c r="Z28" s="17">
        <f t="shared" ca="1" si="33"/>
        <v>1051031.6152020183</v>
      </c>
      <c r="AA28" s="17">
        <f t="shared" ca="1" si="34"/>
        <v>467894.50451596454</v>
      </c>
      <c r="AB28" s="17">
        <f t="shared" ca="1" si="35"/>
        <v>0.7202689847884387</v>
      </c>
      <c r="AC28" s="17">
        <f t="shared" ca="1" si="36"/>
        <v>48.934679486436536</v>
      </c>
      <c r="AD28" s="17">
        <f t="shared" ca="1" si="37"/>
        <v>0.47587171344525814</v>
      </c>
      <c r="AE28" s="2">
        <f t="shared" ca="1" si="38"/>
        <v>160.55000000000001</v>
      </c>
      <c r="AF28" s="2">
        <f t="shared" ca="1" si="39"/>
        <v>1.56</v>
      </c>
      <c r="AH28" s="2">
        <v>177.25</v>
      </c>
      <c r="AI28" s="2">
        <f t="shared" ca="1" si="40"/>
        <v>1.05</v>
      </c>
      <c r="AJ28" s="2" t="str">
        <f t="shared" ca="1" si="41"/>
        <v>177.25,1.05</v>
      </c>
    </row>
    <row r="29" spans="1:36" x14ac:dyDescent="0.25">
      <c r="A29" s="41">
        <v>10</v>
      </c>
      <c r="B29" s="42">
        <v>14.883900462962963</v>
      </c>
      <c r="C29" s="18">
        <v>3.7887731481481484</v>
      </c>
      <c r="D29" s="2">
        <v>61.176000000000002</v>
      </c>
      <c r="E29" s="17">
        <v>3.7124640000000002</v>
      </c>
      <c r="G29" s="45">
        <f t="shared" si="16"/>
        <v>90.930555555555557</v>
      </c>
      <c r="H29" s="45">
        <f t="shared" si="17"/>
        <v>1.5870375851120662</v>
      </c>
      <c r="I29" s="45">
        <f t="shared" si="0"/>
        <v>357.21361111111111</v>
      </c>
      <c r="J29" s="41">
        <f t="shared" si="18"/>
        <v>6.2345536468274885</v>
      </c>
      <c r="K29" s="41">
        <f t="shared" si="19"/>
        <v>61.167931721462402</v>
      </c>
      <c r="L29" s="16">
        <f t="shared" si="20"/>
        <v>-0.99353153876180045</v>
      </c>
      <c r="M29" s="14">
        <v>37.9</v>
      </c>
      <c r="N29" s="17">
        <f t="shared" si="21"/>
        <v>395.11361111111108</v>
      </c>
      <c r="O29" s="17">
        <f t="shared" ca="1" si="22"/>
        <v>336.53462544808093</v>
      </c>
      <c r="P29" s="17">
        <f t="shared" ca="1" si="23"/>
        <v>731.64823655919201</v>
      </c>
      <c r="Q29" s="17">
        <f t="shared" ca="1" si="24"/>
        <v>12.76967069436825</v>
      </c>
      <c r="R29" s="17">
        <f t="shared" ca="1" si="25"/>
        <v>12.349960856936478</v>
      </c>
      <c r="S29" s="17">
        <f t="shared" ca="1" si="26"/>
        <v>59.908215946676492</v>
      </c>
      <c r="T29" s="14">
        <f t="shared" ca="1" si="27"/>
        <v>1051031.9459616567</v>
      </c>
      <c r="U29" s="14">
        <f t="shared" ca="1" si="28"/>
        <v>467899.6291767467</v>
      </c>
      <c r="V29" s="17">
        <f t="shared" si="29"/>
        <v>1277.5568268612383</v>
      </c>
      <c r="W29" s="17">
        <f t="shared" ca="1" si="30"/>
        <v>1276.5325330055427</v>
      </c>
      <c r="X29" s="17">
        <f t="shared" ca="1" si="31"/>
        <v>1051031.9459616567</v>
      </c>
      <c r="Y29" s="17">
        <f t="shared" ca="1" si="32"/>
        <v>467899.6291767467</v>
      </c>
      <c r="Z29" s="17">
        <f t="shared" ca="1" si="33"/>
        <v>1051032.6064349629</v>
      </c>
      <c r="AA29" s="17">
        <f t="shared" ca="1" si="34"/>
        <v>467899.49807117786</v>
      </c>
      <c r="AB29" s="17">
        <f t="shared" ca="1" si="35"/>
        <v>0.67335997681854964</v>
      </c>
      <c r="AC29" s="17">
        <f t="shared" ca="1" si="36"/>
        <v>54.025665286759192</v>
      </c>
      <c r="AD29" s="17">
        <f t="shared" ca="1" si="37"/>
        <v>0.32029880412324019</v>
      </c>
      <c r="AE29" s="2">
        <f t="shared" ca="1" si="38"/>
        <v>177.25</v>
      </c>
      <c r="AF29" s="2">
        <f t="shared" ca="1" si="39"/>
        <v>1.05</v>
      </c>
      <c r="AH29" s="2">
        <v>268.13</v>
      </c>
      <c r="AI29" s="2">
        <f t="shared" ca="1" si="40"/>
        <v>0.72</v>
      </c>
      <c r="AJ29" s="2" t="str">
        <f t="shared" ca="1" si="41"/>
        <v>268.13,0.72</v>
      </c>
    </row>
    <row r="30" spans="1:36" x14ac:dyDescent="0.25">
      <c r="A30" s="41">
        <v>11</v>
      </c>
      <c r="B30" s="42">
        <v>14.893101851851853</v>
      </c>
      <c r="C30" s="18">
        <v>3.7852777777777775</v>
      </c>
      <c r="D30" s="2">
        <v>88.912999999999997</v>
      </c>
      <c r="E30" s="17">
        <v>3.7124640000000002</v>
      </c>
      <c r="F30" s="41" t="s">
        <v>72</v>
      </c>
      <c r="G30" s="45">
        <f t="shared" si="16"/>
        <v>90.846666666666664</v>
      </c>
      <c r="H30" s="45">
        <f t="shared" si="17"/>
        <v>1.5855734477951151</v>
      </c>
      <c r="I30" s="45">
        <f t="shared" si="0"/>
        <v>357.43444444444447</v>
      </c>
      <c r="J30" s="41">
        <f t="shared" si="18"/>
        <v>6.23840791559231</v>
      </c>
      <c r="K30" s="41">
        <f t="shared" si="19"/>
        <v>88.903292508377405</v>
      </c>
      <c r="L30" s="16">
        <f t="shared" si="20"/>
        <v>-1.3138303428849414</v>
      </c>
      <c r="M30" s="14">
        <v>37.9</v>
      </c>
      <c r="N30" s="17">
        <f t="shared" si="21"/>
        <v>395.33444444444444</v>
      </c>
      <c r="O30" s="17">
        <f t="shared" ca="1" si="22"/>
        <v>336.53462544808093</v>
      </c>
      <c r="P30" s="17">
        <f t="shared" ca="1" si="23"/>
        <v>731.86906989252543</v>
      </c>
      <c r="Q30" s="17">
        <f t="shared" ca="1" si="24"/>
        <v>12.77352496313307</v>
      </c>
      <c r="R30" s="17">
        <f t="shared" ca="1" si="25"/>
        <v>18.285266895989384</v>
      </c>
      <c r="S30" s="17">
        <f t="shared" ca="1" si="26"/>
        <v>87.002554177291543</v>
      </c>
      <c r="T30" s="14">
        <f t="shared" ca="1" si="27"/>
        <v>1051037.8812676959</v>
      </c>
      <c r="U30" s="14">
        <f t="shared" ca="1" si="28"/>
        <v>467926.72351497732</v>
      </c>
      <c r="V30" s="17">
        <f t="shared" si="29"/>
        <v>1277.236528057115</v>
      </c>
      <c r="W30" s="17">
        <f t="shared" ca="1" si="30"/>
        <v>1276.2122342014195</v>
      </c>
      <c r="X30" s="17">
        <f t="shared" ca="1" si="31"/>
        <v>1051037.8812676959</v>
      </c>
      <c r="Y30" s="17">
        <f t="shared" ca="1" si="32"/>
        <v>467926.72351497732</v>
      </c>
      <c r="Z30" s="17">
        <f t="shared" ca="1" si="33"/>
        <v>1051038.0058435719</v>
      </c>
      <c r="AA30" s="17">
        <f t="shared" ca="1" si="34"/>
        <v>467926.69878636021</v>
      </c>
      <c r="AB30" s="17">
        <f t="shared" ca="1" si="35"/>
        <v>0.12700650915735989</v>
      </c>
      <c r="AC30" s="17">
        <f t="shared" ca="1" si="36"/>
        <v>81.75710087450372</v>
      </c>
      <c r="AD30" s="17">
        <f t="shared" ca="1" si="37"/>
        <v>0</v>
      </c>
      <c r="AE30" s="2">
        <f t="shared" ca="1" si="38"/>
        <v>268.23</v>
      </c>
      <c r="AF30" s="2">
        <f t="shared" ca="1" si="39"/>
        <v>0</v>
      </c>
      <c r="AH30" s="2">
        <v>268.23</v>
      </c>
      <c r="AI30" s="2">
        <f t="shared" ca="1" si="40"/>
        <v>0</v>
      </c>
      <c r="AJ30" s="2" t="str">
        <f t="shared" ca="1" si="41"/>
        <v>268.23,0</v>
      </c>
    </row>
    <row r="31" spans="1:36" x14ac:dyDescent="0.25">
      <c r="A31" s="41">
        <v>12</v>
      </c>
      <c r="B31" s="42">
        <v>14.893206018518519</v>
      </c>
      <c r="C31" s="18">
        <v>3.7679976851851849</v>
      </c>
      <c r="D31" s="2">
        <v>89.210999999999999</v>
      </c>
      <c r="E31" s="17">
        <v>3.7124640000000002</v>
      </c>
      <c r="F31" s="41"/>
      <c r="G31" s="45">
        <f t="shared" si="16"/>
        <v>90.43194444444444</v>
      </c>
      <c r="H31" s="45">
        <f t="shared" si="17"/>
        <v>1.5783351795361498</v>
      </c>
      <c r="I31" s="45">
        <f t="shared" si="0"/>
        <v>357.43694444444446</v>
      </c>
      <c r="J31" s="41">
        <f t="shared" si="18"/>
        <v>6.2384515488236101</v>
      </c>
      <c r="K31" s="41">
        <f t="shared" si="19"/>
        <v>89.208464889608962</v>
      </c>
      <c r="L31" s="16">
        <f t="shared" si="20"/>
        <v>-0.67254222127989205</v>
      </c>
      <c r="M31" s="14">
        <v>37.9</v>
      </c>
      <c r="N31" s="17">
        <f t="shared" si="21"/>
        <v>395.33694444444444</v>
      </c>
      <c r="O31" s="17">
        <f t="shared" ca="1" si="22"/>
        <v>336.53462544808093</v>
      </c>
      <c r="P31" s="17">
        <f t="shared" ca="1" si="23"/>
        <v>731.87156989252537</v>
      </c>
      <c r="Q31" s="17">
        <f t="shared" ca="1" si="24"/>
        <v>12.77356859636437</v>
      </c>
      <c r="R31" s="17">
        <f t="shared" ca="1" si="25"/>
        <v>18.351842723766971</v>
      </c>
      <c r="S31" s="17">
        <f t="shared" ca="1" si="26"/>
        <v>87.300401354190328</v>
      </c>
      <c r="T31" s="14">
        <f t="shared" ca="1" si="27"/>
        <v>1051037.9478435237</v>
      </c>
      <c r="U31" s="14">
        <f t="shared" ca="1" si="28"/>
        <v>467927.02136215422</v>
      </c>
      <c r="V31" s="17">
        <f t="shared" si="29"/>
        <v>1277.8778161787202</v>
      </c>
      <c r="W31" s="17">
        <f t="shared" ca="1" si="30"/>
        <v>1276.8535223230247</v>
      </c>
      <c r="X31" s="17">
        <f t="shared" ca="1" si="31"/>
        <v>1051037.9478435237</v>
      </c>
      <c r="Y31" s="17">
        <f t="shared" ca="1" si="32"/>
        <v>467927.02136215422</v>
      </c>
      <c r="Z31" s="17">
        <f t="shared" ca="1" si="33"/>
        <v>1051038.065249484</v>
      </c>
      <c r="AA31" s="17">
        <f t="shared" ca="1" si="34"/>
        <v>467926.99805678334</v>
      </c>
      <c r="AB31" s="17">
        <f t="shared" ca="1" si="35"/>
        <v>0.11969669934606185</v>
      </c>
      <c r="AC31" s="17">
        <f t="shared" ca="1" si="36"/>
        <v>82.06221044262935</v>
      </c>
      <c r="AD31" s="17">
        <f t="shared" ca="1" si="37"/>
        <v>0.64128812160515736</v>
      </c>
      <c r="AE31" s="2">
        <f t="shared" ca="1" si="38"/>
        <v>269.23</v>
      </c>
      <c r="AF31" s="2">
        <f t="shared" ca="1" si="39"/>
        <v>2.1</v>
      </c>
      <c r="AG31" s="2" t="s">
        <v>230</v>
      </c>
      <c r="AH31" s="2">
        <v>269.23</v>
      </c>
      <c r="AI31" s="2">
        <f t="shared" ca="1" si="40"/>
        <v>2.1</v>
      </c>
      <c r="AJ31" s="2" t="str">
        <f t="shared" ca="1" si="41"/>
        <v>269.23,2.1</v>
      </c>
    </row>
    <row r="32" spans="1:36" x14ac:dyDescent="0.25">
      <c r="A32" s="41">
        <v>13</v>
      </c>
      <c r="B32" s="42">
        <v>14.872511574074075</v>
      </c>
      <c r="C32" s="18">
        <v>3.7432291666666671</v>
      </c>
      <c r="D32" s="2">
        <v>90.22</v>
      </c>
      <c r="E32" s="17">
        <v>3.7124640000000002</v>
      </c>
      <c r="G32" s="45">
        <f t="shared" si="16"/>
        <v>89.837500000000006</v>
      </c>
      <c r="H32" s="45">
        <f t="shared" si="17"/>
        <v>1.5679601667604059</v>
      </c>
      <c r="I32" s="45">
        <f t="shared" si="0"/>
        <v>356.94027777777779</v>
      </c>
      <c r="J32" s="41">
        <f t="shared" si="18"/>
        <v>6.2297830802053715</v>
      </c>
      <c r="K32" s="41">
        <f t="shared" si="19"/>
        <v>90.219637144256453</v>
      </c>
      <c r="L32" s="16">
        <f t="shared" si="20"/>
        <v>0.25587801527267029</v>
      </c>
      <c r="M32" s="14">
        <v>37.9</v>
      </c>
      <c r="N32" s="17">
        <f t="shared" si="21"/>
        <v>394.84027777777777</v>
      </c>
      <c r="O32" s="17">
        <f t="shared" ca="1" si="22"/>
        <v>336.53462544808093</v>
      </c>
      <c r="P32" s="17">
        <f t="shared" ca="1" si="23"/>
        <v>731.3749032258587</v>
      </c>
      <c r="Q32" s="17">
        <f t="shared" ca="1" si="24"/>
        <v>12.764900127746131</v>
      </c>
      <c r="R32" s="17">
        <f t="shared" ca="1" si="25"/>
        <v>17.793833338262449</v>
      </c>
      <c r="S32" s="17">
        <f t="shared" ca="1" si="26"/>
        <v>88.447512240715056</v>
      </c>
      <c r="T32" s="14">
        <f t="shared" ca="1" si="27"/>
        <v>1051037.3898341381</v>
      </c>
      <c r="U32" s="14">
        <f t="shared" ca="1" si="28"/>
        <v>467928.16847304074</v>
      </c>
      <c r="V32" s="17">
        <f t="shared" si="29"/>
        <v>1278.8062364152727</v>
      </c>
      <c r="W32" s="17">
        <f t="shared" ca="1" si="30"/>
        <v>1277.7819425595771</v>
      </c>
      <c r="X32" s="17">
        <f t="shared" ca="1" si="31"/>
        <v>1051037.3898341381</v>
      </c>
      <c r="Y32" s="17">
        <f t="shared" ca="1" si="32"/>
        <v>467928.16847304074</v>
      </c>
      <c r="Z32" s="17">
        <f t="shared" ca="1" si="33"/>
        <v>1051038.2631678174</v>
      </c>
      <c r="AA32" s="17">
        <f t="shared" ca="1" si="34"/>
        <v>467927.99511416536</v>
      </c>
      <c r="AB32" s="17">
        <f t="shared" ca="1" si="35"/>
        <v>0.89037352557131888</v>
      </c>
      <c r="AC32" s="17">
        <f t="shared" ca="1" si="36"/>
        <v>83.078721677053167</v>
      </c>
      <c r="AD32" s="17">
        <f t="shared" ca="1" si="37"/>
        <v>1.5697083581576408</v>
      </c>
      <c r="AE32" s="2">
        <f t="shared" ca="1" si="38"/>
        <v>272.57</v>
      </c>
      <c r="AF32" s="2">
        <f t="shared" ca="1" si="39"/>
        <v>5.15</v>
      </c>
      <c r="AH32" s="2">
        <v>269.91000000000003</v>
      </c>
      <c r="AI32" s="2">
        <f t="shared" ca="1" si="40"/>
        <v>1.34</v>
      </c>
      <c r="AJ32" s="2" t="str">
        <f t="shared" ca="1" si="41"/>
        <v>269.91,1.34</v>
      </c>
    </row>
    <row r="33" spans="1:36" x14ac:dyDescent="0.25">
      <c r="A33" s="41">
        <v>14</v>
      </c>
      <c r="B33" s="42">
        <v>14.867893518518519</v>
      </c>
      <c r="C33" s="18">
        <v>3.779398148148148</v>
      </c>
      <c r="D33" s="2">
        <v>88.873000000000005</v>
      </c>
      <c r="E33" s="17">
        <v>3.7124640000000002</v>
      </c>
      <c r="G33" s="45">
        <f t="shared" si="16"/>
        <v>90.705555555555549</v>
      </c>
      <c r="H33" s="45">
        <f t="shared" si="17"/>
        <v>1.5831105942950787</v>
      </c>
      <c r="I33" s="45">
        <f t="shared" si="0"/>
        <v>356.82944444444445</v>
      </c>
      <c r="J33" s="41">
        <f t="shared" si="18"/>
        <v>6.2278486736177436</v>
      </c>
      <c r="K33" s="41">
        <f t="shared" si="19"/>
        <v>88.866261681675454</v>
      </c>
      <c r="L33" s="16">
        <f t="shared" si="20"/>
        <v>-1.0943782362524244</v>
      </c>
      <c r="M33" s="14">
        <v>37.9</v>
      </c>
      <c r="N33" s="17">
        <f t="shared" si="21"/>
        <v>394.72944444444443</v>
      </c>
      <c r="O33" s="17">
        <f t="shared" ca="1" si="22"/>
        <v>336.53462544808093</v>
      </c>
      <c r="P33" s="17">
        <f t="shared" ca="1" si="23"/>
        <v>731.26406989252541</v>
      </c>
      <c r="Q33" s="17">
        <f t="shared" ca="1" si="24"/>
        <v>12.762965721158505</v>
      </c>
      <c r="R33" s="17">
        <f t="shared" ca="1" si="25"/>
        <v>17.358350299114942</v>
      </c>
      <c r="S33" s="17">
        <f t="shared" ca="1" si="26"/>
        <v>87.154461389932507</v>
      </c>
      <c r="T33" s="14">
        <f t="shared" ca="1" si="27"/>
        <v>1051036.954351099</v>
      </c>
      <c r="U33" s="14">
        <f t="shared" ca="1" si="28"/>
        <v>467926.87542218994</v>
      </c>
      <c r="V33" s="17">
        <f t="shared" si="29"/>
        <v>1277.4559801637477</v>
      </c>
      <c r="W33" s="17">
        <f t="shared" ca="1" si="30"/>
        <v>1276.4316863080521</v>
      </c>
      <c r="X33" s="17">
        <f t="shared" ca="1" si="31"/>
        <v>1051036.954351099</v>
      </c>
      <c r="Y33" s="17">
        <f t="shared" ca="1" si="32"/>
        <v>467926.87542218994</v>
      </c>
      <c r="Z33" s="17">
        <f t="shared" ca="1" si="33"/>
        <v>1051037.9997154907</v>
      </c>
      <c r="AA33" s="17">
        <f t="shared" ca="1" si="34"/>
        <v>467926.66791479662</v>
      </c>
      <c r="AB33" s="17">
        <f t="shared" ca="1" si="35"/>
        <v>1.0657607751449232</v>
      </c>
      <c r="AC33" s="17">
        <f t="shared" ca="1" si="36"/>
        <v>81.725626967584233</v>
      </c>
      <c r="AD33" s="17">
        <f t="shared" ca="1" si="37"/>
        <v>0.21945210663261605</v>
      </c>
      <c r="AE33" s="2">
        <f t="shared" ca="1" si="38"/>
        <v>268.13</v>
      </c>
      <c r="AF33" s="2">
        <f t="shared" ca="1" si="39"/>
        <v>0.72</v>
      </c>
      <c r="AH33" s="2">
        <v>270.39</v>
      </c>
      <c r="AI33" s="2">
        <f t="shared" ca="1" si="40"/>
        <v>2.87</v>
      </c>
      <c r="AJ33" s="2" t="str">
        <f t="shared" ca="1" si="41"/>
        <v>270.39,2.87</v>
      </c>
    </row>
    <row r="34" spans="1:36" x14ac:dyDescent="0.25">
      <c r="A34" s="41">
        <v>15</v>
      </c>
      <c r="B34" s="42">
        <v>14.871307870370371</v>
      </c>
      <c r="C34" s="18">
        <v>3.7741898148148145</v>
      </c>
      <c r="D34" s="2">
        <v>89.415000000000006</v>
      </c>
      <c r="E34" s="17">
        <v>3.7124640000000002</v>
      </c>
      <c r="G34" s="45">
        <f t="shared" si="16"/>
        <v>90.580555555555549</v>
      </c>
      <c r="H34" s="45">
        <f t="shared" si="17"/>
        <v>1.5809289327300857</v>
      </c>
      <c r="I34" s="45">
        <f t="shared" si="0"/>
        <v>356.91138888888889</v>
      </c>
      <c r="J34" s="41">
        <f t="shared" si="18"/>
        <v>6.2292788739770169</v>
      </c>
      <c r="K34" s="41">
        <f t="shared" si="19"/>
        <v>89.410409933523383</v>
      </c>
      <c r="L34" s="16">
        <f t="shared" si="20"/>
        <v>-0.90599145653026891</v>
      </c>
      <c r="M34" s="14">
        <v>37.9</v>
      </c>
      <c r="N34" s="17">
        <f t="shared" si="21"/>
        <v>394.81138888888887</v>
      </c>
      <c r="O34" s="17">
        <f t="shared" ca="1" si="22"/>
        <v>336.53462544808093</v>
      </c>
      <c r="P34" s="17">
        <f t="shared" ca="1" si="23"/>
        <v>731.3460143369698</v>
      </c>
      <c r="Q34" s="17">
        <f t="shared" ca="1" si="24"/>
        <v>12.764395921517778</v>
      </c>
      <c r="R34" s="17">
        <f t="shared" ca="1" si="25"/>
        <v>17.590033097871281</v>
      </c>
      <c r="S34" s="17">
        <f t="shared" ca="1" si="26"/>
        <v>87.663060293925909</v>
      </c>
      <c r="T34" s="14">
        <f t="shared" ca="1" si="27"/>
        <v>1051037.1860338978</v>
      </c>
      <c r="U34" s="14">
        <f t="shared" ca="1" si="28"/>
        <v>467927.38402109395</v>
      </c>
      <c r="V34" s="17">
        <f t="shared" si="29"/>
        <v>1277.6443669434698</v>
      </c>
      <c r="W34" s="17">
        <f t="shared" ca="1" si="30"/>
        <v>1276.6200730877742</v>
      </c>
      <c r="X34" s="17">
        <f t="shared" ca="1" si="31"/>
        <v>1051037.1860338978</v>
      </c>
      <c r="Y34" s="17">
        <f t="shared" ca="1" si="32"/>
        <v>467927.38402109395</v>
      </c>
      <c r="Z34" s="17">
        <f t="shared" ca="1" si="33"/>
        <v>1051038.1056293221</v>
      </c>
      <c r="AA34" s="17">
        <f t="shared" ca="1" si="34"/>
        <v>467927.20147914905</v>
      </c>
      <c r="AB34" s="17">
        <f t="shared" ca="1" si="35"/>
        <v>0.93753789580809566</v>
      </c>
      <c r="AC34" s="17">
        <f t="shared" ca="1" si="36"/>
        <v>82.269601836363563</v>
      </c>
      <c r="AD34" s="17">
        <f t="shared" ca="1" si="37"/>
        <v>0.40783888635473886</v>
      </c>
      <c r="AE34" s="2">
        <f t="shared" ca="1" si="38"/>
        <v>269.91000000000003</v>
      </c>
      <c r="AF34" s="2">
        <f t="shared" ca="1" si="39"/>
        <v>1.34</v>
      </c>
      <c r="AH34" s="2">
        <v>271.45999999999998</v>
      </c>
      <c r="AI34" s="2">
        <f t="shared" ca="1" si="40"/>
        <v>4.51</v>
      </c>
      <c r="AJ34" s="2" t="str">
        <f t="shared" ca="1" si="41"/>
        <v>271.46,4.51</v>
      </c>
    </row>
    <row r="35" spans="1:36" x14ac:dyDescent="0.25">
      <c r="A35" s="41">
        <v>16</v>
      </c>
      <c r="B35" s="42">
        <v>14.871817129629628</v>
      </c>
      <c r="C35" s="18">
        <v>3.7617013888888891</v>
      </c>
      <c r="D35" s="2">
        <v>89.555999999999997</v>
      </c>
      <c r="E35" s="17">
        <v>3.7124640000000002</v>
      </c>
      <c r="G35" s="45">
        <f t="shared" si="16"/>
        <v>90.280833333333334</v>
      </c>
      <c r="H35" s="45">
        <f t="shared" si="17"/>
        <v>1.575697793110914</v>
      </c>
      <c r="I35" s="45">
        <f t="shared" si="0"/>
        <v>356.92361111111109</v>
      </c>
      <c r="J35" s="41">
        <f t="shared" si="18"/>
        <v>6.2294921919967052</v>
      </c>
      <c r="K35" s="41">
        <f t="shared" si="19"/>
        <v>89.554924238822181</v>
      </c>
      <c r="L35" s="16">
        <f t="shared" si="20"/>
        <v>-0.43895395979344892</v>
      </c>
      <c r="M35" s="14">
        <v>37.9</v>
      </c>
      <c r="N35" s="17">
        <f t="shared" si="21"/>
        <v>394.82361111111106</v>
      </c>
      <c r="O35" s="17">
        <f t="shared" ca="1" si="22"/>
        <v>336.53462544808093</v>
      </c>
      <c r="P35" s="17">
        <f t="shared" ca="1" si="23"/>
        <v>731.35823655919194</v>
      </c>
      <c r="Q35" s="17">
        <f t="shared" ca="1" si="24"/>
        <v>12.764609239537464</v>
      </c>
      <c r="R35" s="17">
        <f t="shared" ca="1" si="25"/>
        <v>17.63719385392552</v>
      </c>
      <c r="S35" s="17">
        <f t="shared" ca="1" si="26"/>
        <v>87.800990019362715</v>
      </c>
      <c r="T35" s="14">
        <f t="shared" ca="1" si="27"/>
        <v>1051037.2331946539</v>
      </c>
      <c r="U35" s="14">
        <f t="shared" ca="1" si="28"/>
        <v>467927.52195081935</v>
      </c>
      <c r="V35" s="17">
        <f t="shared" si="29"/>
        <v>1278.1114044402066</v>
      </c>
      <c r="W35" s="17">
        <f t="shared" ca="1" si="30"/>
        <v>1277.087110584511</v>
      </c>
      <c r="X35" s="17">
        <f t="shared" ca="1" si="31"/>
        <v>1051037.2331946539</v>
      </c>
      <c r="Y35" s="17">
        <f t="shared" ca="1" si="32"/>
        <v>467927.52195081935</v>
      </c>
      <c r="Z35" s="17">
        <f t="shared" ca="1" si="33"/>
        <v>1051038.1337586115</v>
      </c>
      <c r="AA35" s="17">
        <f t="shared" ca="1" si="34"/>
        <v>467927.34318666719</v>
      </c>
      <c r="AB35" s="17">
        <f t="shared" ca="1" si="35"/>
        <v>0.91813510111061303</v>
      </c>
      <c r="AC35" s="17">
        <f t="shared" ca="1" si="36"/>
        <v>82.414074247634872</v>
      </c>
      <c r="AD35" s="17">
        <f t="shared" ca="1" si="37"/>
        <v>0.87487638309153226</v>
      </c>
      <c r="AE35" s="2">
        <f t="shared" ca="1" si="38"/>
        <v>270.39</v>
      </c>
      <c r="AF35" s="2">
        <f t="shared" ca="1" si="39"/>
        <v>2.87</v>
      </c>
      <c r="AH35" s="2">
        <v>272.57</v>
      </c>
      <c r="AI35" s="2">
        <f t="shared" ca="1" si="40"/>
        <v>5.15</v>
      </c>
      <c r="AJ35" s="2" t="str">
        <f t="shared" ca="1" si="41"/>
        <v>272.57,5.15</v>
      </c>
    </row>
    <row r="36" spans="1:36" x14ac:dyDescent="0.25">
      <c r="A36" s="41">
        <v>17</v>
      </c>
      <c r="B36" s="42">
        <v>14.873923611111111</v>
      </c>
      <c r="C36" s="18">
        <v>3.7484143518518516</v>
      </c>
      <c r="D36" s="2">
        <v>89.882999999999996</v>
      </c>
      <c r="E36" s="17">
        <v>3.7124640000000002</v>
      </c>
      <c r="G36" s="45">
        <f t="shared" si="16"/>
        <v>89.961944444444441</v>
      </c>
      <c r="H36" s="45">
        <f t="shared" si="17"/>
        <v>1.5701321320517765</v>
      </c>
      <c r="I36" s="45">
        <f t="shared" si="0"/>
        <v>356.97416666666669</v>
      </c>
      <c r="J36" s="41">
        <f t="shared" si="18"/>
        <v>6.2303745528963255</v>
      </c>
      <c r="K36" s="41">
        <f t="shared" si="19"/>
        <v>89.882980173848722</v>
      </c>
      <c r="L36" s="16">
        <f t="shared" si="20"/>
        <v>5.9699811706391749E-2</v>
      </c>
      <c r="M36" s="14">
        <v>37.9</v>
      </c>
      <c r="N36" s="17">
        <f t="shared" si="21"/>
        <v>394.87416666666667</v>
      </c>
      <c r="O36" s="17">
        <f t="shared" ca="1" si="22"/>
        <v>336.53462544808093</v>
      </c>
      <c r="P36" s="17">
        <f t="shared" ca="1" si="23"/>
        <v>731.4087921147476</v>
      </c>
      <c r="Q36" s="17">
        <f t="shared" ca="1" si="24"/>
        <v>12.765491600437086</v>
      </c>
      <c r="R36" s="17">
        <f t="shared" ca="1" si="25"/>
        <v>17.779551148915022</v>
      </c>
      <c r="S36" s="17">
        <f t="shared" ca="1" si="26"/>
        <v>88.10696729473554</v>
      </c>
      <c r="T36" s="14">
        <f t="shared" ca="1" si="27"/>
        <v>1051037.3755519488</v>
      </c>
      <c r="U36" s="14">
        <f t="shared" ca="1" si="28"/>
        <v>467927.82792809478</v>
      </c>
      <c r="V36" s="17">
        <f t="shared" si="29"/>
        <v>1278.6100582117065</v>
      </c>
      <c r="W36" s="17">
        <f t="shared" ca="1" si="30"/>
        <v>1277.5857643560109</v>
      </c>
      <c r="X36" s="17">
        <f t="shared" ca="1" si="31"/>
        <v>1051037.3755519488</v>
      </c>
      <c r="Y36" s="17">
        <f t="shared" ca="1" si="32"/>
        <v>467927.82792809478</v>
      </c>
      <c r="Z36" s="17">
        <f t="shared" ca="1" si="33"/>
        <v>1051038.1975900233</v>
      </c>
      <c r="AA36" s="17">
        <f t="shared" ca="1" si="34"/>
        <v>467927.66475152224</v>
      </c>
      <c r="AB36" s="17">
        <f t="shared" ca="1" si="35"/>
        <v>0.83807707863544678</v>
      </c>
      <c r="AC36" s="17">
        <f t="shared" ca="1" si="36"/>
        <v>82.741913240334313</v>
      </c>
      <c r="AD36" s="17">
        <f t="shared" ca="1" si="37"/>
        <v>1.3735301545914353</v>
      </c>
      <c r="AE36" s="2">
        <f t="shared" ca="1" si="38"/>
        <v>271.45999999999998</v>
      </c>
      <c r="AF36" s="2">
        <f t="shared" ca="1" si="39"/>
        <v>4.51</v>
      </c>
      <c r="AH36" s="2">
        <v>329.16</v>
      </c>
      <c r="AI36" s="2">
        <f t="shared" ca="1" si="40"/>
        <v>5.01</v>
      </c>
      <c r="AJ36" s="2" t="str">
        <f t="shared" ca="1" si="41"/>
        <v>329.16,5.01</v>
      </c>
    </row>
    <row r="37" spans="1:36" x14ac:dyDescent="0.25">
      <c r="A37" s="41">
        <v>18</v>
      </c>
      <c r="B37" s="42">
        <v>14.886493055555555</v>
      </c>
      <c r="C37" s="18">
        <v>3.7452546296296294</v>
      </c>
      <c r="D37" s="2">
        <v>107.47199999999999</v>
      </c>
      <c r="E37" s="17">
        <v>3.7124640000000002</v>
      </c>
      <c r="G37" s="45">
        <f t="shared" si="16"/>
        <v>89.886111111111106</v>
      </c>
      <c r="H37" s="45">
        <f t="shared" si="17"/>
        <v>1.5688085907023475</v>
      </c>
      <c r="I37" s="45">
        <f t="shared" si="0"/>
        <v>357.27583333333331</v>
      </c>
      <c r="J37" s="41">
        <f t="shared" si="18"/>
        <v>6.235639629473174</v>
      </c>
      <c r="K37" s="41">
        <f t="shared" si="19"/>
        <v>107.47178768404115</v>
      </c>
      <c r="L37" s="16">
        <f t="shared" si="20"/>
        <v>0.21362583266239316</v>
      </c>
      <c r="M37" s="14">
        <v>37.9</v>
      </c>
      <c r="N37" s="17">
        <f t="shared" si="21"/>
        <v>395.17583333333329</v>
      </c>
      <c r="O37" s="17">
        <f t="shared" ca="1" si="22"/>
        <v>336.53462544808093</v>
      </c>
      <c r="P37" s="17">
        <f t="shared" ca="1" si="23"/>
        <v>731.71045878141422</v>
      </c>
      <c r="Q37" s="17">
        <f t="shared" ca="1" si="24"/>
        <v>12.770756677013933</v>
      </c>
      <c r="R37" s="17">
        <f t="shared" ca="1" si="25"/>
        <v>21.813123101711028</v>
      </c>
      <c r="S37" s="17">
        <f t="shared" ca="1" si="26"/>
        <v>105.23484598056491</v>
      </c>
      <c r="T37" s="14">
        <f t="shared" ca="1" si="27"/>
        <v>1051041.4091239015</v>
      </c>
      <c r="U37" s="14">
        <f t="shared" ca="1" si="28"/>
        <v>467944.95580678055</v>
      </c>
      <c r="V37" s="17">
        <f t="shared" si="29"/>
        <v>1278.7639842326626</v>
      </c>
      <c r="W37" s="17">
        <f t="shared" ca="1" si="30"/>
        <v>1277.739690376967</v>
      </c>
      <c r="X37" s="17">
        <f t="shared" ca="1" si="31"/>
        <v>1051041.4091239015</v>
      </c>
      <c r="Y37" s="17">
        <f t="shared" ca="1" si="32"/>
        <v>467944.95580678055</v>
      </c>
      <c r="Z37" s="17">
        <f t="shared" ca="1" si="33"/>
        <v>1051041.6215370928</v>
      </c>
      <c r="AA37" s="17">
        <f t="shared" ca="1" si="34"/>
        <v>467944.91364224162</v>
      </c>
      <c r="AB37" s="17">
        <f t="shared" ca="1" si="35"/>
        <v>0.21655764173526321</v>
      </c>
      <c r="AC37" s="17">
        <f t="shared" ca="1" si="36"/>
        <v>100.3273516648988</v>
      </c>
      <c r="AD37" s="17">
        <f t="shared" ca="1" si="37"/>
        <v>1.5274561755475133</v>
      </c>
      <c r="AE37" s="2">
        <f t="shared" ca="1" si="38"/>
        <v>329.16</v>
      </c>
      <c r="AF37" s="2">
        <f t="shared" ca="1" si="39"/>
        <v>5.01</v>
      </c>
      <c r="AH37" s="2">
        <v>376.5</v>
      </c>
      <c r="AI37" s="2">
        <f t="shared" ca="1" si="40"/>
        <v>3.96</v>
      </c>
      <c r="AJ37" s="2" t="str">
        <f t="shared" ca="1" si="41"/>
        <v>376.5,3.96</v>
      </c>
    </row>
    <row r="38" spans="1:36" x14ac:dyDescent="0.25">
      <c r="A38" s="41">
        <v>19</v>
      </c>
      <c r="B38" s="42">
        <v>14.88355324074074</v>
      </c>
      <c r="C38" s="18">
        <v>3.7520833333333332</v>
      </c>
      <c r="D38" s="2">
        <v>121.901</v>
      </c>
      <c r="E38" s="17">
        <v>3.7124640000000002</v>
      </c>
      <c r="G38" s="45">
        <f t="shared" si="16"/>
        <v>90.05</v>
      </c>
      <c r="H38" s="45">
        <f t="shared" si="17"/>
        <v>1.5716689914208937</v>
      </c>
      <c r="I38" s="45">
        <f t="shared" si="0"/>
        <v>357.20527777777778</v>
      </c>
      <c r="J38" s="41">
        <f t="shared" si="18"/>
        <v>6.2344082027231558</v>
      </c>
      <c r="K38" s="41">
        <f t="shared" si="19"/>
        <v>121.90095358354283</v>
      </c>
      <c r="L38" s="16">
        <f t="shared" si="20"/>
        <v>-0.10637867707166587</v>
      </c>
      <c r="M38" s="14">
        <v>37.9</v>
      </c>
      <c r="N38" s="17">
        <f t="shared" si="21"/>
        <v>395.10527777777776</v>
      </c>
      <c r="O38" s="17">
        <f t="shared" ca="1" si="22"/>
        <v>336.53462544808093</v>
      </c>
      <c r="P38" s="17">
        <f t="shared" ca="1" si="23"/>
        <v>731.63990322585869</v>
      </c>
      <c r="Q38" s="17">
        <f t="shared" ca="1" si="24"/>
        <v>12.769525250263916</v>
      </c>
      <c r="R38" s="17">
        <f t="shared" ca="1" si="25"/>
        <v>24.59474740654721</v>
      </c>
      <c r="S38" s="17">
        <f t="shared" ca="1" si="26"/>
        <v>119.39405715773798</v>
      </c>
      <c r="T38" s="14">
        <f t="shared" ca="1" si="27"/>
        <v>1051044.1907482066</v>
      </c>
      <c r="U38" s="14">
        <f t="shared" ca="1" si="28"/>
        <v>467959.11501795775</v>
      </c>
      <c r="V38" s="17">
        <f t="shared" si="29"/>
        <v>1278.4439797229284</v>
      </c>
      <c r="W38" s="17">
        <f t="shared" ca="1" si="30"/>
        <v>1277.4196858672328</v>
      </c>
      <c r="X38" s="17">
        <f t="shared" ca="1" si="31"/>
        <v>1051044.1907482066</v>
      </c>
      <c r="Y38" s="17">
        <f t="shared" ca="1" si="32"/>
        <v>467959.11501795775</v>
      </c>
      <c r="Z38" s="17">
        <f t="shared" ca="1" si="33"/>
        <v>1051044.4310753054</v>
      </c>
      <c r="AA38" s="17">
        <f t="shared" ca="1" si="34"/>
        <v>467959.0673124399</v>
      </c>
      <c r="AB38" s="17">
        <f t="shared" ca="1" si="35"/>
        <v>0.24501618494645463</v>
      </c>
      <c r="AC38" s="17">
        <f t="shared" ca="1" si="36"/>
        <v>114.75717789565715</v>
      </c>
      <c r="AD38" s="17">
        <f t="shared" ca="1" si="37"/>
        <v>1.2074516658133234</v>
      </c>
      <c r="AE38" s="2">
        <f t="shared" ca="1" si="38"/>
        <v>376.5</v>
      </c>
      <c r="AF38" s="2">
        <f t="shared" ca="1" si="39"/>
        <v>3.96</v>
      </c>
      <c r="AH38" s="2">
        <v>381.05</v>
      </c>
      <c r="AI38" s="2">
        <f t="shared" ca="1" si="40"/>
        <v>2.71</v>
      </c>
      <c r="AJ38" s="2" t="str">
        <f t="shared" ca="1" si="41"/>
        <v>381.05,2.71</v>
      </c>
    </row>
    <row r="39" spans="1:36" x14ac:dyDescent="0.25">
      <c r="A39" s="41">
        <v>20</v>
      </c>
      <c r="B39" s="42">
        <v>14.885092592592592</v>
      </c>
      <c r="C39" s="18">
        <v>3.7594328703703703</v>
      </c>
      <c r="D39" s="2">
        <v>123.289</v>
      </c>
      <c r="E39" s="17">
        <v>3.7124640000000002</v>
      </c>
      <c r="G39" s="45">
        <f t="shared" si="16"/>
        <v>90.226388888888891</v>
      </c>
      <c r="H39" s="45">
        <f t="shared" si="17"/>
        <v>1.5747475582959394</v>
      </c>
      <c r="I39" s="45">
        <f t="shared" si="0"/>
        <v>357.24222222222221</v>
      </c>
      <c r="J39" s="41">
        <f t="shared" si="18"/>
        <v>6.2350530049190311</v>
      </c>
      <c r="K39" s="41">
        <f t="shared" si="19"/>
        <v>123.28803759311677</v>
      </c>
      <c r="L39" s="16">
        <f t="shared" si="20"/>
        <v>-0.48714211296726945</v>
      </c>
      <c r="M39" s="14">
        <v>37.9</v>
      </c>
      <c r="N39" s="17">
        <f t="shared" si="21"/>
        <v>395.14222222222219</v>
      </c>
      <c r="O39" s="17">
        <f t="shared" ca="1" si="22"/>
        <v>336.53462544808093</v>
      </c>
      <c r="P39" s="17">
        <f t="shared" ca="1" si="23"/>
        <v>731.67684767030312</v>
      </c>
      <c r="Q39" s="17">
        <f t="shared" ca="1" si="24"/>
        <v>12.770170052459791</v>
      </c>
      <c r="R39" s="17">
        <f t="shared" ca="1" si="25"/>
        <v>24.952461976956926</v>
      </c>
      <c r="S39" s="17">
        <f t="shared" ca="1" si="26"/>
        <v>120.73655144507936</v>
      </c>
      <c r="T39" s="14">
        <f t="shared" ca="1" si="27"/>
        <v>1051044.5484627769</v>
      </c>
      <c r="U39" s="14">
        <f t="shared" ca="1" si="28"/>
        <v>467960.45751224511</v>
      </c>
      <c r="V39" s="17">
        <f t="shared" si="29"/>
        <v>1278.0632162870327</v>
      </c>
      <c r="W39" s="17">
        <f t="shared" ca="1" si="30"/>
        <v>1277.0389224313371</v>
      </c>
      <c r="X39" s="17">
        <f t="shared" ca="1" si="31"/>
        <v>1051044.5484627769</v>
      </c>
      <c r="Y39" s="17">
        <f t="shared" ca="1" si="32"/>
        <v>467960.45751224511</v>
      </c>
      <c r="Z39" s="17">
        <f t="shared" ca="1" si="33"/>
        <v>1051044.7010220462</v>
      </c>
      <c r="AA39" s="17">
        <f t="shared" ca="1" si="34"/>
        <v>467960.42722885683</v>
      </c>
      <c r="AB39" s="17">
        <f t="shared" ca="1" si="35"/>
        <v>0.15553589370366896</v>
      </c>
      <c r="AC39" s="17">
        <f t="shared" ca="1" si="36"/>
        <v>116.14362800433372</v>
      </c>
      <c r="AD39" s="17">
        <f t="shared" ca="1" si="37"/>
        <v>0.82668822991763591</v>
      </c>
      <c r="AE39" s="2">
        <f t="shared" ca="1" si="38"/>
        <v>381.05</v>
      </c>
      <c r="AF39" s="2">
        <f t="shared" ca="1" si="39"/>
        <v>2.71</v>
      </c>
      <c r="AH39" s="2">
        <v>381.99</v>
      </c>
      <c r="AI39" s="2">
        <f t="shared" ca="1" si="40"/>
        <v>2.11</v>
      </c>
      <c r="AJ39" s="2" t="str">
        <f t="shared" ca="1" si="41"/>
        <v>381.99,2.11</v>
      </c>
    </row>
    <row r="40" spans="1:36" x14ac:dyDescent="0.25">
      <c r="A40" s="41">
        <v>21</v>
      </c>
      <c r="B40" s="42">
        <v>14.885324074074076</v>
      </c>
      <c r="C40" s="18">
        <v>3.7629745370370369</v>
      </c>
      <c r="D40" s="2">
        <v>123.578</v>
      </c>
      <c r="E40" s="17">
        <v>3.7124640000000002</v>
      </c>
      <c r="G40" s="45">
        <f t="shared" si="16"/>
        <v>90.311388888888885</v>
      </c>
      <c r="H40" s="45">
        <f t="shared" si="17"/>
        <v>1.5762310881601345</v>
      </c>
      <c r="I40" s="45">
        <f t="shared" si="0"/>
        <v>357.2477777777778</v>
      </c>
      <c r="J40" s="41">
        <f t="shared" si="18"/>
        <v>6.2351499676552535</v>
      </c>
      <c r="K40" s="41">
        <f t="shared" si="19"/>
        <v>123.57617496559325</v>
      </c>
      <c r="L40" s="16">
        <f t="shared" si="20"/>
        <v>-0.67161363378127925</v>
      </c>
      <c r="M40" s="14">
        <v>37.9</v>
      </c>
      <c r="N40" s="17">
        <f t="shared" si="21"/>
        <v>395.14777777777778</v>
      </c>
      <c r="O40" s="17">
        <f t="shared" ca="1" si="22"/>
        <v>336.53462544808093</v>
      </c>
      <c r="P40" s="17">
        <f t="shared" ca="1" si="23"/>
        <v>731.68240322585871</v>
      </c>
      <c r="Q40" s="17">
        <f t="shared" ca="1" si="24"/>
        <v>12.770267015196014</v>
      </c>
      <c r="R40" s="17">
        <f t="shared" ca="1" si="25"/>
        <v>25.022512747147601</v>
      </c>
      <c r="S40" s="17">
        <f t="shared" ca="1" si="26"/>
        <v>121.01630003824175</v>
      </c>
      <c r="T40" s="14">
        <f t="shared" ca="1" si="27"/>
        <v>1051044.6185135471</v>
      </c>
      <c r="U40" s="14">
        <f t="shared" ca="1" si="28"/>
        <v>467960.73726083827</v>
      </c>
      <c r="V40" s="17">
        <f t="shared" si="29"/>
        <v>1277.8787447662187</v>
      </c>
      <c r="W40" s="17">
        <f t="shared" ca="1" si="30"/>
        <v>1276.8544509105232</v>
      </c>
      <c r="X40" s="17">
        <f t="shared" ca="1" si="31"/>
        <v>1051044.6185135471</v>
      </c>
      <c r="Y40" s="17">
        <f t="shared" ca="1" si="32"/>
        <v>467960.73726083827</v>
      </c>
      <c r="Z40" s="17">
        <f t="shared" ca="1" si="33"/>
        <v>1051044.7571032722</v>
      </c>
      <c r="AA40" s="17">
        <f t="shared" ca="1" si="34"/>
        <v>467960.70975043811</v>
      </c>
      <c r="AB40" s="17">
        <f t="shared" ca="1" si="35"/>
        <v>0.14129378623655711</v>
      </c>
      <c r="AC40" s="17">
        <f t="shared" ca="1" si="36"/>
        <v>116.43166193950071</v>
      </c>
      <c r="AD40" s="17">
        <f t="shared" ca="1" si="37"/>
        <v>0.64221670910364992</v>
      </c>
      <c r="AE40" s="2">
        <f t="shared" ca="1" si="38"/>
        <v>381.99</v>
      </c>
      <c r="AF40" s="2">
        <f t="shared" ca="1" si="39"/>
        <v>2.11</v>
      </c>
      <c r="AG40" s="2" t="s">
        <v>230</v>
      </c>
      <c r="AH40" s="2">
        <v>414.44</v>
      </c>
      <c r="AI40" s="2">
        <f t="shared" ca="1" si="40"/>
        <v>1.89</v>
      </c>
      <c r="AJ40" s="2" t="str">
        <f t="shared" ca="1" si="41"/>
        <v>414.44,1.89</v>
      </c>
    </row>
    <row r="41" spans="1:36" x14ac:dyDescent="0.25">
      <c r="A41" s="41">
        <v>22</v>
      </c>
      <c r="B41" s="18">
        <v>14.887280092592592</v>
      </c>
      <c r="C41" s="18">
        <v>3.7631944444444443</v>
      </c>
      <c r="D41" s="2">
        <v>133.47</v>
      </c>
      <c r="E41" s="17">
        <v>3.7124640000000002</v>
      </c>
      <c r="G41" s="45">
        <f t="shared" si="16"/>
        <v>90.316666666666663</v>
      </c>
      <c r="H41" s="45">
        <f t="shared" si="17"/>
        <v>1.5763232027595453</v>
      </c>
      <c r="I41" s="45">
        <f t="shared" si="0"/>
        <v>357.29472222222222</v>
      </c>
      <c r="J41" s="41">
        <f t="shared" si="18"/>
        <v>6.2359693027763283</v>
      </c>
      <c r="K41" s="41">
        <f t="shared" si="19"/>
        <v>133.46796149399273</v>
      </c>
      <c r="L41" s="16">
        <f t="shared" si="20"/>
        <v>-0.73766837947454955</v>
      </c>
      <c r="M41" s="14">
        <v>37.9</v>
      </c>
      <c r="N41" s="17">
        <f t="shared" si="21"/>
        <v>395.1947222222222</v>
      </c>
      <c r="O41" s="17">
        <f t="shared" ca="1" si="22"/>
        <v>336.53462544808093</v>
      </c>
      <c r="P41" s="17">
        <f t="shared" ca="1" si="23"/>
        <v>731.72934767030313</v>
      </c>
      <c r="Q41" s="17">
        <f t="shared" ca="1" si="24"/>
        <v>12.771086350317089</v>
      </c>
      <c r="R41" s="17">
        <f t="shared" ca="1" si="25"/>
        <v>27.132547049377298</v>
      </c>
      <c r="S41" s="17">
        <f t="shared" ca="1" si="26"/>
        <v>130.68099186941939</v>
      </c>
      <c r="T41" s="14">
        <f t="shared" ca="1" si="27"/>
        <v>1051046.7285478492</v>
      </c>
      <c r="U41" s="14">
        <f t="shared" ca="1" si="28"/>
        <v>467970.40195266943</v>
      </c>
      <c r="V41" s="17">
        <f t="shared" si="29"/>
        <v>1277.8126900205255</v>
      </c>
      <c r="W41" s="17">
        <f t="shared" ca="1" si="30"/>
        <v>1276.7883961648299</v>
      </c>
      <c r="X41" s="17">
        <f t="shared" ca="1" si="31"/>
        <v>1051046.7285478492</v>
      </c>
      <c r="Y41" s="17">
        <f t="shared" ca="1" si="32"/>
        <v>467970.40195266943</v>
      </c>
      <c r="Z41" s="17">
        <f t="shared" ca="1" si="33"/>
        <v>1051046.6828305705</v>
      </c>
      <c r="AA41" s="17">
        <f t="shared" ca="1" si="34"/>
        <v>467970.41102766152</v>
      </c>
      <c r="AB41" s="17">
        <f t="shared" ca="1" si="35"/>
        <v>4.6609280790436962E-2</v>
      </c>
      <c r="AC41" s="17">
        <f t="shared" ca="1" si="36"/>
        <v>126.32222336910574</v>
      </c>
      <c r="AD41" s="17">
        <f t="shared" ca="1" si="37"/>
        <v>0.57616196341041359</v>
      </c>
      <c r="AE41" s="2">
        <f t="shared" ca="1" si="38"/>
        <v>414.44</v>
      </c>
      <c r="AF41" s="2">
        <f t="shared" ca="1" si="39"/>
        <v>1.89</v>
      </c>
      <c r="AH41" s="2">
        <v>423.9</v>
      </c>
      <c r="AI41" s="2">
        <f t="shared" ca="1" si="40"/>
        <v>1.39</v>
      </c>
      <c r="AJ41" s="2" t="str">
        <f t="shared" ca="1" si="41"/>
        <v>423.9,1.39</v>
      </c>
    </row>
    <row r="42" spans="1:36" x14ac:dyDescent="0.25">
      <c r="A42" s="41">
        <v>23</v>
      </c>
      <c r="B42" s="18">
        <v>14.887650462962965</v>
      </c>
      <c r="C42" s="18">
        <v>3.7655902777777777</v>
      </c>
      <c r="D42" s="2">
        <v>136.35400000000001</v>
      </c>
      <c r="E42" s="17">
        <v>3.7124640000000002</v>
      </c>
      <c r="G42" s="45">
        <f t="shared" si="16"/>
        <v>90.374166666666667</v>
      </c>
      <c r="H42" s="45">
        <f t="shared" si="17"/>
        <v>1.577326767079442</v>
      </c>
      <c r="I42" s="45">
        <f t="shared" si="0"/>
        <v>357.30361111111114</v>
      </c>
      <c r="J42" s="41">
        <f t="shared" si="18"/>
        <v>6.2361244431542842</v>
      </c>
      <c r="K42" s="41">
        <f t="shared" si="19"/>
        <v>136.3510924896548</v>
      </c>
      <c r="L42" s="16">
        <f t="shared" si="20"/>
        <v>-0.8904453254423379</v>
      </c>
      <c r="M42" s="14">
        <v>37.9</v>
      </c>
      <c r="N42" s="17">
        <f t="shared" si="21"/>
        <v>395.20361111111112</v>
      </c>
      <c r="O42" s="17">
        <f t="shared" ca="1" si="22"/>
        <v>336.53462544808093</v>
      </c>
      <c r="P42" s="17">
        <f t="shared" ca="1" si="23"/>
        <v>731.73823655919205</v>
      </c>
      <c r="Q42" s="17">
        <f t="shared" ca="1" si="24"/>
        <v>12.771241490695044</v>
      </c>
      <c r="R42" s="17">
        <f t="shared" ca="1" si="25"/>
        <v>27.739366919521803</v>
      </c>
      <c r="S42" s="17">
        <f t="shared" ca="1" si="26"/>
        <v>133.4996177748331</v>
      </c>
      <c r="T42" s="14">
        <f t="shared" ca="1" si="27"/>
        <v>1051047.3353677194</v>
      </c>
      <c r="U42" s="14">
        <f t="shared" ca="1" si="28"/>
        <v>467973.22057857487</v>
      </c>
      <c r="V42" s="17">
        <f t="shared" si="29"/>
        <v>1277.6599130745576</v>
      </c>
      <c r="W42" s="17">
        <f t="shared" ca="1" si="30"/>
        <v>1276.6356192188621</v>
      </c>
      <c r="X42" s="17">
        <f t="shared" ca="1" si="31"/>
        <v>1051047.3353677194</v>
      </c>
      <c r="Y42" s="17">
        <f t="shared" ca="1" si="32"/>
        <v>467973.22057857487</v>
      </c>
      <c r="Z42" s="17">
        <f t="shared" ca="1" si="33"/>
        <v>1051047.2441284326</v>
      </c>
      <c r="AA42" s="17">
        <f t="shared" ca="1" si="34"/>
        <v>467973.23868979793</v>
      </c>
      <c r="AB42" s="17">
        <f t="shared" ca="1" si="35"/>
        <v>9.3019481078945448E-2</v>
      </c>
      <c r="AC42" s="17">
        <f t="shared" ca="1" si="36"/>
        <v>129.20505677526219</v>
      </c>
      <c r="AD42" s="17">
        <f t="shared" ca="1" si="37"/>
        <v>0.42338501744256973</v>
      </c>
      <c r="AE42" s="2">
        <f t="shared" ca="1" si="38"/>
        <v>423.9</v>
      </c>
      <c r="AF42" s="2">
        <f t="shared" ca="1" si="39"/>
        <v>1.39</v>
      </c>
      <c r="AH42" s="2">
        <v>467.6</v>
      </c>
      <c r="AI42" s="2">
        <f t="shared" ca="1" si="40"/>
        <v>1.25</v>
      </c>
      <c r="AJ42" s="2" t="str">
        <f t="shared" ca="1" si="41"/>
        <v>467.6,1.25</v>
      </c>
    </row>
    <row r="43" spans="1:36" x14ac:dyDescent="0.25">
      <c r="A43" s="41">
        <v>24</v>
      </c>
      <c r="B43" s="18">
        <v>14.889780092592593</v>
      </c>
      <c r="C43" s="18">
        <v>3.7648958333333336</v>
      </c>
      <c r="D43" s="2">
        <v>149.67500000000001</v>
      </c>
      <c r="E43" s="17">
        <v>3.7124640000000002</v>
      </c>
      <c r="G43" s="45">
        <f t="shared" si="16"/>
        <v>90.357500000000002</v>
      </c>
      <c r="H43" s="45">
        <f t="shared" si="17"/>
        <v>1.5770358788707763</v>
      </c>
      <c r="I43" s="45">
        <f t="shared" si="0"/>
        <v>357.35472222222222</v>
      </c>
      <c r="J43" s="41">
        <f t="shared" si="18"/>
        <v>6.2370165003275249</v>
      </c>
      <c r="K43" s="41">
        <f t="shared" si="19"/>
        <v>149.67208643514618</v>
      </c>
      <c r="L43" s="16">
        <f t="shared" si="20"/>
        <v>-0.93389889716955621</v>
      </c>
      <c r="M43" s="14">
        <v>37.9</v>
      </c>
      <c r="N43" s="17">
        <f t="shared" si="21"/>
        <v>395.2547222222222</v>
      </c>
      <c r="O43" s="17">
        <f t="shared" ca="1" si="22"/>
        <v>336.53462544808093</v>
      </c>
      <c r="P43" s="17">
        <f t="shared" ca="1" si="23"/>
        <v>731.78934767030319</v>
      </c>
      <c r="Q43" s="17">
        <f t="shared" ca="1" si="24"/>
        <v>12.772133547868286</v>
      </c>
      <c r="R43" s="17">
        <f t="shared" ca="1" si="25"/>
        <v>30.580111501550224</v>
      </c>
      <c r="S43" s="17">
        <f t="shared" ca="1" si="26"/>
        <v>146.51481235152517</v>
      </c>
      <c r="T43" s="14">
        <f t="shared" ca="1" si="27"/>
        <v>1051050.1761123014</v>
      </c>
      <c r="U43" s="14">
        <f t="shared" ca="1" si="28"/>
        <v>467986.23577315157</v>
      </c>
      <c r="V43" s="17">
        <f t="shared" si="29"/>
        <v>1277.6164595028306</v>
      </c>
      <c r="W43" s="17">
        <f t="shared" ca="1" si="30"/>
        <v>1276.5921656471351</v>
      </c>
      <c r="X43" s="17">
        <f t="shared" ca="1" si="31"/>
        <v>1051050.1761123014</v>
      </c>
      <c r="Y43" s="17">
        <f t="shared" ca="1" si="32"/>
        <v>467986.23577315157</v>
      </c>
      <c r="Z43" s="17">
        <f t="shared" ca="1" si="33"/>
        <v>1051049.8374266298</v>
      </c>
      <c r="AA43" s="17">
        <f t="shared" ca="1" si="34"/>
        <v>467986.30300308764</v>
      </c>
      <c r="AB43" s="17">
        <f t="shared" ca="1" si="35"/>
        <v>0.34529385808129176</v>
      </c>
      <c r="AC43" s="17">
        <f t="shared" ca="1" si="36"/>
        <v>142.52427136440295</v>
      </c>
      <c r="AD43" s="17">
        <f t="shared" ca="1" si="37"/>
        <v>0.37993144571555604</v>
      </c>
      <c r="AE43" s="2">
        <f t="shared" ca="1" si="38"/>
        <v>467.6</v>
      </c>
      <c r="AF43" s="2">
        <f t="shared" ca="1" si="39"/>
        <v>1.25</v>
      </c>
      <c r="AH43" s="2">
        <v>530.47</v>
      </c>
      <c r="AI43" s="2">
        <f t="shared" ca="1" si="40"/>
        <v>1.26</v>
      </c>
      <c r="AJ43" s="2" t="str">
        <f t="shared" ca="1" si="41"/>
        <v>530.47,1.26</v>
      </c>
    </row>
    <row r="44" spans="1:36" x14ac:dyDescent="0.25">
      <c r="A44" s="41">
        <v>25</v>
      </c>
      <c r="B44" s="18">
        <v>14.887523148148148</v>
      </c>
      <c r="C44" s="18">
        <v>3.7631365740740743</v>
      </c>
      <c r="D44" s="2">
        <v>168.83799999999999</v>
      </c>
      <c r="E44" s="17">
        <v>3.7124640000000002</v>
      </c>
      <c r="G44" s="45">
        <f t="shared" si="16"/>
        <v>90.31527777777778</v>
      </c>
      <c r="H44" s="45">
        <f t="shared" si="17"/>
        <v>1.5762989620754899</v>
      </c>
      <c r="I44" s="45">
        <f t="shared" si="0"/>
        <v>357.30055555555555</v>
      </c>
      <c r="J44" s="41">
        <f t="shared" si="18"/>
        <v>6.2360711136493618</v>
      </c>
      <c r="K44" s="41">
        <f t="shared" si="19"/>
        <v>168.83544388396817</v>
      </c>
      <c r="L44" s="16">
        <f t="shared" si="20"/>
        <v>-0.92904924704199332</v>
      </c>
      <c r="M44" s="14">
        <v>37.9</v>
      </c>
      <c r="N44" s="17">
        <f t="shared" si="21"/>
        <v>395.20055555555552</v>
      </c>
      <c r="O44" s="17">
        <f t="shared" ca="1" si="22"/>
        <v>336.53462544808093</v>
      </c>
      <c r="P44" s="17">
        <f t="shared" ca="1" si="23"/>
        <v>731.7351810036364</v>
      </c>
      <c r="Q44" s="17">
        <f t="shared" ca="1" si="24"/>
        <v>12.771188161190121</v>
      </c>
      <c r="R44" s="17">
        <f t="shared" ca="1" si="25"/>
        <v>34.339191686237044</v>
      </c>
      <c r="S44" s="17">
        <f t="shared" ca="1" si="26"/>
        <v>165.30646395659315</v>
      </c>
      <c r="T44" s="14">
        <f t="shared" ca="1" si="27"/>
        <v>1051053.935192486</v>
      </c>
      <c r="U44" s="14">
        <f t="shared" ca="1" si="28"/>
        <v>468005.02742475661</v>
      </c>
      <c r="V44" s="17">
        <f t="shared" si="29"/>
        <v>1277.621309152958</v>
      </c>
      <c r="W44" s="17">
        <f t="shared" ca="1" si="30"/>
        <v>1276.5970152972625</v>
      </c>
      <c r="X44" s="17">
        <f t="shared" ca="1" si="31"/>
        <v>1051053.935192486</v>
      </c>
      <c r="Y44" s="17">
        <f t="shared" ca="1" si="32"/>
        <v>468005.02742475661</v>
      </c>
      <c r="Z44" s="17">
        <f t="shared" ca="1" si="33"/>
        <v>1051053.5687107688</v>
      </c>
      <c r="AA44" s="17">
        <f t="shared" ca="1" si="34"/>
        <v>468005.10017227475</v>
      </c>
      <c r="AB44" s="17">
        <f t="shared" ca="1" si="35"/>
        <v>0.37363223956721969</v>
      </c>
      <c r="AC44" s="17">
        <f t="shared" ca="1" si="36"/>
        <v>161.68819713065696</v>
      </c>
      <c r="AD44" s="17">
        <f t="shared" ca="1" si="37"/>
        <v>0.38478109584298181</v>
      </c>
      <c r="AE44" s="2">
        <f t="shared" ca="1" si="38"/>
        <v>530.47</v>
      </c>
      <c r="AF44" s="2">
        <f t="shared" ca="1" si="39"/>
        <v>1.26</v>
      </c>
      <c r="AH44" s="2">
        <v>533.99</v>
      </c>
      <c r="AI44" s="2">
        <f t="shared" ca="1" si="40"/>
        <v>2.9</v>
      </c>
      <c r="AJ44" s="2" t="str">
        <f t="shared" ca="1" si="41"/>
        <v>533.99,2.9</v>
      </c>
    </row>
    <row r="45" spans="1:36" x14ac:dyDescent="0.25">
      <c r="A45" s="41">
        <v>26</v>
      </c>
      <c r="B45" s="18">
        <v>14.885069444444445</v>
      </c>
      <c r="C45" s="18">
        <v>3.7560532407407408</v>
      </c>
      <c r="D45" s="2">
        <v>169.90600000000001</v>
      </c>
      <c r="E45" s="17">
        <v>3.7124640000000002</v>
      </c>
      <c r="G45" s="45">
        <f t="shared" si="16"/>
        <v>90.145277777777778</v>
      </c>
      <c r="H45" s="45">
        <f t="shared" si="17"/>
        <v>1.5733319023470995</v>
      </c>
      <c r="I45" s="45">
        <f t="shared" si="0"/>
        <v>357.24166666666667</v>
      </c>
      <c r="J45" s="41">
        <f t="shared" si="18"/>
        <v>6.2350433086454098</v>
      </c>
      <c r="K45" s="41">
        <f t="shared" si="19"/>
        <v>169.90545382527498</v>
      </c>
      <c r="L45" s="16">
        <f t="shared" si="20"/>
        <v>-0.4308090381500605</v>
      </c>
      <c r="M45" s="14">
        <v>37.9</v>
      </c>
      <c r="N45" s="17">
        <f t="shared" si="21"/>
        <v>395.14166666666665</v>
      </c>
      <c r="O45" s="17">
        <f t="shared" ca="1" si="22"/>
        <v>336.53462544808093</v>
      </c>
      <c r="P45" s="17">
        <f t="shared" ca="1" si="23"/>
        <v>731.67629211474764</v>
      </c>
      <c r="Q45" s="17">
        <f t="shared" ca="1" si="24"/>
        <v>12.770160356186171</v>
      </c>
      <c r="R45" s="17">
        <f t="shared" ca="1" si="25"/>
        <v>34.385821620752921</v>
      </c>
      <c r="S45" s="17">
        <f t="shared" ca="1" si="26"/>
        <v>166.38953846633029</v>
      </c>
      <c r="T45" s="14">
        <f t="shared" ca="1" si="27"/>
        <v>1051053.9818224206</v>
      </c>
      <c r="U45" s="14">
        <f t="shared" ca="1" si="28"/>
        <v>468006.11049926636</v>
      </c>
      <c r="V45" s="17">
        <f t="shared" si="29"/>
        <v>1278.11954936185</v>
      </c>
      <c r="W45" s="17">
        <f t="shared" ca="1" si="30"/>
        <v>1277.0952555061544</v>
      </c>
      <c r="X45" s="17">
        <f t="shared" ca="1" si="31"/>
        <v>1051053.9818224206</v>
      </c>
      <c r="Y45" s="17">
        <f t="shared" ca="1" si="32"/>
        <v>468006.11049926636</v>
      </c>
      <c r="Z45" s="17">
        <f t="shared" ca="1" si="33"/>
        <v>1051053.7773211608</v>
      </c>
      <c r="AA45" s="17">
        <f t="shared" ca="1" si="34"/>
        <v>468006.15109326784</v>
      </c>
      <c r="AB45" s="17">
        <f t="shared" ca="1" si="35"/>
        <v>0.20849133850493076</v>
      </c>
      <c r="AC45" s="17">
        <f t="shared" ca="1" si="36"/>
        <v>162.7596229233944</v>
      </c>
      <c r="AD45" s="17">
        <f t="shared" ca="1" si="37"/>
        <v>0.88302130473493889</v>
      </c>
      <c r="AE45" s="2">
        <f t="shared" ca="1" si="38"/>
        <v>533.99</v>
      </c>
      <c r="AF45" s="2">
        <f t="shared" ca="1" si="39"/>
        <v>2.9</v>
      </c>
      <c r="AH45" s="2">
        <v>536.23</v>
      </c>
      <c r="AI45" s="2">
        <f t="shared" ca="1" si="40"/>
        <v>4.5</v>
      </c>
      <c r="AJ45" s="2" t="str">
        <f t="shared" ca="1" si="41"/>
        <v>536.23,4.5</v>
      </c>
    </row>
    <row r="46" spans="1:36" x14ac:dyDescent="0.25">
      <c r="A46" s="41">
        <v>27</v>
      </c>
      <c r="B46" s="18">
        <v>14.886145833333332</v>
      </c>
      <c r="C46" s="18">
        <v>3.7492013888888889</v>
      </c>
      <c r="D46" s="2">
        <v>170.59</v>
      </c>
      <c r="E46" s="17">
        <v>3.7124640000000002</v>
      </c>
      <c r="G46" s="45">
        <f t="shared" si="16"/>
        <v>89.980833333333337</v>
      </c>
      <c r="H46" s="45">
        <f t="shared" si="17"/>
        <v>1.5704618053549311</v>
      </c>
      <c r="I46" s="45">
        <f t="shared" si="0"/>
        <v>357.26749999999998</v>
      </c>
      <c r="J46" s="41">
        <f t="shared" si="18"/>
        <v>6.2354941853688413</v>
      </c>
      <c r="K46" s="41">
        <f t="shared" si="19"/>
        <v>170.58999045509776</v>
      </c>
      <c r="L46" s="16">
        <f t="shared" si="20"/>
        <v>5.7066011379397721E-2</v>
      </c>
      <c r="M46" s="14">
        <v>37.9</v>
      </c>
      <c r="N46" s="17">
        <f t="shared" si="21"/>
        <v>395.16749999999996</v>
      </c>
      <c r="O46" s="17">
        <f t="shared" ca="1" si="22"/>
        <v>336.53462544808093</v>
      </c>
      <c r="P46" s="17">
        <f t="shared" ca="1" si="23"/>
        <v>731.70212544808089</v>
      </c>
      <c r="Q46" s="17">
        <f t="shared" ca="1" si="24"/>
        <v>12.770611232909602</v>
      </c>
      <c r="R46" s="17">
        <f t="shared" ca="1" si="25"/>
        <v>34.599679490631701</v>
      </c>
      <c r="S46" s="17">
        <f t="shared" ca="1" si="26"/>
        <v>167.04432652028595</v>
      </c>
      <c r="T46" s="14">
        <f t="shared" ca="1" si="27"/>
        <v>1051054.1956802905</v>
      </c>
      <c r="U46" s="14">
        <f t="shared" ca="1" si="28"/>
        <v>468006.7652873203</v>
      </c>
      <c r="V46" s="17">
        <f t="shared" si="29"/>
        <v>1278.6074244113795</v>
      </c>
      <c r="W46" s="17">
        <f t="shared" ca="1" si="30"/>
        <v>1277.583130555684</v>
      </c>
      <c r="X46" s="17">
        <f t="shared" ca="1" si="31"/>
        <v>1051054.1956802905</v>
      </c>
      <c r="Y46" s="17">
        <f t="shared" ca="1" si="32"/>
        <v>468006.7652873203</v>
      </c>
      <c r="Z46" s="17">
        <f t="shared" ca="1" si="33"/>
        <v>1051053.9104780718</v>
      </c>
      <c r="AA46" s="17">
        <f t="shared" ca="1" si="34"/>
        <v>468006.82190066017</v>
      </c>
      <c r="AB46" s="17">
        <f t="shared" ca="1" si="35"/>
        <v>0.29076687533833101</v>
      </c>
      <c r="AC46" s="17">
        <f t="shared" ca="1" si="36"/>
        <v>163.4435186176062</v>
      </c>
      <c r="AD46" s="17">
        <f t="shared" ca="1" si="37"/>
        <v>1.3708963542644597</v>
      </c>
      <c r="AE46" s="2">
        <f t="shared" ca="1" si="38"/>
        <v>536.23</v>
      </c>
      <c r="AF46" s="2">
        <f t="shared" ca="1" si="39"/>
        <v>4.5</v>
      </c>
      <c r="AH46" s="2">
        <v>544.19000000000005</v>
      </c>
      <c r="AI46" s="2">
        <f t="shared" ca="1" si="40"/>
        <v>5.88</v>
      </c>
      <c r="AJ46" s="2" t="str">
        <f t="shared" ca="1" si="41"/>
        <v>544.19,5.88</v>
      </c>
    </row>
    <row r="47" spans="1:36" x14ac:dyDescent="0.25">
      <c r="A47" s="41">
        <v>28</v>
      </c>
      <c r="B47" s="18">
        <v>14.887986111111111</v>
      </c>
      <c r="C47" s="18">
        <v>3.7433796296296293</v>
      </c>
      <c r="D47" s="2">
        <v>173.018</v>
      </c>
      <c r="E47" s="17">
        <v>3.7124640000000002</v>
      </c>
      <c r="G47" s="45">
        <f t="shared" si="16"/>
        <v>89.841111111111104</v>
      </c>
      <c r="H47" s="45">
        <f t="shared" si="17"/>
        <v>1.5680231925389498</v>
      </c>
      <c r="I47" s="45">
        <f t="shared" si="0"/>
        <v>357.31166666666667</v>
      </c>
      <c r="J47" s="41">
        <f t="shared" si="18"/>
        <v>6.2362650391218057</v>
      </c>
      <c r="K47" s="41">
        <f t="shared" si="19"/>
        <v>173.01733472254736</v>
      </c>
      <c r="L47" s="16">
        <f t="shared" si="20"/>
        <v>0.47980152772734447</v>
      </c>
      <c r="M47" s="14">
        <v>37.9</v>
      </c>
      <c r="N47" s="17">
        <f t="shared" si="21"/>
        <v>395.21166666666664</v>
      </c>
      <c r="O47" s="17">
        <f t="shared" ca="1" si="22"/>
        <v>336.53462544808093</v>
      </c>
      <c r="P47" s="17">
        <f t="shared" ca="1" si="23"/>
        <v>731.74629211474758</v>
      </c>
      <c r="Q47" s="17">
        <f t="shared" ca="1" si="24"/>
        <v>12.771382086662566</v>
      </c>
      <c r="R47" s="17">
        <f t="shared" ca="1" si="25"/>
        <v>35.222590786795827</v>
      </c>
      <c r="S47" s="17">
        <f t="shared" ca="1" si="26"/>
        <v>169.39411799929749</v>
      </c>
      <c r="T47" s="14">
        <f t="shared" ca="1" si="27"/>
        <v>1051054.8185915868</v>
      </c>
      <c r="U47" s="14">
        <f t="shared" ca="1" si="28"/>
        <v>468009.11507879931</v>
      </c>
      <c r="V47" s="17">
        <f t="shared" si="29"/>
        <v>1279.0301599277275</v>
      </c>
      <c r="W47" s="17">
        <f t="shared" ca="1" si="30"/>
        <v>1278.0058660720319</v>
      </c>
      <c r="X47" s="17">
        <f t="shared" ca="1" si="31"/>
        <v>1051054.8185915868</v>
      </c>
      <c r="Y47" s="17">
        <f t="shared" ca="1" si="32"/>
        <v>468009.11507879931</v>
      </c>
      <c r="Z47" s="17">
        <f t="shared" ca="1" si="33"/>
        <v>1051054.3828492051</v>
      </c>
      <c r="AA47" s="17">
        <f t="shared" ca="1" si="34"/>
        <v>468009.20157472976</v>
      </c>
      <c r="AB47" s="17">
        <f t="shared" ca="1" si="35"/>
        <v>0.44424426751170593</v>
      </c>
      <c r="AC47" s="17">
        <f t="shared" ca="1" si="36"/>
        <v>165.8696231423539</v>
      </c>
      <c r="AD47" s="17">
        <f t="shared" ca="1" si="37"/>
        <v>1.7936318706124439</v>
      </c>
      <c r="AE47" s="2">
        <f t="shared" ca="1" si="38"/>
        <v>544.19000000000005</v>
      </c>
      <c r="AF47" s="2">
        <f t="shared" ca="1" si="39"/>
        <v>5.88</v>
      </c>
      <c r="AH47" s="2">
        <v>549.88</v>
      </c>
      <c r="AI47" s="2">
        <f t="shared" ca="1" si="40"/>
        <v>5.63</v>
      </c>
      <c r="AJ47" s="2" t="str">
        <f t="shared" ca="1" si="41"/>
        <v>549.88,5.63</v>
      </c>
    </row>
    <row r="48" spans="1:36" x14ac:dyDescent="0.25">
      <c r="A48" s="41">
        <v>29</v>
      </c>
      <c r="B48" s="18">
        <v>14.887696759259258</v>
      </c>
      <c r="C48" s="18">
        <v>3.7445138888888891</v>
      </c>
      <c r="D48" s="2">
        <v>174.751</v>
      </c>
      <c r="E48" s="17">
        <v>3.7124640000000002</v>
      </c>
      <c r="G48" s="45">
        <f t="shared" si="16"/>
        <v>89.868333333333339</v>
      </c>
      <c r="H48" s="45">
        <f t="shared" si="17"/>
        <v>1.5684983099464376</v>
      </c>
      <c r="I48" s="45">
        <f t="shared" si="0"/>
        <v>357.30472222222221</v>
      </c>
      <c r="J48" s="41">
        <f t="shared" si="18"/>
        <v>6.2361438357015277</v>
      </c>
      <c r="K48" s="41">
        <f t="shared" si="19"/>
        <v>174.75053858054719</v>
      </c>
      <c r="L48" s="16">
        <f t="shared" si="20"/>
        <v>0.4015803888351121</v>
      </c>
      <c r="M48" s="14">
        <v>37.9</v>
      </c>
      <c r="N48" s="17">
        <f t="shared" si="21"/>
        <v>395.20472222222219</v>
      </c>
      <c r="O48" s="17">
        <f t="shared" ca="1" si="22"/>
        <v>336.53462544808093</v>
      </c>
      <c r="P48" s="17">
        <f t="shared" ca="1" si="23"/>
        <v>731.73934767030312</v>
      </c>
      <c r="Q48" s="17">
        <f t="shared" ca="1" si="24"/>
        <v>12.771260883242288</v>
      </c>
      <c r="R48" s="17">
        <f t="shared" ca="1" si="25"/>
        <v>35.554696562360924</v>
      </c>
      <c r="S48" s="17">
        <f t="shared" ca="1" si="26"/>
        <v>171.09533683461319</v>
      </c>
      <c r="T48" s="14">
        <f t="shared" ca="1" si="27"/>
        <v>1051055.1506973624</v>
      </c>
      <c r="U48" s="14">
        <f t="shared" ca="1" si="28"/>
        <v>468010.81629763462</v>
      </c>
      <c r="V48" s="17">
        <f t="shared" si="29"/>
        <v>1278.9519387888352</v>
      </c>
      <c r="W48" s="17">
        <f t="shared" ca="1" si="30"/>
        <v>1277.9276449331396</v>
      </c>
      <c r="X48" s="17">
        <f t="shared" ca="1" si="31"/>
        <v>1051055.1506973624</v>
      </c>
      <c r="Y48" s="17">
        <f t="shared" ca="1" si="32"/>
        <v>468010.81629763462</v>
      </c>
      <c r="Z48" s="17">
        <f t="shared" ca="1" si="33"/>
        <v>1051054.7203333857</v>
      </c>
      <c r="AA48" s="17">
        <f t="shared" ca="1" si="34"/>
        <v>468010.90172593947</v>
      </c>
      <c r="AB48" s="17">
        <f t="shared" ca="1" si="35"/>
        <v>0.43876092311248133</v>
      </c>
      <c r="AC48" s="17">
        <f t="shared" ca="1" si="36"/>
        <v>167.60294645556746</v>
      </c>
      <c r="AD48" s="17">
        <f t="shared" ca="1" si="37"/>
        <v>1.7154107317201124</v>
      </c>
      <c r="AE48" s="2">
        <f t="shared" ca="1" si="38"/>
        <v>549.88</v>
      </c>
      <c r="AF48" s="2">
        <f t="shared" ca="1" si="39"/>
        <v>5.63</v>
      </c>
      <c r="AH48" s="2">
        <v>570.99</v>
      </c>
      <c r="AI48" s="2">
        <f t="shared" ca="1" si="40"/>
        <v>9.73</v>
      </c>
      <c r="AJ48" s="2" t="str">
        <f t="shared" ca="1" si="41"/>
        <v>570.99,9.73</v>
      </c>
    </row>
    <row r="49" spans="1:32" x14ac:dyDescent="0.25">
      <c r="A49" s="41">
        <v>30</v>
      </c>
      <c r="B49" s="18">
        <v>14.885150462962963</v>
      </c>
      <c r="C49" s="18">
        <v>3.7282291666666669</v>
      </c>
      <c r="D49" s="2">
        <v>181.191</v>
      </c>
      <c r="E49" s="17">
        <v>3.7124640000000002</v>
      </c>
      <c r="G49" s="45">
        <f t="shared" si="16"/>
        <v>89.477500000000006</v>
      </c>
      <c r="H49" s="45">
        <f t="shared" si="17"/>
        <v>1.5616769814532263</v>
      </c>
      <c r="I49" s="45">
        <f t="shared" si="0"/>
        <v>357.24361111111114</v>
      </c>
      <c r="J49" s="41">
        <f t="shared" si="18"/>
        <v>6.2350772456030876</v>
      </c>
      <c r="K49" s="41">
        <f t="shared" si="19"/>
        <v>181.18346590761695</v>
      </c>
      <c r="L49" s="16">
        <f t="shared" si="20"/>
        <v>1.6523203997423397</v>
      </c>
      <c r="M49" s="14">
        <v>37.9</v>
      </c>
      <c r="N49" s="17">
        <f t="shared" si="21"/>
        <v>395.14361111111111</v>
      </c>
      <c r="O49" s="17">
        <f t="shared" ca="1" si="22"/>
        <v>336.53462544808093</v>
      </c>
      <c r="P49" s="17">
        <f t="shared" ca="1" si="23"/>
        <v>731.6782365591921</v>
      </c>
      <c r="Q49" s="17">
        <f t="shared" ca="1" si="24"/>
        <v>12.770194293143849</v>
      </c>
      <c r="R49" s="17">
        <f t="shared" ca="1" si="25"/>
        <v>36.674310883165219</v>
      </c>
      <c r="S49" s="17">
        <f t="shared" ca="1" si="26"/>
        <v>177.43292602992699</v>
      </c>
      <c r="T49" s="14">
        <f t="shared" ca="1" si="27"/>
        <v>1051056.2703116832</v>
      </c>
      <c r="U49" s="14">
        <f t="shared" ca="1" si="28"/>
        <v>468017.15388682991</v>
      </c>
      <c r="V49" s="17">
        <f t="shared" si="29"/>
        <v>1280.2026787997424</v>
      </c>
      <c r="W49" s="17">
        <f t="shared" ca="1" si="30"/>
        <v>1279.1783849440469</v>
      </c>
      <c r="X49" s="17">
        <f t="shared" ca="1" si="31"/>
        <v>1051056.2703116832</v>
      </c>
      <c r="Y49" s="17">
        <f t="shared" ca="1" si="32"/>
        <v>468017.15388682991</v>
      </c>
      <c r="Z49" s="17">
        <f t="shared" ca="1" si="33"/>
        <v>1051055.9731132183</v>
      </c>
      <c r="AA49" s="17">
        <f t="shared" ca="1" si="34"/>
        <v>468017.21288145334</v>
      </c>
      <c r="AB49" s="17">
        <f t="shared" ca="1" si="35"/>
        <v>0.3029971833348783</v>
      </c>
      <c r="AC49" s="17">
        <f t="shared" ca="1" si="36"/>
        <v>174.03724060714592</v>
      </c>
      <c r="AD49" s="17">
        <f t="shared" ca="1" si="37"/>
        <v>2.9661507426274056</v>
      </c>
      <c r="AE49" s="2">
        <f t="shared" ca="1" si="38"/>
        <v>570.99</v>
      </c>
      <c r="AF49" s="2">
        <f t="shared" ca="1" si="39"/>
        <v>9.73</v>
      </c>
    </row>
    <row r="50" spans="1:32" x14ac:dyDescent="0.25">
      <c r="A50" s="41">
        <v>31</v>
      </c>
      <c r="B50" s="18">
        <v>14.368206018518519</v>
      </c>
      <c r="C50" s="18">
        <v>3.6864351851851853</v>
      </c>
      <c r="D50" s="2">
        <v>31.635999999999999</v>
      </c>
      <c r="E50" s="17">
        <v>3.7124640000000002</v>
      </c>
      <c r="F50" s="41" t="s">
        <v>73</v>
      </c>
      <c r="G50" s="45">
        <f t="shared" si="16"/>
        <v>88.474444444444444</v>
      </c>
      <c r="H50" s="45">
        <f t="shared" si="17"/>
        <v>1.5441703594283609</v>
      </c>
      <c r="I50" s="45">
        <f t="shared" si="0"/>
        <v>344.83694444444444</v>
      </c>
      <c r="J50" s="41">
        <f t="shared" si="18"/>
        <v>6.018540063072324</v>
      </c>
      <c r="K50" s="41">
        <f t="shared" si="19"/>
        <v>31.624786615751425</v>
      </c>
      <c r="L50" s="16">
        <f t="shared" si="20"/>
        <v>0.84223957885478684</v>
      </c>
      <c r="M50" s="14">
        <v>196.89</v>
      </c>
      <c r="N50" s="17">
        <f t="shared" si="21"/>
        <v>541.72694444444437</v>
      </c>
      <c r="O50" s="17">
        <f t="shared" ca="1" si="22"/>
        <v>336.53462544808093</v>
      </c>
      <c r="P50" s="17">
        <f t="shared" ca="1" si="23"/>
        <v>878.26156989252536</v>
      </c>
      <c r="Q50" s="17">
        <f t="shared" ca="1" si="24"/>
        <v>15.328556088358869</v>
      </c>
      <c r="R50" s="17">
        <f t="shared" ca="1" si="25"/>
        <v>11.712868199931416</v>
      </c>
      <c r="S50" s="17">
        <f t="shared" ca="1" si="26"/>
        <v>-29.375769726474331</v>
      </c>
      <c r="T50" s="14">
        <f t="shared" ca="1" si="27"/>
        <v>1051031.3088689998</v>
      </c>
      <c r="U50" s="14">
        <f t="shared" ca="1" si="28"/>
        <v>467810.34519107355</v>
      </c>
      <c r="V50" s="17">
        <f t="shared" si="29"/>
        <v>1279.3925979788548</v>
      </c>
      <c r="W50" s="17">
        <f t="shared" ca="1" si="30"/>
        <v>1278.3683041231593</v>
      </c>
      <c r="X50" s="17" t="str">
        <f t="shared" si="31"/>
        <v/>
      </c>
      <c r="Y50" s="17" t="str">
        <f t="shared" si="32"/>
        <v/>
      </c>
      <c r="Z50" s="17" t="str">
        <f t="shared" si="33"/>
        <v/>
      </c>
      <c r="AA50" s="17" t="str">
        <f t="shared" si="34"/>
        <v/>
      </c>
      <c r="AB50" s="17" t="str">
        <f t="shared" si="35"/>
        <v/>
      </c>
      <c r="AC50" s="17" t="str">
        <f t="shared" ca="1" si="36"/>
        <v/>
      </c>
      <c r="AD50" s="17" t="str">
        <f t="shared" ref="AD21:AD51" si="42">IF(ISNUMBER(X50),W50-Min_Z,"")</f>
        <v/>
      </c>
    </row>
    <row r="51" spans="1:32" x14ac:dyDescent="0.25">
      <c r="A51" s="41">
        <v>32</v>
      </c>
      <c r="B51" s="18">
        <v>2.5072685185185186</v>
      </c>
      <c r="C51" s="18">
        <v>3.5983680555555555</v>
      </c>
      <c r="D51" s="2">
        <v>33.924999999999997</v>
      </c>
      <c r="E51" s="17">
        <v>3.7124640000000002</v>
      </c>
      <c r="F51" s="41" t="s">
        <v>74</v>
      </c>
      <c r="G51" s="45">
        <f t="shared" si="16"/>
        <v>86.360833333333332</v>
      </c>
      <c r="H51" s="45">
        <f t="shared" si="17"/>
        <v>1.5072808864327363</v>
      </c>
      <c r="I51" s="45">
        <f t="shared" si="0"/>
        <v>60.174444444444447</v>
      </c>
      <c r="J51" s="41">
        <f t="shared" si="18"/>
        <v>1.0502421811139657</v>
      </c>
      <c r="K51" s="41">
        <f t="shared" si="19"/>
        <v>33.856592695222837</v>
      </c>
      <c r="L51" s="16">
        <f t="shared" si="20"/>
        <v>2.1533128128034202</v>
      </c>
      <c r="M51" s="14">
        <v>196.89</v>
      </c>
      <c r="N51" s="17">
        <f t="shared" si="21"/>
        <v>257.06444444444446</v>
      </c>
      <c r="O51" s="17">
        <f t="shared" ca="1" si="22"/>
        <v>336.53462544808093</v>
      </c>
      <c r="P51" s="17">
        <f t="shared" ca="1" si="23"/>
        <v>593.59906989252545</v>
      </c>
      <c r="Q51" s="17">
        <f t="shared" ca="1" si="24"/>
        <v>10.360258206400513</v>
      </c>
      <c r="R51" s="17">
        <f t="shared" ca="1" si="25"/>
        <v>-27.250635308102677</v>
      </c>
      <c r="S51" s="17">
        <f t="shared" ca="1" si="26"/>
        <v>-20.091583915535477</v>
      </c>
      <c r="T51" s="14">
        <f t="shared" ca="1" si="27"/>
        <v>1050992.3453654917</v>
      </c>
      <c r="U51" s="14">
        <f t="shared" ca="1" si="28"/>
        <v>467819.62937688449</v>
      </c>
      <c r="V51" s="17">
        <f t="shared" si="29"/>
        <v>1280.7036712128036</v>
      </c>
      <c r="W51" s="17">
        <f t="shared" ca="1" si="30"/>
        <v>1279.679377357108</v>
      </c>
      <c r="X51" s="17" t="str">
        <f t="shared" si="31"/>
        <v/>
      </c>
      <c r="Y51" s="17" t="str">
        <f t="shared" si="32"/>
        <v/>
      </c>
      <c r="Z51" s="17" t="str">
        <f t="shared" si="33"/>
        <v/>
      </c>
      <c r="AA51" s="17" t="str">
        <f t="shared" si="34"/>
        <v/>
      </c>
      <c r="AB51" s="17" t="str">
        <f t="shared" si="35"/>
        <v/>
      </c>
      <c r="AC51" s="17" t="str">
        <f t="shared" ca="1" si="36"/>
        <v/>
      </c>
      <c r="AD51" s="17" t="str">
        <f t="shared" si="42"/>
        <v/>
      </c>
    </row>
    <row r="52" spans="1:32" x14ac:dyDescent="0.25">
      <c r="L52" s="17"/>
      <c r="AE52" s="17"/>
    </row>
    <row r="53" spans="1:32" x14ac:dyDescent="0.25">
      <c r="AE53" s="17"/>
    </row>
    <row r="54" spans="1:32" x14ac:dyDescent="0.25">
      <c r="A54" s="12"/>
      <c r="B54" s="12"/>
      <c r="C54" s="3"/>
      <c r="D54"/>
      <c r="E54"/>
      <c r="F54"/>
      <c r="G54" s="10"/>
      <c r="H54" s="10"/>
      <c r="I54"/>
      <c r="J54"/>
      <c r="K54"/>
      <c r="L54"/>
      <c r="M54"/>
      <c r="V54" s="2"/>
      <c r="W54" s="2"/>
      <c r="X54" s="2"/>
      <c r="Y54" s="2"/>
      <c r="Z54" s="2"/>
    </row>
    <row r="55" spans="1:32" x14ac:dyDescent="0.25">
      <c r="A55" s="18"/>
      <c r="C55" s="2"/>
      <c r="D55" s="44"/>
      <c r="E55" s="44"/>
      <c r="F55" s="44"/>
      <c r="G55" s="44"/>
      <c r="H55" s="44"/>
      <c r="I55"/>
      <c r="J55"/>
      <c r="K55"/>
      <c r="L55"/>
      <c r="M55"/>
      <c r="V55" s="2"/>
      <c r="W55" s="14"/>
      <c r="X55" s="2"/>
      <c r="Y55" s="2"/>
      <c r="Z55" s="2"/>
    </row>
    <row r="56" spans="1:32" x14ac:dyDescent="0.25">
      <c r="A56" s="42"/>
      <c r="C56" s="2"/>
      <c r="D56" s="44"/>
      <c r="E56" s="44"/>
      <c r="F56" s="44"/>
      <c r="G56" s="44"/>
      <c r="H56" s="44"/>
      <c r="I56" s="10"/>
      <c r="J56" s="10"/>
      <c r="K56" s="10"/>
      <c r="L56" s="10"/>
      <c r="M56" s="10"/>
      <c r="V56" s="2"/>
      <c r="W56" s="14"/>
      <c r="X56" s="2"/>
      <c r="Y56" s="2"/>
      <c r="Z56" s="2"/>
    </row>
    <row r="57" spans="1:32" x14ac:dyDescent="0.25">
      <c r="A57" s="42"/>
      <c r="C57" s="2"/>
      <c r="D57" s="44"/>
      <c r="E57" s="44"/>
      <c r="F57" s="44"/>
      <c r="G57" s="44"/>
      <c r="H57" s="44"/>
      <c r="I57" s="10"/>
      <c r="J57" s="10"/>
      <c r="K57" s="10"/>
      <c r="L57" s="10"/>
      <c r="M57" s="10"/>
      <c r="V57" s="2"/>
      <c r="W57" s="14"/>
      <c r="X57" s="2"/>
      <c r="Y57" s="2"/>
      <c r="Z57" s="2"/>
    </row>
    <row r="58" spans="1:32" x14ac:dyDescent="0.25">
      <c r="A58" s="42"/>
      <c r="C58" s="2"/>
      <c r="D58" s="44"/>
      <c r="E58" s="44"/>
      <c r="F58" s="44"/>
      <c r="G58" s="44"/>
      <c r="H58" s="44"/>
      <c r="I58" s="10"/>
      <c r="J58" s="10"/>
      <c r="K58" s="10"/>
      <c r="L58" s="10"/>
      <c r="M58" s="10"/>
      <c r="V58" s="2"/>
      <c r="W58" s="14"/>
      <c r="X58" s="2"/>
      <c r="Y58" s="2"/>
      <c r="Z58" s="2"/>
    </row>
    <row r="59" spans="1:32" x14ac:dyDescent="0.25">
      <c r="A59" s="42"/>
      <c r="C59" s="2"/>
      <c r="D59" s="44"/>
      <c r="E59" s="44"/>
      <c r="F59" s="44"/>
      <c r="G59" s="44"/>
      <c r="H59" s="44"/>
      <c r="I59" s="10"/>
      <c r="J59" s="10"/>
      <c r="K59" s="10"/>
      <c r="L59" s="10"/>
      <c r="M59" s="10"/>
      <c r="V59" s="2"/>
      <c r="W59" s="14"/>
      <c r="X59" s="2"/>
      <c r="Y59" s="2"/>
      <c r="Z59" s="2"/>
    </row>
    <row r="60" spans="1:32" x14ac:dyDescent="0.25">
      <c r="A60" s="42"/>
      <c r="C60" s="2"/>
      <c r="D60" s="44"/>
      <c r="E60" s="44"/>
      <c r="F60" s="44"/>
      <c r="G60" s="44"/>
      <c r="H60" s="44"/>
      <c r="I60" s="10"/>
      <c r="J60" s="10"/>
      <c r="K60" s="10"/>
      <c r="L60" s="10"/>
      <c r="M60" s="10"/>
      <c r="V60" s="2"/>
      <c r="W60" s="14"/>
      <c r="X60" s="2"/>
      <c r="Y60" s="2"/>
      <c r="Z60" s="2"/>
    </row>
    <row r="61" spans="1:32" x14ac:dyDescent="0.25">
      <c r="A61" s="42"/>
      <c r="C61" s="2"/>
      <c r="D61" s="44"/>
      <c r="E61" s="44"/>
      <c r="F61" s="44"/>
      <c r="G61" s="44"/>
      <c r="H61" s="44"/>
      <c r="I61" s="10"/>
      <c r="J61" s="10"/>
      <c r="K61" s="10"/>
      <c r="L61" s="10"/>
      <c r="M61" s="10"/>
      <c r="V61" s="2"/>
      <c r="W61" s="14"/>
      <c r="X61" s="2"/>
      <c r="Y61" s="2"/>
      <c r="Z61" s="2"/>
    </row>
    <row r="62" spans="1:32" x14ac:dyDescent="0.25">
      <c r="A62" s="42"/>
      <c r="C62" s="2"/>
      <c r="D62" s="44"/>
      <c r="E62" s="44"/>
      <c r="F62" s="44"/>
      <c r="G62" s="44"/>
      <c r="H62" s="44"/>
      <c r="I62" s="10"/>
      <c r="J62" s="10"/>
      <c r="K62" s="10"/>
      <c r="L62" s="10"/>
      <c r="M62" s="10"/>
      <c r="V62" s="2"/>
      <c r="W62" s="14"/>
      <c r="X62" s="2"/>
      <c r="Y62" s="2"/>
      <c r="Z62" s="2"/>
    </row>
    <row r="63" spans="1:32" x14ac:dyDescent="0.25">
      <c r="A63" s="42"/>
      <c r="C63" s="2"/>
      <c r="D63" s="44"/>
      <c r="E63" s="44"/>
      <c r="F63" s="44"/>
      <c r="G63" s="44"/>
      <c r="H63" s="44"/>
      <c r="I63" s="10"/>
      <c r="J63" s="10"/>
      <c r="K63" s="10"/>
      <c r="L63" s="10"/>
      <c r="M63" s="10"/>
      <c r="V63" s="2"/>
      <c r="W63" s="14"/>
      <c r="X63" s="2"/>
      <c r="Y63" s="2"/>
      <c r="Z63" s="2"/>
    </row>
    <row r="64" spans="1:32" x14ac:dyDescent="0.25">
      <c r="A64" s="42"/>
      <c r="C64" s="2"/>
      <c r="D64" s="44"/>
      <c r="E64" s="44"/>
      <c r="F64" s="44"/>
      <c r="G64" s="44"/>
      <c r="H64" s="44"/>
      <c r="I64" s="10"/>
      <c r="J64" s="10"/>
      <c r="K64" s="10"/>
      <c r="L64" s="10"/>
      <c r="M64" s="10"/>
      <c r="V64" s="2"/>
      <c r="W64" s="14"/>
      <c r="X64" s="2"/>
      <c r="Y64" s="2"/>
      <c r="Z64" s="2"/>
    </row>
    <row r="65" spans="1:27" x14ac:dyDescent="0.25">
      <c r="A65" s="42"/>
      <c r="C65" s="2"/>
      <c r="D65" s="44"/>
      <c r="E65" s="44"/>
      <c r="F65" s="44"/>
      <c r="G65" s="44"/>
      <c r="H65" s="44"/>
      <c r="I65" s="10"/>
      <c r="J65" s="10"/>
      <c r="K65" s="10"/>
      <c r="L65" s="10"/>
      <c r="M65" s="10"/>
      <c r="V65" s="2"/>
      <c r="W65" s="14"/>
      <c r="X65" s="2"/>
      <c r="Y65" s="2"/>
      <c r="Z65" s="2"/>
    </row>
    <row r="66" spans="1:27" x14ac:dyDescent="0.25">
      <c r="A66" s="42"/>
      <c r="C66" s="2"/>
      <c r="D66" s="44"/>
      <c r="E66" s="44"/>
      <c r="F66" s="44"/>
      <c r="G66" s="44"/>
      <c r="H66" s="44"/>
      <c r="I66" s="10"/>
      <c r="J66" s="10"/>
      <c r="K66" s="10"/>
      <c r="L66" s="10"/>
      <c r="M66" s="10"/>
      <c r="V66" s="2"/>
      <c r="W66" s="14"/>
      <c r="X66" s="2"/>
      <c r="Y66" s="2"/>
      <c r="Z66" s="2"/>
    </row>
    <row r="67" spans="1:27" x14ac:dyDescent="0.25">
      <c r="A67" s="42"/>
      <c r="C67" s="2"/>
      <c r="D67" s="44"/>
      <c r="E67" s="44"/>
      <c r="F67" s="44"/>
      <c r="G67" s="44"/>
      <c r="H67" s="44"/>
      <c r="I67" s="10"/>
      <c r="J67" s="10"/>
      <c r="K67" s="10"/>
      <c r="L67" s="10"/>
      <c r="M67" s="10"/>
      <c r="V67" s="2"/>
      <c r="W67" s="14"/>
      <c r="X67" s="2"/>
      <c r="Y67" s="2"/>
      <c r="Z67" s="2"/>
    </row>
    <row r="68" spans="1:27" x14ac:dyDescent="0.25">
      <c r="A68" s="42"/>
      <c r="C68" s="2"/>
      <c r="D68" s="44"/>
      <c r="E68" s="44"/>
      <c r="F68" s="44"/>
      <c r="G68" s="44"/>
      <c r="H68" s="44"/>
      <c r="I68" s="10"/>
      <c r="J68" s="10"/>
      <c r="K68" s="10"/>
      <c r="L68" s="10"/>
      <c r="M68" s="10"/>
      <c r="V68" s="2"/>
      <c r="W68" s="14"/>
      <c r="X68" s="2"/>
      <c r="Y68" s="2"/>
      <c r="Z68" s="2"/>
      <c r="AA68" s="2"/>
    </row>
    <row r="69" spans="1:27" x14ac:dyDescent="0.25">
      <c r="A69" s="42"/>
      <c r="C69" s="2"/>
      <c r="D69" s="44"/>
      <c r="E69" s="44"/>
      <c r="F69" s="44"/>
      <c r="G69" s="44"/>
      <c r="H69" s="44"/>
      <c r="I69" s="10"/>
      <c r="J69" s="10"/>
      <c r="K69" s="10"/>
      <c r="L69" s="10"/>
      <c r="M69" s="10"/>
      <c r="V69" s="2"/>
      <c r="W69" s="14"/>
      <c r="X69" s="2"/>
      <c r="Y69" s="2"/>
      <c r="Z69" s="2"/>
      <c r="AA69" s="2"/>
    </row>
    <row r="70" spans="1:27" x14ac:dyDescent="0.25">
      <c r="A70" s="42"/>
      <c r="C70" s="2"/>
      <c r="D70" s="44"/>
      <c r="E70" s="44"/>
      <c r="F70" s="44"/>
      <c r="G70" s="44"/>
      <c r="H70" s="44"/>
      <c r="I70" s="10"/>
      <c r="J70" s="10"/>
      <c r="K70" s="10"/>
      <c r="L70" s="10"/>
      <c r="M70" s="10"/>
      <c r="V70" s="2"/>
      <c r="W70" s="14"/>
      <c r="X70" s="2"/>
      <c r="Y70" s="2"/>
      <c r="Z70" s="2"/>
      <c r="AA70" s="2"/>
    </row>
    <row r="71" spans="1:27" x14ac:dyDescent="0.25">
      <c r="A71" s="42"/>
      <c r="C71" s="2"/>
      <c r="D71" s="44"/>
      <c r="E71" s="44"/>
      <c r="F71" s="44"/>
      <c r="G71" s="44"/>
      <c r="H71" s="44"/>
      <c r="I71" s="10"/>
      <c r="J71" s="10"/>
      <c r="K71" s="10"/>
      <c r="L71" s="10"/>
      <c r="M71" s="10"/>
      <c r="W71" s="2"/>
      <c r="X71" s="14"/>
      <c r="Y71" s="2"/>
      <c r="Z71" s="2"/>
      <c r="AA71" s="2"/>
    </row>
    <row r="72" spans="1:27" x14ac:dyDescent="0.25">
      <c r="A72" s="42"/>
      <c r="C72" s="2"/>
      <c r="D72" s="44"/>
      <c r="E72" s="44"/>
      <c r="F72" s="44"/>
      <c r="G72" s="44"/>
      <c r="H72" s="44"/>
      <c r="I72" s="10"/>
      <c r="J72" s="10"/>
      <c r="K72" s="10"/>
      <c r="L72" s="10"/>
      <c r="M72" s="10"/>
      <c r="W72" s="2"/>
      <c r="X72" s="14"/>
      <c r="Y72" s="2"/>
      <c r="Z72" s="2"/>
      <c r="AA72" s="2"/>
    </row>
    <row r="73" spans="1:27" x14ac:dyDescent="0.25">
      <c r="A73" s="42"/>
      <c r="C73" s="2"/>
      <c r="D73" s="44"/>
      <c r="E73" s="44"/>
      <c r="F73" s="44"/>
      <c r="G73" s="44"/>
      <c r="H73" s="44"/>
      <c r="I73" s="10"/>
      <c r="J73" s="10"/>
      <c r="K73" s="10"/>
      <c r="L73" s="10"/>
      <c r="M73" s="10"/>
      <c r="W73" s="2"/>
      <c r="X73" s="14"/>
      <c r="Y73" s="2"/>
      <c r="Z73" s="2"/>
      <c r="AA73" s="2"/>
    </row>
    <row r="74" spans="1:27" x14ac:dyDescent="0.25">
      <c r="A74" s="42"/>
      <c r="C74" s="2"/>
      <c r="D74" s="44"/>
      <c r="E74" s="44"/>
      <c r="F74" s="44"/>
      <c r="G74" s="44"/>
      <c r="H74" s="44"/>
      <c r="I74" s="10"/>
      <c r="J74" s="10"/>
      <c r="K74" s="10"/>
      <c r="L74" s="10"/>
      <c r="M74" s="10"/>
      <c r="X74" s="14"/>
      <c r="Y74" s="2"/>
      <c r="Z74" s="2"/>
      <c r="AA74" s="2"/>
    </row>
    <row r="75" spans="1:27" x14ac:dyDescent="0.25">
      <c r="A75" s="18"/>
      <c r="C75" s="2"/>
      <c r="D75" s="44"/>
      <c r="E75" s="44"/>
      <c r="F75" s="44"/>
      <c r="G75" s="44"/>
      <c r="H75" s="44"/>
      <c r="I75" s="10"/>
      <c r="J75" s="10"/>
      <c r="K75" s="10"/>
      <c r="L75" s="10"/>
      <c r="M75" s="10"/>
      <c r="X75" s="14"/>
      <c r="Y75" s="2"/>
      <c r="Z75" s="2"/>
      <c r="AA75" s="2"/>
    </row>
    <row r="76" spans="1:27" x14ac:dyDescent="0.25">
      <c r="A76" s="18"/>
      <c r="C76" s="2"/>
      <c r="D76" s="44"/>
      <c r="E76" s="44"/>
      <c r="F76" s="44"/>
      <c r="G76" s="44"/>
      <c r="H76" s="44"/>
      <c r="I76" s="10"/>
      <c r="J76" s="10"/>
      <c r="K76" s="10"/>
      <c r="L76" s="10"/>
      <c r="M76" s="10"/>
      <c r="X76" s="14"/>
      <c r="Y76" s="2"/>
      <c r="Z76" s="2"/>
      <c r="AA76" s="2"/>
    </row>
    <row r="77" spans="1:27" x14ac:dyDescent="0.25">
      <c r="A77" s="18"/>
      <c r="C77" s="2"/>
      <c r="D77" s="44"/>
      <c r="E77" s="44"/>
      <c r="F77" s="44"/>
      <c r="G77" s="44"/>
      <c r="H77" s="44"/>
      <c r="I77" s="10"/>
      <c r="J77" s="10"/>
      <c r="K77" s="10"/>
      <c r="L77" s="10"/>
      <c r="M77" s="10"/>
      <c r="X77" s="14"/>
      <c r="Y77" s="2"/>
      <c r="Z77" s="2"/>
      <c r="AA77" s="2"/>
    </row>
    <row r="78" spans="1:27" x14ac:dyDescent="0.25">
      <c r="A78" s="18"/>
      <c r="C78" s="2"/>
      <c r="D78" s="44"/>
      <c r="E78" s="44"/>
      <c r="F78" s="44"/>
      <c r="G78" s="44"/>
      <c r="H78" s="44"/>
      <c r="I78" s="10"/>
      <c r="J78" s="10"/>
      <c r="K78" s="10"/>
      <c r="L78" s="10"/>
      <c r="M78" s="10"/>
      <c r="X78" s="14"/>
      <c r="Y78" s="2"/>
      <c r="Z78" s="2"/>
      <c r="AA78" s="2"/>
    </row>
    <row r="79" spans="1:27" x14ac:dyDescent="0.25">
      <c r="A79" s="18"/>
      <c r="C79" s="2"/>
      <c r="D79" s="44"/>
      <c r="E79" s="44"/>
      <c r="F79" s="44"/>
      <c r="G79" s="44"/>
      <c r="H79" s="44"/>
      <c r="I79" s="10"/>
      <c r="J79" s="10"/>
      <c r="K79" s="10"/>
      <c r="L79" s="10"/>
      <c r="M79" s="10"/>
      <c r="X79" s="14"/>
      <c r="Y79" s="2"/>
      <c r="Z79" s="2"/>
      <c r="AA79" s="2"/>
    </row>
    <row r="80" spans="1:27" x14ac:dyDescent="0.25">
      <c r="A80" s="18"/>
      <c r="C80" s="2"/>
      <c r="D80" s="44"/>
      <c r="E80" s="44"/>
      <c r="F80" s="44"/>
      <c r="G80" s="44"/>
      <c r="H80" s="44"/>
      <c r="I80" s="10"/>
      <c r="J80" s="10"/>
      <c r="K80" s="10"/>
      <c r="L80" s="10"/>
      <c r="M80" s="10"/>
      <c r="X80" s="14"/>
      <c r="Y80" s="2"/>
      <c r="Z80" s="2"/>
      <c r="AA80" s="2"/>
    </row>
    <row r="81" spans="1:27" x14ac:dyDescent="0.25">
      <c r="A81" s="18"/>
      <c r="C81" s="2"/>
      <c r="D81" s="44"/>
      <c r="E81" s="44"/>
      <c r="F81" s="44"/>
      <c r="G81" s="44"/>
      <c r="H81" s="44"/>
      <c r="I81" s="10"/>
      <c r="J81" s="10"/>
      <c r="K81" s="10"/>
      <c r="L81" s="10"/>
      <c r="M81" s="10"/>
      <c r="X81" s="14"/>
      <c r="Y81" s="2"/>
      <c r="Z81" s="2"/>
      <c r="AA81" s="2"/>
    </row>
    <row r="82" spans="1:27" x14ac:dyDescent="0.25">
      <c r="A82" s="18"/>
      <c r="C82" s="2"/>
      <c r="D82" s="44"/>
      <c r="E82" s="44"/>
      <c r="F82" s="44"/>
      <c r="G82" s="44"/>
      <c r="H82" s="44"/>
      <c r="I82" s="10"/>
      <c r="J82" s="10"/>
      <c r="K82" s="10"/>
      <c r="L82" s="10"/>
      <c r="M82" s="10"/>
      <c r="X82" s="14"/>
      <c r="Y82" s="2"/>
      <c r="Z82" s="2"/>
      <c r="AA82" s="2"/>
    </row>
    <row r="83" spans="1:27" x14ac:dyDescent="0.25">
      <c r="A83" s="18"/>
      <c r="C83" s="2"/>
      <c r="D83" s="44"/>
      <c r="E83" s="44"/>
      <c r="F83" s="44"/>
      <c r="G83" s="44"/>
      <c r="H83" s="44"/>
      <c r="I83" s="10"/>
      <c r="J83" s="10"/>
      <c r="K83" s="10"/>
      <c r="L83" s="10"/>
      <c r="M83" s="10"/>
      <c r="X83" s="14"/>
      <c r="Y83" s="2"/>
      <c r="Z83" s="2"/>
      <c r="AA83" s="2"/>
    </row>
    <row r="84" spans="1:27" x14ac:dyDescent="0.25">
      <c r="A84" s="18"/>
      <c r="C84" s="2"/>
      <c r="D84" s="44"/>
      <c r="E84" s="44"/>
      <c r="F84" s="44"/>
      <c r="G84" s="44"/>
      <c r="H84" s="44"/>
      <c r="I84" s="10"/>
      <c r="J84" s="10"/>
      <c r="K84" s="10"/>
      <c r="L84" s="10"/>
      <c r="M84" s="10"/>
      <c r="X84" s="14"/>
      <c r="Y84" s="2"/>
      <c r="Z84" s="2"/>
      <c r="AA84" s="2"/>
    </row>
    <row r="85" spans="1:27" x14ac:dyDescent="0.25">
      <c r="A85" s="18"/>
      <c r="C85" s="2"/>
      <c r="D85" s="44"/>
      <c r="E85" s="44"/>
      <c r="F85" s="44"/>
      <c r="G85" s="44"/>
      <c r="H85" s="44"/>
      <c r="I85" s="10"/>
      <c r="J85" s="10"/>
      <c r="K85" s="10"/>
      <c r="L85" s="10"/>
      <c r="M85" s="10"/>
      <c r="X85" s="14"/>
      <c r="Y85" s="2"/>
      <c r="Z85" s="2"/>
      <c r="AA85" s="2"/>
    </row>
  </sheetData>
  <sortState ref="AL25:AL49">
    <sortCondition ref="AL25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4" bestFit="1" customWidth="1"/>
    <col min="4" max="4" width="11.5703125" style="34" customWidth="1"/>
    <col min="5" max="5" width="47.42578125" bestFit="1" customWidth="1"/>
    <col min="6" max="6" width="8.85546875" style="35"/>
  </cols>
  <sheetData>
    <row r="1" spans="1:8" x14ac:dyDescent="0.25">
      <c r="A1" t="s">
        <v>58</v>
      </c>
      <c r="B1" s="34" t="s">
        <v>8</v>
      </c>
      <c r="C1" s="34" t="s">
        <v>7</v>
      </c>
      <c r="D1" s="34" t="s">
        <v>59</v>
      </c>
      <c r="E1" t="s">
        <v>64</v>
      </c>
      <c r="F1" s="35" t="s">
        <v>60</v>
      </c>
      <c r="G1" s="34" t="s">
        <v>62</v>
      </c>
      <c r="H1" s="34" t="s">
        <v>63</v>
      </c>
    </row>
    <row r="2" spans="1:8" s="10" customFormat="1" x14ac:dyDescent="0.25">
      <c r="A2" s="10" t="str">
        <f>IF(ISNUMBER(Calculations!M4),CONCATENATE("GPS",Calculations!M4),"")</f>
        <v>GPS0</v>
      </c>
      <c r="B2" s="34">
        <f>IF(ISNUMBER(Calculations!N4),CONVERT(Calculations!N4,Units_In,Units_Out),"")</f>
        <v>3448227.0210000002</v>
      </c>
      <c r="C2" s="34">
        <f>IF(ISNUMBER(Calculations!O4),CONVERT(Calculations!O4,Units_In,Units_Out),"")</f>
        <v>1534907.2209999999</v>
      </c>
      <c r="D2" s="34" t="s">
        <v>61</v>
      </c>
      <c r="E2" s="10" t="str">
        <f>CONCATENATE("0503 ",B2,"EUSft ",C2,"NUSft")</f>
        <v>0503 3448227.021EUSft 1534907.221NUSft</v>
      </c>
      <c r="F2" s="35">
        <v>98</v>
      </c>
      <c r="G2" s="10" t="str">
        <f>IF(F2=98,"Lime",IF(F2=94,"Yellow",""))</f>
        <v>Lime</v>
      </c>
      <c r="H2" s="10" t="str">
        <f>Calculations!$A$1</f>
        <v>CSS1</v>
      </c>
    </row>
    <row r="3" spans="1:8" s="10" customFormat="1" x14ac:dyDescent="0.25">
      <c r="A3" s="10" t="str">
        <f>IF(ISNUMBER(Calculations!M5),CONCATENATE("GPS",Calculations!M5),"")</f>
        <v>GPS1</v>
      </c>
      <c r="B3" s="34">
        <f>IF(ISNUMBER(Calculations!N5),CONVERT(Calculations!N5,Units_In,Units_Out),"")</f>
        <v>3448266.9659999995</v>
      </c>
      <c r="C3" s="34">
        <f>IF(ISNUMBER(Calculations!O5),CONVERT(Calculations!O5,Units_In,Units_Out),"")</f>
        <v>1534813.523</v>
      </c>
      <c r="D3" s="34" t="s">
        <v>61</v>
      </c>
      <c r="E3" s="10" t="str">
        <f t="shared" ref="E3:E4" si="0">CONCATENATE("0503 ",B3,"EUSft ",C3,"NUSft")</f>
        <v>0503 3448266.966EUSft 1534813.523NUSft</v>
      </c>
      <c r="F3" s="35">
        <v>98</v>
      </c>
      <c r="G3" s="10" t="str">
        <f t="shared" ref="G3:G65" si="1">IF(F3=98,"Lime",IF(F3=94,"Yellow",""))</f>
        <v>Lime</v>
      </c>
      <c r="H3" s="10" t="str">
        <f>Calculations!$A$1</f>
        <v>CSS1</v>
      </c>
    </row>
    <row r="4" spans="1:8" s="10" customFormat="1" x14ac:dyDescent="0.25">
      <c r="A4" s="10" t="str">
        <f>IF(ISNUMBER(Calculations!M6),CONCATENATE("GPS",Calculations!M6),"")</f>
        <v>GPS2</v>
      </c>
      <c r="B4" s="34">
        <f>IF(ISNUMBER(Calculations!N6),CONVERT(Calculations!N6,Units_In,Units_Out),"")</f>
        <v>3448135.5380000002</v>
      </c>
      <c r="C4" s="34">
        <f>IF(ISNUMBER(Calculations!O6),CONVERT(Calculations!O6,Units_In,Units_Out),"")</f>
        <v>1534843.068</v>
      </c>
      <c r="D4" s="34" t="s">
        <v>61</v>
      </c>
      <c r="E4" s="10" t="str">
        <f t="shared" si="0"/>
        <v>0503 3448135.538EUSft 1534843.068NUSft</v>
      </c>
      <c r="F4" s="35">
        <v>98</v>
      </c>
      <c r="G4" s="10" t="str">
        <f t="shared" si="1"/>
        <v>Lime</v>
      </c>
      <c r="H4" s="10" t="str">
        <f>Calculations!$A$1</f>
        <v>CSS1</v>
      </c>
    </row>
    <row r="5" spans="1:8" x14ac:dyDescent="0.25">
      <c r="A5">
        <f>IF(ISNUMBER(Calculations!A21),Calculations!A21,"")</f>
        <v>2</v>
      </c>
      <c r="B5" s="34">
        <f ca="1">IF(ISNUMBER(A5),CONVERT(Calculations!T21,Units_In,Units_Out),"")</f>
        <v>3448265.4806733252</v>
      </c>
      <c r="C5" s="34">
        <f ca="1">IF(ISNUMBER(A5),CONVERT(Calculations!U21,Units_In,Units_Out),"")</f>
        <v>1534810.8378328602</v>
      </c>
      <c r="D5" s="34" t="str">
        <f>IF(ISTEXT(Calculations!F21),Calculations!F21,"")</f>
        <v>BS</v>
      </c>
      <c r="E5" t="str">
        <f ca="1">IF(ISNUMBER(A5),CONCATENATE("0503 ",B5,"EUSft ",C5,"NUSft"),"")</f>
        <v>0503 3448265.48067333EUSft 1534810.83783286NUSft</v>
      </c>
      <c r="F5" s="35">
        <f>IF(ISNUMBER(A5),94,"")</f>
        <v>94</v>
      </c>
      <c r="G5" s="10" t="str">
        <f t="shared" si="1"/>
        <v>Yellow</v>
      </c>
      <c r="H5" s="10" t="str">
        <f>IF(ISNUMBER(A5),Calculations!$A$1,"")</f>
        <v>CSS1</v>
      </c>
    </row>
    <row r="6" spans="1:8" x14ac:dyDescent="0.25">
      <c r="A6" s="10">
        <f>IF(ISNUMBER(Calculations!A22),Calculations!A22,"")</f>
        <v>3</v>
      </c>
      <c r="B6" s="34">
        <f ca="1">IF(ISNUMBER(A6),CONVERT(Calculations!T22,Units_In,Units_Out),"")</f>
        <v>3448137.4608458718</v>
      </c>
      <c r="C6" s="34">
        <f ca="1">IF(ISNUMBER(A6),CONVERT(Calculations!U22,Units_In,Units_Out),"")</f>
        <v>1534841.2489469105</v>
      </c>
      <c r="D6" s="34" t="str">
        <f>IF(ISTEXT(Calculations!F22),Calculations!F22,"")</f>
        <v>BS</v>
      </c>
      <c r="E6" s="10" t="str">
        <f t="shared" ref="E6:E65" ca="1" si="2">IF(ISNUMBER(A6),CONCATENATE("0503 ",B6,"EUSft ",C6,"NUSft"),"")</f>
        <v>0503 3448137.46084587EUSft 1534841.24894691NUSft</v>
      </c>
      <c r="F6" s="35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CSS1</v>
      </c>
    </row>
    <row r="7" spans="1:8" x14ac:dyDescent="0.25">
      <c r="A7" s="10">
        <f>IF(ISNUMBER(Calculations!A23),Calculations!A23,"")</f>
        <v>4</v>
      </c>
      <c r="B7" s="34">
        <f ca="1">IF(ISNUMBER(A7),CONVERT(Calculations!T23,Units_In,Units_Out),"")</f>
        <v>3448251.6341915932</v>
      </c>
      <c r="C7" s="34">
        <f ca="1">IF(ISNUMBER(A7),CONVERT(Calculations!U23,Units_In,Units_Out),"")</f>
        <v>1534926.2195354383</v>
      </c>
      <c r="D7" s="34" t="str">
        <f>IF(ISTEXT(Calculations!F23),Calculations!F23,"")</f>
        <v>ZERO</v>
      </c>
      <c r="E7" s="10" t="str">
        <f t="shared" ca="1" si="2"/>
        <v>0503 3448251.63419159EUSft 1534926.21953544NUSft</v>
      </c>
      <c r="F7" s="35">
        <f t="shared" si="3"/>
        <v>94</v>
      </c>
      <c r="G7" s="10" t="str">
        <f t="shared" si="1"/>
        <v>Yellow</v>
      </c>
      <c r="H7" s="10" t="str">
        <f>IF(ISNUMBER(A7),Calculations!$A$1,"")</f>
        <v>CSS1</v>
      </c>
    </row>
    <row r="8" spans="1:8" x14ac:dyDescent="0.25">
      <c r="A8" s="10">
        <f>IF(ISNUMBER(Calculations!A24),Calculations!A24,"")</f>
        <v>5</v>
      </c>
      <c r="B8" s="34">
        <f ca="1">IF(ISNUMBER(A8),CONVERT(Calculations!T24,Units_In,Units_Out),"")</f>
        <v>3448235.3455831497</v>
      </c>
      <c r="C8" s="34">
        <f ca="1">IF(ISNUMBER(A8),CONVERT(Calculations!U24,Units_In,Units_Out),"")</f>
        <v>1534939.56195896</v>
      </c>
      <c r="D8" s="34" t="str">
        <f>IF(ISTEXT(Calculations!F24),Calculations!F24,"")</f>
        <v>D</v>
      </c>
      <c r="E8" s="10" t="str">
        <f t="shared" ca="1" si="2"/>
        <v>0503 3448235.34558315EUSft 1534939.56195896NUSft</v>
      </c>
      <c r="F8" s="35">
        <f t="shared" si="3"/>
        <v>94</v>
      </c>
      <c r="G8" s="10" t="str">
        <f t="shared" si="1"/>
        <v>Yellow</v>
      </c>
      <c r="H8" s="10" t="str">
        <f>IF(ISNUMBER(A8),Calculations!$A$1,"")</f>
        <v>CSS1</v>
      </c>
    </row>
    <row r="9" spans="1:8" x14ac:dyDescent="0.25">
      <c r="A9" s="10">
        <f>IF(ISNUMBER(Calculations!A25),Calculations!A25,"")</f>
        <v>6</v>
      </c>
      <c r="B9" s="34">
        <f ca="1">IF(ISNUMBER(A9),CONVERT(Calculations!T25,Units_In,Units_Out),"")</f>
        <v>3448251.8371977382</v>
      </c>
      <c r="C9" s="34">
        <f ca="1">IF(ISNUMBER(A9),CONVERT(Calculations!U25,Units_In,Units_Out),"")</f>
        <v>1535014.912662189</v>
      </c>
      <c r="D9" s="34" t="str">
        <f>IF(ISTEXT(Calculations!F25),Calculations!F25,"")</f>
        <v/>
      </c>
      <c r="E9" s="10" t="str">
        <f t="shared" ca="1" si="2"/>
        <v>0503 3448251.83719774EUSft 1535014.91266219NUSft</v>
      </c>
      <c r="F9" s="35">
        <f t="shared" si="3"/>
        <v>94</v>
      </c>
      <c r="G9" s="10" t="str">
        <f t="shared" si="1"/>
        <v>Yellow</v>
      </c>
      <c r="H9" s="10" t="str">
        <f>IF(ISNUMBER(A9),Calculations!$A$1,"")</f>
        <v>CSS1</v>
      </c>
    </row>
    <row r="10" spans="1:8" x14ac:dyDescent="0.25">
      <c r="A10" s="10">
        <f>IF(ISNUMBER(Calculations!A26),Calculations!A26,"")</f>
        <v>7</v>
      </c>
      <c r="B10" s="34">
        <f ca="1">IF(ISNUMBER(A10),CONVERT(Calculations!T26,Units_In,Units_Out),"")</f>
        <v>3448251.4450866533</v>
      </c>
      <c r="C10" s="34">
        <f ca="1">IF(ISNUMBER(A10),CONVERT(Calculations!U26,Units_In,Units_Out),"")</f>
        <v>1535021.637186731</v>
      </c>
      <c r="D10" s="34" t="str">
        <f>IF(ISTEXT(Calculations!F26),Calculations!F26,"")</f>
        <v/>
      </c>
      <c r="E10" s="10" t="str">
        <f t="shared" ca="1" si="2"/>
        <v>0503 3448251.44508665EUSft 1535021.63718673NUSft</v>
      </c>
      <c r="F10" s="35">
        <f t="shared" si="3"/>
        <v>94</v>
      </c>
      <c r="G10" s="10" t="str">
        <f t="shared" si="1"/>
        <v>Yellow</v>
      </c>
      <c r="H10" s="10" t="str">
        <f>IF(ISNUMBER(A10),Calculations!$A$1,"")</f>
        <v>CSS1</v>
      </c>
    </row>
    <row r="11" spans="1:8" x14ac:dyDescent="0.25">
      <c r="A11" s="10">
        <f>IF(ISNUMBER(Calculations!A27),Calculations!A27,"")</f>
        <v>8</v>
      </c>
      <c r="B11" s="34">
        <f ca="1">IF(ISNUMBER(A11),CONVERT(Calculations!T27,Units_In,Units_Out),"")</f>
        <v>3448265.5089821555</v>
      </c>
      <c r="C11" s="34">
        <f ca="1">IF(ISNUMBER(A11),CONVERT(Calculations!U27,Units_In,Units_Out),"")</f>
        <v>1535080.4845749233</v>
      </c>
      <c r="D11" s="34" t="str">
        <f>IF(ISTEXT(Calculations!F27),Calculations!F27,"")</f>
        <v>WS</v>
      </c>
      <c r="E11" s="10" t="str">
        <f t="shared" ca="1" si="2"/>
        <v>0503 3448265.50898216EUSft 1535080.48457492NUSft</v>
      </c>
      <c r="F11" s="35">
        <f t="shared" si="3"/>
        <v>94</v>
      </c>
      <c r="G11" s="10" t="str">
        <f t="shared" si="1"/>
        <v>Yellow</v>
      </c>
      <c r="H11" s="10" t="str">
        <f>IF(ISNUMBER(A11),Calculations!$A$1,"")</f>
        <v>CSS1</v>
      </c>
    </row>
    <row r="12" spans="1:8" x14ac:dyDescent="0.25">
      <c r="A12" s="10">
        <f>IF(ISNUMBER(Calculations!A28),Calculations!A28,"")</f>
        <v>9</v>
      </c>
      <c r="B12" s="34">
        <f ca="1">IF(ISNUMBER(A12),CONVERT(Calculations!T28,Units_In,Units_Out),"")</f>
        <v>3448264.1362120812</v>
      </c>
      <c r="C12" s="34">
        <f ca="1">IF(ISNUMBER(A12),CONVERT(Calculations!U28,Units_In,Units_Out),"")</f>
        <v>1535087.417174814</v>
      </c>
      <c r="D12" s="34" t="str">
        <f>IF(ISTEXT(Calculations!F28),Calculations!F28,"")</f>
        <v/>
      </c>
      <c r="E12" s="10" t="str">
        <f t="shared" ca="1" si="2"/>
        <v>0503 3448264.13621208EUSft 1535087.41717481NUSft</v>
      </c>
      <c r="F12" s="35">
        <f t="shared" si="3"/>
        <v>94</v>
      </c>
      <c r="G12" s="10" t="str">
        <f t="shared" si="1"/>
        <v>Yellow</v>
      </c>
      <c r="H12" s="10" t="str">
        <f>IF(ISNUMBER(A12),Calculations!$A$1,"")</f>
        <v>CSS1</v>
      </c>
    </row>
    <row r="13" spans="1:8" x14ac:dyDescent="0.25">
      <c r="A13" s="10">
        <f>IF(ISNUMBER(Calculations!A29),Calculations!A29,"")</f>
        <v>10</v>
      </c>
      <c r="B13" s="34">
        <f ca="1">IF(ISNUMBER(A13),CONVERT(Calculations!T29,Units_In,Units_Out),"")</f>
        <v>3448267.5392442807</v>
      </c>
      <c r="C13" s="34">
        <f ca="1">IF(ISNUMBER(A13),CONVERT(Calculations!U29,Units_In,Units_Out),"")</f>
        <v>1535103.7702649171</v>
      </c>
      <c r="D13" s="34" t="str">
        <f>IF(ISTEXT(Calculations!F29),Calculations!F29,"")</f>
        <v/>
      </c>
      <c r="E13" s="10" t="str">
        <f t="shared" ca="1" si="2"/>
        <v>0503 3448267.53924428EUSft 1535103.77026492NUSft</v>
      </c>
      <c r="F13" s="35">
        <f t="shared" si="3"/>
        <v>94</v>
      </c>
      <c r="G13" s="10" t="str">
        <f t="shared" si="1"/>
        <v>Yellow</v>
      </c>
      <c r="H13" s="10" t="str">
        <f>IF(ISNUMBER(A13),Calculations!$A$1,"")</f>
        <v>CSS1</v>
      </c>
    </row>
    <row r="14" spans="1:8" x14ac:dyDescent="0.25">
      <c r="A14" s="10">
        <f>IF(ISNUMBER(Calculations!A30),Calculations!A30,"")</f>
        <v>11</v>
      </c>
      <c r="B14" s="34">
        <f ca="1">IF(ISNUMBER(A14),CONVERT(Calculations!T30,Units_In,Units_Out),"")</f>
        <v>3448287.0120331235</v>
      </c>
      <c r="C14" s="34">
        <f ca="1">IF(ISNUMBER(A14),CONVERT(Calculations!U30,Units_In,Units_Out),"")</f>
        <v>1535192.6624507129</v>
      </c>
      <c r="D14" s="34" t="str">
        <f>IF(ISTEXT(Calculations!F30),Calculations!F30,"")</f>
        <v>WS</v>
      </c>
      <c r="E14" s="10" t="str">
        <f t="shared" ca="1" si="2"/>
        <v>0503 3448287.01203312EUSft 1535192.66245071NUSft</v>
      </c>
      <c r="F14" s="35">
        <f t="shared" si="3"/>
        <v>94</v>
      </c>
      <c r="G14" s="10" t="str">
        <f t="shared" si="1"/>
        <v>Yellow</v>
      </c>
      <c r="H14" s="10" t="str">
        <f>IF(ISNUMBER(A14),Calculations!$A$1,"")</f>
        <v>CSS1</v>
      </c>
    </row>
    <row r="15" spans="1:8" x14ac:dyDescent="0.25">
      <c r="A15" s="10">
        <f>IF(ISNUMBER(Calculations!A31),Calculations!A31,"")</f>
        <v>12</v>
      </c>
      <c r="B15" s="34">
        <f ca="1">IF(ISNUMBER(A15),CONVERT(Calculations!T31,Units_In,Units_Out),"")</f>
        <v>3448287.2304577548</v>
      </c>
      <c r="C15" s="34">
        <f ca="1">IF(ISNUMBER(A15),CONVERT(Calculations!U31,Units_In,Units_Out),"")</f>
        <v>1535193.6396396135</v>
      </c>
      <c r="D15" s="34" t="str">
        <f>IF(ISTEXT(Calculations!F31),Calculations!F31,"")</f>
        <v/>
      </c>
      <c r="E15" s="10" t="str">
        <f t="shared" ca="1" si="2"/>
        <v>0503 3448287.23045775EUSft 1535193.63963961NUSft</v>
      </c>
      <c r="F15" s="35">
        <f t="shared" si="3"/>
        <v>94</v>
      </c>
      <c r="G15" s="10" t="str">
        <f t="shared" si="1"/>
        <v>Yellow</v>
      </c>
      <c r="H15" s="10" t="str">
        <f>IF(ISNUMBER(A15),Calculations!$A$1,"")</f>
        <v>CSS1</v>
      </c>
    </row>
    <row r="16" spans="1:8" x14ac:dyDescent="0.25">
      <c r="A16" s="10">
        <f>IF(ISNUMBER(Calculations!A32),Calculations!A32,"")</f>
        <v>13</v>
      </c>
      <c r="B16" s="34">
        <f ca="1">IF(ISNUMBER(A16),CONVERT(Calculations!T32,Units_In,Units_Out),"")</f>
        <v>3448285.3997183004</v>
      </c>
      <c r="C16" s="34">
        <f ca="1">IF(ISNUMBER(A16),CONVERT(Calculations!U32,Units_In,Units_Out),"")</f>
        <v>1535197.4031267739</v>
      </c>
      <c r="D16" s="34" t="str">
        <f>IF(ISTEXT(Calculations!F32),Calculations!F32,"")</f>
        <v/>
      </c>
      <c r="E16" s="10" t="str">
        <f t="shared" ca="1" si="2"/>
        <v>0503 3448285.3997183EUSft 1535197.40312677NUSft</v>
      </c>
      <c r="F16" s="35">
        <f t="shared" si="3"/>
        <v>94</v>
      </c>
      <c r="G16" s="10" t="str">
        <f t="shared" si="1"/>
        <v>Yellow</v>
      </c>
      <c r="H16" s="10" t="str">
        <f>IF(ISNUMBER(A16),Calculations!$A$1,"")</f>
        <v>CSS1</v>
      </c>
    </row>
    <row r="17" spans="1:8" x14ac:dyDescent="0.25">
      <c r="A17" s="10">
        <f>IF(ISNUMBER(Calculations!A33),Calculations!A33,"")</f>
        <v>14</v>
      </c>
      <c r="B17" s="34">
        <f ca="1">IF(ISNUMBER(A17),CONVERT(Calculations!T33,Units_In,Units_Out),"")</f>
        <v>3448283.9709681724</v>
      </c>
      <c r="C17" s="34">
        <f ca="1">IF(ISNUMBER(A17),CONVERT(Calculations!U33,Units_In,Units_Out),"")</f>
        <v>1535193.1608339564</v>
      </c>
      <c r="D17" s="34" t="str">
        <f>IF(ISTEXT(Calculations!F33),Calculations!F33,"")</f>
        <v/>
      </c>
      <c r="E17" s="10" t="str">
        <f t="shared" ca="1" si="2"/>
        <v>0503 3448283.97096817EUSft 1535193.16083396NUSft</v>
      </c>
      <c r="F17" s="35">
        <f t="shared" si="3"/>
        <v>94</v>
      </c>
      <c r="G17" s="10" t="str">
        <f t="shared" si="1"/>
        <v>Yellow</v>
      </c>
      <c r="H17" s="10" t="str">
        <f>IF(ISNUMBER(A17),Calculations!$A$1,"")</f>
        <v>CSS1</v>
      </c>
    </row>
    <row r="18" spans="1:8" x14ac:dyDescent="0.25">
      <c r="A18" s="10">
        <f>IF(ISNUMBER(Calculations!A34),Calculations!A34,"")</f>
        <v>15</v>
      </c>
      <c r="B18" s="34">
        <f ca="1">IF(ISNUMBER(A18),CONVERT(Calculations!T34,Units_In,Units_Out),"")</f>
        <v>3448284.7310823416</v>
      </c>
      <c r="C18" s="34">
        <f ca="1">IF(ISNUMBER(A18),CONVERT(Calculations!U34,Units_In,Units_Out),"")</f>
        <v>1535194.8294655315</v>
      </c>
      <c r="D18" s="34" t="str">
        <f>IF(ISTEXT(Calculations!F34),Calculations!F34,"")</f>
        <v/>
      </c>
      <c r="E18" s="10" t="str">
        <f t="shared" ca="1" si="2"/>
        <v>0503 3448284.73108234EUSft 1535194.82946553NUSft</v>
      </c>
      <c r="F18" s="35">
        <f t="shared" si="3"/>
        <v>94</v>
      </c>
      <c r="G18" s="10" t="str">
        <f t="shared" si="1"/>
        <v>Yellow</v>
      </c>
      <c r="H18" s="10" t="str">
        <f>IF(ISNUMBER(A18),Calculations!$A$1,"")</f>
        <v>CSS1</v>
      </c>
    </row>
    <row r="19" spans="1:8" x14ac:dyDescent="0.25">
      <c r="A19" s="10">
        <f>IF(ISNUMBER(Calculations!A35),Calculations!A35,"")</f>
        <v>16</v>
      </c>
      <c r="B19" s="34">
        <f ca="1">IF(ISNUMBER(A19),CONVERT(Calculations!T35,Units_In,Units_Out),"")</f>
        <v>3448284.8858092315</v>
      </c>
      <c r="C19" s="34">
        <f ca="1">IF(ISNUMBER(A19),CONVERT(Calculations!U35,Units_In,Units_Out),"")</f>
        <v>1535195.2819908774</v>
      </c>
      <c r="D19" s="34" t="str">
        <f>IF(ISTEXT(Calculations!F35),Calculations!F35,"")</f>
        <v/>
      </c>
      <c r="E19" s="10" t="str">
        <f t="shared" ca="1" si="2"/>
        <v>0503 3448284.88580923EUSft 1535195.28199088NUSft</v>
      </c>
      <c r="F19" s="35">
        <f t="shared" si="3"/>
        <v>94</v>
      </c>
      <c r="G19" s="10" t="str">
        <f t="shared" si="1"/>
        <v>Yellow</v>
      </c>
      <c r="H19" s="10" t="str">
        <f>IF(ISNUMBER(A19),Calculations!$A$1,"")</f>
        <v>CSS1</v>
      </c>
    </row>
    <row r="20" spans="1:8" x14ac:dyDescent="0.25">
      <c r="A20" s="10">
        <f>IF(ISNUMBER(Calculations!A36),Calculations!A36,"")</f>
        <v>17</v>
      </c>
      <c r="B20" s="34">
        <f ca="1">IF(ISNUMBER(A20),CONVERT(Calculations!T36,Units_In,Units_Out),"")</f>
        <v>3448285.3528607246</v>
      </c>
      <c r="C20" s="34">
        <f ca="1">IF(ISNUMBER(A20),CONVERT(Calculations!U36,Units_In,Units_Out),"")</f>
        <v>1535196.2858533293</v>
      </c>
      <c r="D20" s="34" t="str">
        <f>IF(ISTEXT(Calculations!F36),Calculations!F36,"")</f>
        <v/>
      </c>
      <c r="E20" s="10" t="str">
        <f t="shared" ca="1" si="2"/>
        <v>0503 3448285.35286072EUSft 1535196.28585333NUSft</v>
      </c>
      <c r="F20" s="35">
        <f t="shared" si="3"/>
        <v>94</v>
      </c>
      <c r="G20" s="10" t="str">
        <f t="shared" si="1"/>
        <v>Yellow</v>
      </c>
      <c r="H20" s="10" t="str">
        <f>IF(ISNUMBER(A20),Calculations!$A$1,"")</f>
        <v>CSS1</v>
      </c>
    </row>
    <row r="21" spans="1:8" x14ac:dyDescent="0.25">
      <c r="A21" s="10">
        <f>IF(ISNUMBER(Calculations!A37),Calculations!A37,"")</f>
        <v>18</v>
      </c>
      <c r="B21" s="34">
        <f ca="1">IF(ISNUMBER(A21),CONVERT(Calculations!T37,Units_In,Units_Out),"")</f>
        <v>3448298.5863645067</v>
      </c>
      <c r="C21" s="34">
        <f ca="1">IF(ISNUMBER(A21),CONVERT(Calculations!U37,Units_In,Units_Out),"")</f>
        <v>1535252.4796810383</v>
      </c>
      <c r="D21" s="34" t="str">
        <f>IF(ISTEXT(Calculations!F37),Calculations!F37,"")</f>
        <v/>
      </c>
      <c r="E21" s="10" t="str">
        <f t="shared" ca="1" si="2"/>
        <v>0503 3448298.58636451EUSft 1535252.47968104NUSft</v>
      </c>
      <c r="F21" s="35">
        <f t="shared" si="3"/>
        <v>94</v>
      </c>
      <c r="G21" s="10" t="str">
        <f t="shared" si="1"/>
        <v>Yellow</v>
      </c>
      <c r="H21" s="10" t="str">
        <f>IF(ISNUMBER(A21),Calculations!$A$1,"")</f>
        <v>CSS1</v>
      </c>
    </row>
    <row r="22" spans="1:8" x14ac:dyDescent="0.25">
      <c r="A22" s="10">
        <f>IF(ISNUMBER(Calculations!A38),Calculations!A38,"")</f>
        <v>19</v>
      </c>
      <c r="B22" s="34">
        <f ca="1">IF(ISNUMBER(A22),CONVERT(Calculations!T38,Units_In,Units_Out),"")</f>
        <v>3448307.7124284995</v>
      </c>
      <c r="C22" s="34">
        <f ca="1">IF(ISNUMBER(A22),CONVERT(Calculations!U38,Units_In,Units_Out),"")</f>
        <v>1535298.9337859508</v>
      </c>
      <c r="D22" s="34" t="str">
        <f>IF(ISTEXT(Calculations!F38),Calculations!F38,"")</f>
        <v/>
      </c>
      <c r="E22" s="10" t="str">
        <f t="shared" ca="1" si="2"/>
        <v>0503 3448307.7124285EUSft 1535298.93378595NUSft</v>
      </c>
      <c r="F22" s="35">
        <f t="shared" si="3"/>
        <v>94</v>
      </c>
      <c r="G22" s="10" t="str">
        <f t="shared" si="1"/>
        <v>Yellow</v>
      </c>
      <c r="H22" s="10" t="str">
        <f>IF(ISNUMBER(A22),Calculations!$A$1,"")</f>
        <v>CSS1</v>
      </c>
    </row>
    <row r="23" spans="1:8" x14ac:dyDescent="0.25">
      <c r="A23" s="10">
        <f>IF(ISNUMBER(Calculations!A39),Calculations!A39,"")</f>
        <v>20</v>
      </c>
      <c r="B23" s="34">
        <f ca="1">IF(ISNUMBER(A23),CONVERT(Calculations!T39,Units_In,Units_Out),"")</f>
        <v>3448308.8860327331</v>
      </c>
      <c r="C23" s="34">
        <f ca="1">IF(ISNUMBER(A23),CONVERT(Calculations!U39,Units_In,Units_Out),"")</f>
        <v>1535303.3382947673</v>
      </c>
      <c r="D23" s="34" t="str">
        <f>IF(ISTEXT(Calculations!F39),Calculations!F39,"")</f>
        <v/>
      </c>
      <c r="E23" s="10" t="str">
        <f t="shared" ca="1" si="2"/>
        <v>0503 3448308.88603273EUSft 1535303.33829477NUSft</v>
      </c>
      <c r="F23" s="35">
        <f t="shared" si="3"/>
        <v>94</v>
      </c>
      <c r="G23" s="10" t="str">
        <f t="shared" si="1"/>
        <v>Yellow</v>
      </c>
      <c r="H23" s="10" t="str">
        <f>IF(ISNUMBER(A23),Calculations!$A$1,"")</f>
        <v>CSS1</v>
      </c>
    </row>
    <row r="24" spans="1:8" x14ac:dyDescent="0.25">
      <c r="A24" s="10">
        <f>IF(ISNUMBER(Calculations!A40),Calculations!A40,"")</f>
        <v>21</v>
      </c>
      <c r="B24" s="34">
        <f ca="1">IF(ISNUMBER(A24),CONVERT(Calculations!T40,Units_In,Units_Out),"")</f>
        <v>3448309.1158580943</v>
      </c>
      <c r="C24" s="34">
        <f ca="1">IF(ISNUMBER(A24),CONVERT(Calculations!U40,Units_In,Units_Out),"")</f>
        <v>1535304.2561051126</v>
      </c>
      <c r="D24" s="34" t="str">
        <f>IF(ISTEXT(Calculations!F40),Calculations!F40,"")</f>
        <v/>
      </c>
      <c r="E24" s="10" t="str">
        <f t="shared" ca="1" si="2"/>
        <v>0503 3448309.11585809EUSft 1535304.25610511NUSft</v>
      </c>
      <c r="F24" s="35">
        <f t="shared" si="3"/>
        <v>94</v>
      </c>
      <c r="G24" s="10" t="str">
        <f t="shared" si="1"/>
        <v>Yellow</v>
      </c>
      <c r="H24" s="10" t="str">
        <f>IF(ISNUMBER(A24),Calculations!$A$1,"")</f>
        <v>CSS1</v>
      </c>
    </row>
    <row r="25" spans="1:8" x14ac:dyDescent="0.25">
      <c r="A25" s="10">
        <f>IF(ISNUMBER(Calculations!A41),Calculations!A41,"")</f>
        <v>22</v>
      </c>
      <c r="B25" s="34">
        <f ca="1">IF(ISNUMBER(A25),CONVERT(Calculations!T41,Units_In,Units_Out),"")</f>
        <v>3448316.0385428122</v>
      </c>
      <c r="C25" s="34">
        <f ca="1">IF(ISNUMBER(A25),CONVERT(Calculations!U41,Units_In,Units_Out),"")</f>
        <v>1535335.964411645</v>
      </c>
      <c r="D25" s="34" t="str">
        <f>IF(ISTEXT(Calculations!F41),Calculations!F41,"")</f>
        <v/>
      </c>
      <c r="E25" s="10" t="str">
        <f t="shared" ca="1" si="2"/>
        <v>0503 3448316.03854281EUSft 1535335.96441164NUSft</v>
      </c>
      <c r="F25" s="35">
        <f t="shared" si="3"/>
        <v>94</v>
      </c>
      <c r="G25" s="10" t="str">
        <f t="shared" si="1"/>
        <v>Yellow</v>
      </c>
      <c r="H25" s="10" t="str">
        <f>IF(ISNUMBER(A25),Calculations!$A$1,"")</f>
        <v>CSS1</v>
      </c>
    </row>
    <row r="26" spans="1:8" x14ac:dyDescent="0.25">
      <c r="A26" s="10">
        <f>IF(ISNUMBER(Calculations!A42),Calculations!A42,"")</f>
        <v>23</v>
      </c>
      <c r="B26" s="34">
        <f ca="1">IF(ISNUMBER(A26),CONVERT(Calculations!T42,Units_In,Units_Out),"")</f>
        <v>3448318.0294216517</v>
      </c>
      <c r="C26" s="34">
        <f ca="1">IF(ISNUMBER(A26),CONVERT(Calculations!U42,Units_In,Units_Out),"")</f>
        <v>1535345.2118719649</v>
      </c>
      <c r="D26" s="34" t="str">
        <f>IF(ISTEXT(Calculations!F42),Calculations!F42,"")</f>
        <v/>
      </c>
      <c r="E26" s="10" t="str">
        <f t="shared" ca="1" si="2"/>
        <v>0503 3448318.02942165EUSft 1535345.21187196NUSft</v>
      </c>
      <c r="F26" s="35">
        <f t="shared" si="3"/>
        <v>94</v>
      </c>
      <c r="G26" s="10" t="str">
        <f t="shared" si="1"/>
        <v>Yellow</v>
      </c>
      <c r="H26" s="10" t="str">
        <f>IF(ISNUMBER(A26),Calculations!$A$1,"")</f>
        <v>CSS1</v>
      </c>
    </row>
    <row r="27" spans="1:8" x14ac:dyDescent="0.25">
      <c r="A27" s="10">
        <f>IF(ISNUMBER(Calculations!A43),Calculations!A43,"")</f>
        <v>24</v>
      </c>
      <c r="B27" s="34">
        <f ca="1">IF(ISNUMBER(A27),CONVERT(Calculations!T43,Units_In,Units_Out),"")</f>
        <v>3448327.3494498078</v>
      </c>
      <c r="C27" s="34">
        <f ca="1">IF(ISNUMBER(A27),CONVERT(Calculations!U43,Units_In,Units_Out),"")</f>
        <v>1535387.9126415735</v>
      </c>
      <c r="D27" s="34" t="str">
        <f>IF(ISTEXT(Calculations!F43),Calculations!F43,"")</f>
        <v/>
      </c>
      <c r="E27" s="10" t="str">
        <f t="shared" ca="1" si="2"/>
        <v>0503 3448327.34944981EUSft 1535387.91264157NUSft</v>
      </c>
      <c r="F27" s="35">
        <f t="shared" si="3"/>
        <v>94</v>
      </c>
      <c r="G27" s="10" t="str">
        <f t="shared" si="1"/>
        <v>Yellow</v>
      </c>
      <c r="H27" s="10" t="str">
        <f>IF(ISNUMBER(A27),Calculations!$A$1,"")</f>
        <v>CSS1</v>
      </c>
    </row>
    <row r="28" spans="1:8" x14ac:dyDescent="0.25">
      <c r="A28" s="10">
        <f>IF(ISNUMBER(Calculations!A44),Calculations!A44,"")</f>
        <v>25</v>
      </c>
      <c r="B28" s="34">
        <f ca="1">IF(ISNUMBER(A28),CONVERT(Calculations!T44,Units_In,Units_Out),"")</f>
        <v>3448339.6823900458</v>
      </c>
      <c r="C28" s="34">
        <f ca="1">IF(ISNUMBER(A28),CONVERT(Calculations!U44,Units_In,Units_Out),"")</f>
        <v>1535449.5650418524</v>
      </c>
      <c r="D28" s="34" t="str">
        <f>IF(ISTEXT(Calculations!F44),Calculations!F44,"")</f>
        <v/>
      </c>
      <c r="E28" s="10" t="str">
        <f t="shared" ca="1" si="2"/>
        <v>0503 3448339.68239005EUSft 1535449.56504185NUSft</v>
      </c>
      <c r="F28" s="35">
        <f t="shared" si="3"/>
        <v>94</v>
      </c>
      <c r="G28" s="10" t="str">
        <f t="shared" si="1"/>
        <v>Yellow</v>
      </c>
      <c r="H28" s="10" t="str">
        <f>IF(ISNUMBER(A28),Calculations!$A$1,"")</f>
        <v>CSS1</v>
      </c>
    </row>
    <row r="29" spans="1:8" x14ac:dyDescent="0.25">
      <c r="A29" s="10">
        <f>IF(ISNUMBER(Calculations!A45),Calculations!A45,"")</f>
        <v>26</v>
      </c>
      <c r="B29" s="34">
        <f ca="1">IF(ISNUMBER(A29),CONVERT(Calculations!T45,Units_In,Units_Out),"")</f>
        <v>3448339.8353753956</v>
      </c>
      <c r="C29" s="34">
        <f ca="1">IF(ISNUMBER(A29),CONVERT(Calculations!U45,Units_In,Units_Out),"")</f>
        <v>1535453.1184359135</v>
      </c>
      <c r="D29" s="34" t="str">
        <f>IF(ISTEXT(Calculations!F45),Calculations!F45,"")</f>
        <v/>
      </c>
      <c r="E29" s="10" t="str">
        <f t="shared" ca="1" si="2"/>
        <v>0503 3448339.8353754EUSft 1535453.11843591NUSft</v>
      </c>
      <c r="F29" s="35">
        <f t="shared" si="3"/>
        <v>94</v>
      </c>
      <c r="G29" s="10" t="str">
        <f t="shared" si="1"/>
        <v>Yellow</v>
      </c>
      <c r="H29" s="10" t="str">
        <f>IF(ISNUMBER(A29),Calculations!$A$1,"")</f>
        <v>CSS1</v>
      </c>
    </row>
    <row r="30" spans="1:8" x14ac:dyDescent="0.25">
      <c r="A30" s="10">
        <f>IF(ISNUMBER(Calculations!A46),Calculations!A46,"")</f>
        <v>27</v>
      </c>
      <c r="B30" s="34">
        <f ca="1">IF(ISNUMBER(A30),CONVERT(Calculations!T46,Units_In,Units_Out),"")</f>
        <v>3448340.5370088266</v>
      </c>
      <c r="C30" s="34">
        <f ca="1">IF(ISNUMBER(A30),CONVERT(Calculations!U46,Units_In,Units_Out),"")</f>
        <v>1535455.2666906833</v>
      </c>
      <c r="D30" s="34" t="str">
        <f>IF(ISTEXT(Calculations!F46),Calculations!F46,"")</f>
        <v/>
      </c>
      <c r="E30" s="10" t="str">
        <f t="shared" ca="1" si="2"/>
        <v>0503 3448340.53700883EUSft 1535455.26669068NUSft</v>
      </c>
      <c r="F30" s="35">
        <f t="shared" si="3"/>
        <v>94</v>
      </c>
      <c r="G30" s="10" t="str">
        <f t="shared" si="1"/>
        <v>Yellow</v>
      </c>
      <c r="H30" s="10" t="str">
        <f>IF(ISNUMBER(A30),Calculations!$A$1,"")</f>
        <v>CSS1</v>
      </c>
    </row>
    <row r="31" spans="1:8" x14ac:dyDescent="0.25">
      <c r="A31" s="10">
        <f>IF(ISNUMBER(Calculations!A47),Calculations!A47,"")</f>
        <v>28</v>
      </c>
      <c r="B31" s="34">
        <f ca="1">IF(ISNUMBER(A31),CONVERT(Calculations!T47,Units_In,Units_Out),"")</f>
        <v>3448342.580681059</v>
      </c>
      <c r="C31" s="34">
        <f ca="1">IF(ISNUMBER(A31),CONVERT(Calculations!U47,Units_In,Units_Out),"")</f>
        <v>1535462.9759803126</v>
      </c>
      <c r="D31" s="34" t="str">
        <f>IF(ISTEXT(Calculations!F47),Calculations!F47,"")</f>
        <v/>
      </c>
      <c r="E31" s="10" t="str">
        <f t="shared" ca="1" si="2"/>
        <v>0503 3448342.58068106EUSft 1535462.97598031NUSft</v>
      </c>
      <c r="F31" s="35">
        <f t="shared" si="3"/>
        <v>94</v>
      </c>
      <c r="G31" s="10" t="str">
        <f t="shared" si="1"/>
        <v>Yellow</v>
      </c>
      <c r="H31" s="10" t="str">
        <f>IF(ISNUMBER(A31),Calculations!$A$1,"")</f>
        <v>CSS1</v>
      </c>
    </row>
    <row r="32" spans="1:8" x14ac:dyDescent="0.25">
      <c r="A32" s="10">
        <f>IF(ISNUMBER(Calculations!A48),Calculations!A48,"")</f>
        <v>29</v>
      </c>
      <c r="B32" s="34">
        <f ca="1">IF(ISNUMBER(A32),CONVERT(Calculations!T48,Units_In,Units_Out),"")</f>
        <v>3448343.670266937</v>
      </c>
      <c r="C32" s="34">
        <f ca="1">IF(ISNUMBER(A32),CONVERT(Calculations!U48,Units_In,Units_Out),"")</f>
        <v>1535468.5574069377</v>
      </c>
      <c r="D32" s="34" t="str">
        <f>IF(ISTEXT(Calculations!F48),Calculations!F48,"")</f>
        <v/>
      </c>
      <c r="E32" s="10" t="str">
        <f t="shared" ca="1" si="2"/>
        <v>0503 3448343.67026694EUSft 1535468.55740694NUSft</v>
      </c>
      <c r="F32" s="35">
        <f t="shared" si="3"/>
        <v>94</v>
      </c>
      <c r="G32" s="10" t="str">
        <f t="shared" si="1"/>
        <v>Yellow</v>
      </c>
      <c r="H32" s="10" t="str">
        <f>IF(ISNUMBER(A32),Calculations!$A$1,"")</f>
        <v>CSS1</v>
      </c>
    </row>
    <row r="33" spans="1:8" x14ac:dyDescent="0.25">
      <c r="A33" s="10">
        <f>IF(ISNUMBER(Calculations!A49),Calculations!A49,"")</f>
        <v>30</v>
      </c>
      <c r="B33" s="34">
        <f ca="1">IF(ISNUMBER(A33),CONVERT(Calculations!T49,Units_In,Units_Out),"")</f>
        <v>3448347.3435422676</v>
      </c>
      <c r="C33" s="34">
        <f ca="1">IF(ISNUMBER(A33),CONVERT(Calculations!U49,Units_In,Units_Out),"")</f>
        <v>1535489.3500224077</v>
      </c>
      <c r="D33" s="34" t="str">
        <f>IF(ISTEXT(Calculations!F49),Calculations!F49,"")</f>
        <v/>
      </c>
      <c r="E33" s="10" t="str">
        <f t="shared" ca="1" si="2"/>
        <v>0503 3448347.34354227EUSft 1535489.35002241NUSft</v>
      </c>
      <c r="F33" s="35">
        <f t="shared" si="3"/>
        <v>94</v>
      </c>
      <c r="G33" s="10" t="str">
        <f t="shared" si="1"/>
        <v>Yellow</v>
      </c>
      <c r="H33" s="10" t="str">
        <f>IF(ISNUMBER(A33),Calculations!$A$1,"")</f>
        <v>CSS1</v>
      </c>
    </row>
    <row r="34" spans="1:8" x14ac:dyDescent="0.25">
      <c r="A34" s="10">
        <f>IF(ISNUMBER(Calculations!A50),Calculations!A50,"")</f>
        <v>31</v>
      </c>
      <c r="B34" s="34">
        <f ca="1">IF(ISNUMBER(A34),CONVERT(Calculations!T50,Units_In,Units_Out),"")</f>
        <v>3448265.4490452749</v>
      </c>
      <c r="C34" s="34">
        <f ca="1">IF(ISNUMBER(A34),CONVERT(Calculations!U50,Units_In,Units_Out),"")</f>
        <v>1534810.8438027345</v>
      </c>
      <c r="D34" s="34" t="str">
        <f>IF(ISTEXT(Calculations!F50),Calculations!F50,"")</f>
        <v>PT1</v>
      </c>
      <c r="E34" s="10" t="str">
        <f t="shared" ca="1" si="2"/>
        <v>0503 3448265.44904527EUSft 1534810.84380273NUSft</v>
      </c>
      <c r="F34" s="35">
        <f t="shared" si="3"/>
        <v>94</v>
      </c>
      <c r="G34" s="10" t="str">
        <f t="shared" si="1"/>
        <v>Yellow</v>
      </c>
      <c r="H34" s="10" t="str">
        <f>IF(ISNUMBER(A34),Calculations!$A$1,"")</f>
        <v>CSS1</v>
      </c>
    </row>
    <row r="35" spans="1:8" x14ac:dyDescent="0.25">
      <c r="A35" s="10">
        <f>IF(ISNUMBER(Calculations!A51),Calculations!A51,"")</f>
        <v>32</v>
      </c>
      <c r="B35" s="34">
        <f ca="1">IF(ISNUMBER(A35),CONVERT(Calculations!T51,Units_In,Units_Out),"")</f>
        <v>3448137.6160285156</v>
      </c>
      <c r="C35" s="34">
        <f ca="1">IF(ISNUMBER(A35),CONVERT(Calculations!U51,Units_In,Units_Out),"")</f>
        <v>1534841.303729936</v>
      </c>
      <c r="D35" s="34" t="str">
        <f>IF(ISTEXT(Calculations!F51),Calculations!F51,"")</f>
        <v>PT2</v>
      </c>
      <c r="E35" s="10" t="str">
        <f t="shared" ca="1" si="2"/>
        <v>0503 3448137.61602852EUSft 1534841.30372994NUSft</v>
      </c>
      <c r="F35" s="35">
        <f t="shared" si="3"/>
        <v>94</v>
      </c>
      <c r="G35" s="10" t="str">
        <f t="shared" si="1"/>
        <v>Yellow</v>
      </c>
      <c r="H35" s="10" t="str">
        <f>IF(ISNUMBER(A35),Calculations!$A$1,"")</f>
        <v>CSS1</v>
      </c>
    </row>
    <row r="36" spans="1:8" x14ac:dyDescent="0.25">
      <c r="A36" s="10" t="str">
        <f>IF(ISNUMBER(Calculations!A52),Calculations!A52,"")</f>
        <v/>
      </c>
      <c r="B36" s="34" t="str">
        <f>IF(ISNUMBER(A36),CONVERT(Calculations!U52,Units_In,Units_Out),"")</f>
        <v/>
      </c>
      <c r="C36" s="34" t="str">
        <f>IF(ISNUMBER(A36),CONVERT(Calculations!V52,Units_In,Units_Out),"")</f>
        <v/>
      </c>
      <c r="D36" s="34" t="str">
        <f>IF(ISTEXT(Calculations!F52),Calculations!F52,"")</f>
        <v/>
      </c>
      <c r="E36" s="10" t="str">
        <f t="shared" si="2"/>
        <v/>
      </c>
      <c r="F36" s="35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4" t="str">
        <f>IF(ISNUMBER(A37),CONVERT(Calculations!U53,Units_In,Units_Out),"")</f>
        <v/>
      </c>
      <c r="C37" s="34" t="str">
        <f>IF(ISNUMBER(A37),CONVERT(Calculations!V53,Units_In,Units_Out),"")</f>
        <v/>
      </c>
      <c r="D37" s="34" t="str">
        <f>IF(ISTEXT(Calculations!F53),Calculations!F53,"")</f>
        <v/>
      </c>
      <c r="E37" s="10" t="str">
        <f t="shared" si="2"/>
        <v/>
      </c>
      <c r="F37" s="35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4" t="str">
        <f>IF(ISNUMBER(A38),CONVERT(Calculations!#REF!,Units_In,Units_Out),"")</f>
        <v/>
      </c>
      <c r="C38" s="34" t="str">
        <f>IF(ISNUMBER(A38),CONVERT(Calculations!#REF!,Units_In,Units_Out),"")</f>
        <v/>
      </c>
      <c r="D38" s="34" t="str">
        <f>IF(ISTEXT(Calculations!#REF!),Calculations!#REF!,"")</f>
        <v/>
      </c>
      <c r="E38" s="10" t="str">
        <f t="shared" si="2"/>
        <v/>
      </c>
      <c r="F38" s="35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4" t="str">
        <f>IF(ISNUMBER(A39),CONVERT(Calculations!#REF!,Units_In,Units_Out),"")</f>
        <v/>
      </c>
      <c r="C39" s="34" t="str">
        <f>IF(ISNUMBER(A39),CONVERT(Calculations!#REF!,Units_In,Units_Out),"")</f>
        <v/>
      </c>
      <c r="D39" s="34" t="str">
        <f>IF(ISTEXT(Calculations!#REF!),Calculations!#REF!,"")</f>
        <v/>
      </c>
      <c r="E39" s="10" t="str">
        <f t="shared" si="2"/>
        <v/>
      </c>
      <c r="F39" s="35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4" t="str">
        <f>IF(ISNUMBER(A40),CONVERT(Calculations!#REF!,Units_In,Units_Out),"")</f>
        <v/>
      </c>
      <c r="C40" s="34" t="str">
        <f>IF(ISNUMBER(A40),CONVERT(Calculations!#REF!,Units_In,Units_Out),"")</f>
        <v/>
      </c>
      <c r="D40" s="34" t="str">
        <f>IF(ISTEXT(Calculations!#REF!),Calculations!#REF!,"")</f>
        <v/>
      </c>
      <c r="E40" s="10" t="str">
        <f t="shared" si="2"/>
        <v/>
      </c>
      <c r="F40" s="35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4" t="str">
        <f>IF(ISNUMBER(A41),CONVERT(Calculations!#REF!,Units_In,Units_Out),"")</f>
        <v/>
      </c>
      <c r="C41" s="34" t="str">
        <f>IF(ISNUMBER(A41),CONVERT(Calculations!#REF!,Units_In,Units_Out),"")</f>
        <v/>
      </c>
      <c r="D41" s="34" t="str">
        <f>IF(ISTEXT(Calculations!#REF!),Calculations!#REF!,"")</f>
        <v/>
      </c>
      <c r="E41" s="10" t="str">
        <f t="shared" si="2"/>
        <v/>
      </c>
      <c r="F41" s="35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4" t="str">
        <f>IF(ISNUMBER(A42),CONVERT(Calculations!#REF!,Units_In,Units_Out),"")</f>
        <v/>
      </c>
      <c r="C42" s="34" t="str">
        <f>IF(ISNUMBER(A42),CONVERT(Calculations!#REF!,Units_In,Units_Out),"")</f>
        <v/>
      </c>
      <c r="D42" s="34" t="str">
        <f>IF(ISTEXT(Calculations!#REF!),Calculations!#REF!,"")</f>
        <v/>
      </c>
      <c r="E42" s="10" t="str">
        <f t="shared" si="2"/>
        <v/>
      </c>
      <c r="F42" s="35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4" t="str">
        <f>IF(ISNUMBER(A43),CONVERT(Calculations!#REF!,Units_In,Units_Out),"")</f>
        <v/>
      </c>
      <c r="C43" s="34" t="str">
        <f>IF(ISNUMBER(A43),CONVERT(Calculations!#REF!,Units_In,Units_Out),"")</f>
        <v/>
      </c>
      <c r="D43" s="34" t="str">
        <f>IF(ISTEXT(Calculations!#REF!),Calculations!#REF!,"")</f>
        <v/>
      </c>
      <c r="E43" s="10" t="str">
        <f t="shared" si="2"/>
        <v/>
      </c>
      <c r="F43" s="35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4" t="str">
        <f>IF(ISNUMBER(A44),CONVERT(Calculations!#REF!,Units_In,Units_Out),"")</f>
        <v/>
      </c>
      <c r="C44" s="34" t="str">
        <f>IF(ISNUMBER(A44),CONVERT(Calculations!#REF!,Units_In,Units_Out),"")</f>
        <v/>
      </c>
      <c r="D44" s="34" t="str">
        <f>IF(ISTEXT(Calculations!#REF!),Calculations!#REF!,"")</f>
        <v/>
      </c>
      <c r="E44" s="10" t="str">
        <f t="shared" si="2"/>
        <v/>
      </c>
      <c r="F44" s="35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4" t="str">
        <f>IF(ISNUMBER(A45),CONVERT(Calculations!#REF!,Units_In,Units_Out),"")</f>
        <v/>
      </c>
      <c r="C45" s="34" t="str">
        <f>IF(ISNUMBER(A45),CONVERT(Calculations!#REF!,Units_In,Units_Out),"")</f>
        <v/>
      </c>
      <c r="D45" s="34" t="str">
        <f>IF(ISTEXT(Calculations!#REF!),Calculations!#REF!,"")</f>
        <v/>
      </c>
      <c r="E45" s="10" t="str">
        <f t="shared" si="2"/>
        <v/>
      </c>
      <c r="F45" s="35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4" t="str">
        <f>IF(ISNUMBER(A46),CONVERT(Calculations!#REF!,Units_In,Units_Out),"")</f>
        <v/>
      </c>
      <c r="C46" s="34" t="str">
        <f>IF(ISNUMBER(A46),CONVERT(Calculations!#REF!,Units_In,Units_Out),"")</f>
        <v/>
      </c>
      <c r="D46" s="34" t="str">
        <f>IF(ISTEXT(Calculations!#REF!),Calculations!#REF!,"")</f>
        <v/>
      </c>
      <c r="E46" s="10" t="str">
        <f t="shared" si="2"/>
        <v/>
      </c>
      <c r="F46" s="35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4" t="str">
        <f>IF(ISNUMBER(A47),CONVERT(Calculations!#REF!,Units_In,Units_Out),"")</f>
        <v/>
      </c>
      <c r="C47" s="34" t="str">
        <f>IF(ISNUMBER(A47),CONVERT(Calculations!#REF!,Units_In,Units_Out),"")</f>
        <v/>
      </c>
      <c r="D47" s="34" t="str">
        <f>IF(ISTEXT(Calculations!#REF!),Calculations!#REF!,"")</f>
        <v/>
      </c>
      <c r="E47" s="10" t="str">
        <f t="shared" si="2"/>
        <v/>
      </c>
      <c r="F47" s="35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4" t="str">
        <f>IF(ISNUMBER(A48),CONVERT(Calculations!#REF!,Units_In,Units_Out),"")</f>
        <v/>
      </c>
      <c r="C48" s="34" t="str">
        <f>IF(ISNUMBER(A48),CONVERT(Calculations!#REF!,Units_In,Units_Out),"")</f>
        <v/>
      </c>
      <c r="D48" s="34" t="str">
        <f>IF(ISTEXT(Calculations!#REF!),Calculations!#REF!,"")</f>
        <v/>
      </c>
      <c r="E48" s="10" t="str">
        <f t="shared" si="2"/>
        <v/>
      </c>
      <c r="F48" s="35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4" t="str">
        <f>IF(ISNUMBER(A49),CONVERT(Calculations!#REF!,Units_In,Units_Out),"")</f>
        <v/>
      </c>
      <c r="C49" s="34" t="str">
        <f>IF(ISNUMBER(A49),CONVERT(Calculations!#REF!,Units_In,Units_Out),"")</f>
        <v/>
      </c>
      <c r="D49" s="34" t="str">
        <f>IF(ISTEXT(Calculations!#REF!),Calculations!#REF!,"")</f>
        <v/>
      </c>
      <c r="E49" s="10" t="str">
        <f t="shared" si="2"/>
        <v/>
      </c>
      <c r="F49" s="35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4" t="str">
        <f>IF(ISNUMBER(A50),CONVERT(Calculations!#REF!,Units_In,Units_Out),"")</f>
        <v/>
      </c>
      <c r="C50" s="34" t="str">
        <f>IF(ISNUMBER(A50),CONVERT(Calculations!#REF!,Units_In,Units_Out),"")</f>
        <v/>
      </c>
      <c r="D50" s="34" t="str">
        <f>IF(ISTEXT(Calculations!#REF!),Calculations!#REF!,"")</f>
        <v/>
      </c>
      <c r="E50" s="10" t="str">
        <f t="shared" si="2"/>
        <v/>
      </c>
      <c r="F50" s="35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4" t="str">
        <f>IF(ISNUMBER(A51),CONVERT(Calculations!#REF!,Units_In,Units_Out),"")</f>
        <v/>
      </c>
      <c r="C51" s="34" t="str">
        <f>IF(ISNUMBER(A51),CONVERT(Calculations!#REF!,Units_In,Units_Out),"")</f>
        <v/>
      </c>
      <c r="D51" s="34" t="str">
        <f>IF(ISTEXT(Calculations!#REF!),Calculations!#REF!,"")</f>
        <v/>
      </c>
      <c r="E51" s="10" t="str">
        <f t="shared" si="2"/>
        <v/>
      </c>
      <c r="F51" s="35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4" t="str">
        <f>IF(ISNUMBER(A52),CONVERT(Calculations!#REF!,Units_In,Units_Out),"")</f>
        <v/>
      </c>
      <c r="C52" s="34" t="str">
        <f>IF(ISNUMBER(A52),CONVERT(Calculations!#REF!,Units_In,Units_Out),"")</f>
        <v/>
      </c>
      <c r="D52" s="34" t="str">
        <f>IF(ISTEXT(Calculations!#REF!),Calculations!#REF!,"")</f>
        <v/>
      </c>
      <c r="E52" s="10" t="str">
        <f t="shared" si="2"/>
        <v/>
      </c>
      <c r="F52" s="35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4" t="str">
        <f>IF(ISNUMBER(A53),CONVERT(Calculations!#REF!,Units_In,Units_Out),"")</f>
        <v/>
      </c>
      <c r="C53" s="34" t="str">
        <f>IF(ISNUMBER(A53),CONVERT(Calculations!#REF!,Units_In,Units_Out),"")</f>
        <v/>
      </c>
      <c r="D53" s="34" t="str">
        <f>IF(ISTEXT(Calculations!#REF!),Calculations!#REF!,"")</f>
        <v/>
      </c>
      <c r="E53" s="10" t="str">
        <f t="shared" si="2"/>
        <v/>
      </c>
      <c r="F53" s="35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4" t="str">
        <f>IF(ISNUMBER(A54),CONVERT(Calculations!#REF!,Units_In,Units_Out),"")</f>
        <v/>
      </c>
      <c r="C54" s="34" t="str">
        <f>IF(ISNUMBER(A54),CONVERT(Calculations!#REF!,Units_In,Units_Out),"")</f>
        <v/>
      </c>
      <c r="D54" s="34" t="str">
        <f>IF(ISTEXT(Calculations!#REF!),Calculations!#REF!,"")</f>
        <v/>
      </c>
      <c r="E54" s="10" t="str">
        <f t="shared" si="2"/>
        <v/>
      </c>
      <c r="F54" s="35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4" t="str">
        <f>IF(ISNUMBER(A55),CONVERT(Calculations!#REF!,Units_In,Units_Out),"")</f>
        <v/>
      </c>
      <c r="C55" s="34" t="str">
        <f>IF(ISNUMBER(A55),CONVERT(Calculations!#REF!,Units_In,Units_Out),"")</f>
        <v/>
      </c>
      <c r="D55" s="34" t="str">
        <f>IF(ISTEXT(Calculations!#REF!),Calculations!#REF!,"")</f>
        <v/>
      </c>
      <c r="E55" s="10" t="str">
        <f t="shared" si="2"/>
        <v/>
      </c>
      <c r="F55" s="35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4" t="str">
        <f>IF(ISNUMBER(A56),CONVERT(Calculations!#REF!,Units_In,Units_Out),"")</f>
        <v/>
      </c>
      <c r="C56" s="34" t="str">
        <f>IF(ISNUMBER(A56),CONVERT(Calculations!#REF!,Units_In,Units_Out),"")</f>
        <v/>
      </c>
      <c r="D56" s="34" t="str">
        <f>IF(ISTEXT(Calculations!#REF!),Calculations!#REF!,"")</f>
        <v/>
      </c>
      <c r="E56" s="10" t="str">
        <f t="shared" si="2"/>
        <v/>
      </c>
      <c r="F56" s="35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4" t="str">
        <f>IF(ISNUMBER(A57),CONVERT(Calculations!#REF!,Units_In,Units_Out),"")</f>
        <v/>
      </c>
      <c r="C57" s="34" t="str">
        <f>IF(ISNUMBER(A57),CONVERT(Calculations!#REF!,Units_In,Units_Out),"")</f>
        <v/>
      </c>
      <c r="D57" s="34" t="str">
        <f>IF(ISTEXT(Calculations!#REF!),Calculations!#REF!,"")</f>
        <v/>
      </c>
      <c r="E57" s="10" t="str">
        <f t="shared" si="2"/>
        <v/>
      </c>
      <c r="F57" s="35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4" t="str">
        <f>IF(ISNUMBER(A58),CONVERT(Calculations!#REF!,Units_In,Units_Out),"")</f>
        <v/>
      </c>
      <c r="C58" s="34" t="str">
        <f>IF(ISNUMBER(A58),CONVERT(Calculations!#REF!,Units_In,Units_Out),"")</f>
        <v/>
      </c>
      <c r="D58" s="34" t="str">
        <f>IF(ISTEXT(Calculations!#REF!),Calculations!#REF!,"")</f>
        <v/>
      </c>
      <c r="E58" s="10" t="str">
        <f t="shared" si="2"/>
        <v/>
      </c>
      <c r="F58" s="35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4" t="str">
        <f>IF(ISNUMBER(A59),CONVERT(Calculations!#REF!,Units_In,Units_Out),"")</f>
        <v/>
      </c>
      <c r="C59" s="34" t="str">
        <f>IF(ISNUMBER(A59),CONVERT(Calculations!#REF!,Units_In,Units_Out),"")</f>
        <v/>
      </c>
      <c r="D59" s="34" t="str">
        <f>IF(ISTEXT(Calculations!#REF!),Calculations!#REF!,"")</f>
        <v/>
      </c>
      <c r="E59" s="10" t="str">
        <f t="shared" si="2"/>
        <v/>
      </c>
      <c r="F59" s="35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4" t="str">
        <f>IF(ISNUMBER(A60),CONVERT(Calculations!#REF!,Units_In,Units_Out),"")</f>
        <v/>
      </c>
      <c r="C60" s="34" t="str">
        <f>IF(ISNUMBER(A60),CONVERT(Calculations!#REF!,Units_In,Units_Out),"")</f>
        <v/>
      </c>
      <c r="D60" s="34" t="str">
        <f>IF(ISTEXT(Calculations!#REF!),Calculations!#REF!,"")</f>
        <v/>
      </c>
      <c r="E60" s="10" t="str">
        <f t="shared" si="2"/>
        <v/>
      </c>
      <c r="F60" s="35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4" t="str">
        <f>IF(ISNUMBER(A61),CONVERT(Calculations!#REF!,Units_In,Units_Out),"")</f>
        <v/>
      </c>
      <c r="C61" s="34" t="str">
        <f>IF(ISNUMBER(A61),CONVERT(Calculations!#REF!,Units_In,Units_Out),"")</f>
        <v/>
      </c>
      <c r="D61" s="34" t="str">
        <f>IF(ISTEXT(Calculations!#REF!),Calculations!#REF!,"")</f>
        <v/>
      </c>
      <c r="E61" s="10" t="str">
        <f t="shared" si="2"/>
        <v/>
      </c>
      <c r="F61" s="35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4" t="str">
        <f>IF(ISNUMBER(A62),CONVERT(Calculations!#REF!,Units_In,Units_Out),"")</f>
        <v/>
      </c>
      <c r="C62" s="34" t="str">
        <f>IF(ISNUMBER(A62),CONVERT(Calculations!#REF!,Units_In,Units_Out),"")</f>
        <v/>
      </c>
      <c r="D62" s="34" t="str">
        <f>IF(ISTEXT(Calculations!#REF!),Calculations!#REF!,"")</f>
        <v/>
      </c>
      <c r="E62" s="10" t="str">
        <f t="shared" si="2"/>
        <v/>
      </c>
      <c r="F62" s="35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4" t="str">
        <f>IF(ISNUMBER(A63),CONVERT(Calculations!#REF!,Units_In,Units_Out),"")</f>
        <v/>
      </c>
      <c r="C63" s="34" t="str">
        <f>IF(ISNUMBER(A63),CONVERT(Calculations!#REF!,Units_In,Units_Out),"")</f>
        <v/>
      </c>
      <c r="D63" s="34" t="str">
        <f>IF(ISTEXT(Calculations!#REF!),Calculations!#REF!,"")</f>
        <v/>
      </c>
      <c r="E63" s="10" t="str">
        <f t="shared" si="2"/>
        <v/>
      </c>
      <c r="F63" s="35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4" t="str">
        <f>IF(ISNUMBER(A64),CONVERT(Calculations!#REF!,Units_In,Units_Out),"")</f>
        <v/>
      </c>
      <c r="C64" s="34" t="str">
        <f>IF(ISNUMBER(A64),CONVERT(Calculations!#REF!,Units_In,Units_Out),"")</f>
        <v/>
      </c>
      <c r="D64" s="34" t="str">
        <f>IF(ISTEXT(Calculations!#REF!),Calculations!#REF!,"")</f>
        <v/>
      </c>
      <c r="E64" s="10" t="str">
        <f t="shared" si="2"/>
        <v/>
      </c>
      <c r="F64" s="35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4" t="str">
        <f>IF(ISNUMBER(A65),CONVERT(Calculations!#REF!,Units_In,Units_Out),"")</f>
        <v/>
      </c>
      <c r="C65" s="34" t="str">
        <f>IF(ISNUMBER(A65),CONVERT(Calculations!#REF!,Units_In,Units_Out),"")</f>
        <v/>
      </c>
      <c r="D65" s="34" t="str">
        <f>IF(ISTEXT(Calculations!#REF!),Calculations!#REF!,"")</f>
        <v/>
      </c>
      <c r="E65" s="10" t="str">
        <f t="shared" si="2"/>
        <v/>
      </c>
      <c r="F65" s="35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sqref="A1:D1048576"/>
    </sheetView>
  </sheetViews>
  <sheetFormatPr defaultRowHeight="15" x14ac:dyDescent="0.25"/>
  <cols>
    <col min="1" max="4" width="9.140625" style="10"/>
    <col min="5" max="6" width="12.7109375" bestFit="1" customWidth="1"/>
    <col min="7" max="7" width="12.7109375" style="10" customWidth="1"/>
  </cols>
  <sheetData>
    <row r="1" spans="1:4" x14ac:dyDescent="0.25">
      <c r="A1" s="46" t="s">
        <v>88</v>
      </c>
      <c r="B1" s="46" t="s">
        <v>58</v>
      </c>
      <c r="C1" s="46" t="s">
        <v>89</v>
      </c>
      <c r="D1" s="46" t="s">
        <v>90</v>
      </c>
    </row>
    <row r="2" spans="1:4" x14ac:dyDescent="0.25">
      <c r="A2" s="46">
        <v>1</v>
      </c>
      <c r="B2" s="46" t="s">
        <v>49</v>
      </c>
      <c r="C2" s="46" t="s">
        <v>91</v>
      </c>
      <c r="D2" s="46" t="s">
        <v>92</v>
      </c>
    </row>
    <row r="3" spans="1:4" x14ac:dyDescent="0.25">
      <c r="A3" s="46">
        <v>1</v>
      </c>
      <c r="B3" s="46" t="s">
        <v>49</v>
      </c>
      <c r="C3" s="46" t="s">
        <v>93</v>
      </c>
      <c r="D3" s="46" t="s">
        <v>94</v>
      </c>
    </row>
    <row r="4" spans="1:4" x14ac:dyDescent="0.25">
      <c r="A4" s="46">
        <v>1</v>
      </c>
      <c r="B4" s="46" t="s">
        <v>49</v>
      </c>
      <c r="C4" s="46" t="s">
        <v>95</v>
      </c>
      <c r="D4" s="46" t="s">
        <v>96</v>
      </c>
    </row>
    <row r="5" spans="1:4" x14ac:dyDescent="0.25">
      <c r="A5" s="46">
        <v>1</v>
      </c>
      <c r="B5" s="46" t="s">
        <v>49</v>
      </c>
      <c r="C5" s="46" t="s">
        <v>97</v>
      </c>
      <c r="D5" s="46" t="s">
        <v>98</v>
      </c>
    </row>
    <row r="6" spans="1:4" x14ac:dyDescent="0.25">
      <c r="A6" s="46">
        <v>1</v>
      </c>
      <c r="B6" s="46" t="s">
        <v>49</v>
      </c>
      <c r="C6" s="46" t="s">
        <v>99</v>
      </c>
      <c r="D6" s="46" t="s">
        <v>100</v>
      </c>
    </row>
    <row r="7" spans="1:4" x14ac:dyDescent="0.25">
      <c r="A7" s="46">
        <v>1</v>
      </c>
      <c r="B7" s="46" t="s">
        <v>49</v>
      </c>
      <c r="C7" s="46" t="s">
        <v>101</v>
      </c>
      <c r="D7" s="46" t="s">
        <v>102</v>
      </c>
    </row>
    <row r="8" spans="1:4" x14ac:dyDescent="0.25">
      <c r="A8" s="46">
        <v>1</v>
      </c>
      <c r="B8" s="46" t="s">
        <v>49</v>
      </c>
      <c r="C8" s="46" t="s">
        <v>101</v>
      </c>
      <c r="D8" s="46" t="s">
        <v>103</v>
      </c>
    </row>
    <row r="9" spans="1:4" x14ac:dyDescent="0.25">
      <c r="A9" s="46">
        <v>1</v>
      </c>
      <c r="B9" s="46" t="s">
        <v>49</v>
      </c>
      <c r="C9" s="46" t="s">
        <v>104</v>
      </c>
      <c r="D9" s="46" t="s">
        <v>105</v>
      </c>
    </row>
    <row r="10" spans="1:4" x14ac:dyDescent="0.25">
      <c r="A10" s="46">
        <v>1</v>
      </c>
      <c r="B10" s="46" t="s">
        <v>49</v>
      </c>
      <c r="C10" s="46" t="s">
        <v>104</v>
      </c>
      <c r="D10" s="46" t="s">
        <v>106</v>
      </c>
    </row>
    <row r="11" spans="1:4" x14ac:dyDescent="0.25">
      <c r="A11" s="46">
        <v>1</v>
      </c>
      <c r="B11" s="46" t="s">
        <v>49</v>
      </c>
      <c r="C11" s="46" t="s">
        <v>107</v>
      </c>
      <c r="D11" s="46" t="s">
        <v>108</v>
      </c>
    </row>
    <row r="12" spans="1:4" x14ac:dyDescent="0.25">
      <c r="A12" s="46">
        <v>1</v>
      </c>
      <c r="B12" s="46" t="s">
        <v>49</v>
      </c>
      <c r="C12" s="46" t="s">
        <v>107</v>
      </c>
      <c r="D12" s="46" t="s">
        <v>109</v>
      </c>
    </row>
    <row r="13" spans="1:4" x14ac:dyDescent="0.25">
      <c r="A13" s="46">
        <v>1</v>
      </c>
      <c r="B13" s="46" t="s">
        <v>49</v>
      </c>
      <c r="C13" s="46" t="s">
        <v>110</v>
      </c>
      <c r="D13" s="46" t="s">
        <v>111</v>
      </c>
    </row>
    <row r="14" spans="1:4" x14ac:dyDescent="0.25">
      <c r="A14" s="46">
        <v>1</v>
      </c>
      <c r="B14" s="46" t="s">
        <v>49</v>
      </c>
      <c r="C14" s="46" t="s">
        <v>110</v>
      </c>
      <c r="D14" s="46" t="s">
        <v>112</v>
      </c>
    </row>
    <row r="15" spans="1:4" x14ac:dyDescent="0.25">
      <c r="A15" s="46">
        <v>1</v>
      </c>
      <c r="B15" s="46" t="s">
        <v>49</v>
      </c>
      <c r="C15" s="46" t="s">
        <v>113</v>
      </c>
      <c r="D15" s="46" t="s">
        <v>114</v>
      </c>
    </row>
    <row r="16" spans="1:4" x14ac:dyDescent="0.25">
      <c r="A16" s="46">
        <v>1</v>
      </c>
      <c r="B16" s="46" t="s">
        <v>49</v>
      </c>
      <c r="C16" s="46" t="s">
        <v>113</v>
      </c>
      <c r="D16" s="46" t="s">
        <v>115</v>
      </c>
    </row>
    <row r="17" spans="1:4" x14ac:dyDescent="0.25">
      <c r="A17" s="46">
        <v>1</v>
      </c>
      <c r="B17" s="46" t="s">
        <v>49</v>
      </c>
      <c r="C17" s="46" t="s">
        <v>116</v>
      </c>
      <c r="D17" s="46" t="s">
        <v>117</v>
      </c>
    </row>
    <row r="18" spans="1:4" x14ac:dyDescent="0.25">
      <c r="A18" s="46">
        <v>1</v>
      </c>
      <c r="B18" s="46" t="s">
        <v>49</v>
      </c>
      <c r="C18" s="46" t="s">
        <v>116</v>
      </c>
      <c r="D18" s="46" t="s">
        <v>118</v>
      </c>
    </row>
    <row r="19" spans="1:4" x14ac:dyDescent="0.25">
      <c r="A19" s="46">
        <v>1</v>
      </c>
      <c r="B19" s="46" t="s">
        <v>49</v>
      </c>
      <c r="C19" s="46" t="s">
        <v>119</v>
      </c>
      <c r="D19" s="46" t="s">
        <v>120</v>
      </c>
    </row>
    <row r="20" spans="1:4" x14ac:dyDescent="0.25">
      <c r="A20" s="46">
        <v>1</v>
      </c>
      <c r="B20" s="46" t="s">
        <v>49</v>
      </c>
      <c r="C20" s="46" t="s">
        <v>119</v>
      </c>
      <c r="D20" s="46" t="s">
        <v>121</v>
      </c>
    </row>
    <row r="21" spans="1:4" x14ac:dyDescent="0.25">
      <c r="A21" s="46">
        <v>1</v>
      </c>
      <c r="B21" s="46" t="s">
        <v>49</v>
      </c>
      <c r="C21" s="46" t="s">
        <v>122</v>
      </c>
      <c r="D21" s="46" t="s">
        <v>123</v>
      </c>
    </row>
    <row r="22" spans="1:4" x14ac:dyDescent="0.25">
      <c r="A22" s="46">
        <v>1</v>
      </c>
      <c r="B22" s="46" t="s">
        <v>49</v>
      </c>
      <c r="C22" s="46" t="s">
        <v>122</v>
      </c>
      <c r="D22" s="46" t="s">
        <v>124</v>
      </c>
    </row>
    <row r="23" spans="1:4" x14ac:dyDescent="0.25">
      <c r="A23" s="46">
        <v>1</v>
      </c>
      <c r="B23" s="46" t="s">
        <v>49</v>
      </c>
      <c r="C23" s="46" t="s">
        <v>125</v>
      </c>
      <c r="D23" s="46" t="s">
        <v>126</v>
      </c>
    </row>
    <row r="24" spans="1:4" x14ac:dyDescent="0.25">
      <c r="A24" s="46">
        <v>1</v>
      </c>
      <c r="B24" s="46" t="s">
        <v>49</v>
      </c>
      <c r="C24" s="46" t="s">
        <v>125</v>
      </c>
      <c r="D24" s="46" t="s">
        <v>127</v>
      </c>
    </row>
    <row r="25" spans="1:4" x14ac:dyDescent="0.25">
      <c r="A25" s="46">
        <v>1</v>
      </c>
      <c r="B25" s="46" t="s">
        <v>49</v>
      </c>
      <c r="C25" s="46" t="s">
        <v>128</v>
      </c>
      <c r="D25" s="46" t="s">
        <v>129</v>
      </c>
    </row>
    <row r="26" spans="1:4" x14ac:dyDescent="0.25">
      <c r="A26" s="46">
        <v>1</v>
      </c>
      <c r="B26" s="46" t="s">
        <v>49</v>
      </c>
      <c r="C26" s="46" t="s">
        <v>128</v>
      </c>
      <c r="D26" s="46" t="s">
        <v>130</v>
      </c>
    </row>
    <row r="27" spans="1:4" x14ac:dyDescent="0.25">
      <c r="A27" s="46">
        <v>1</v>
      </c>
      <c r="B27" s="46" t="s">
        <v>49</v>
      </c>
      <c r="C27" s="46" t="s">
        <v>131</v>
      </c>
      <c r="D27" s="46" t="s">
        <v>132</v>
      </c>
    </row>
    <row r="28" spans="1:4" x14ac:dyDescent="0.25">
      <c r="A28" s="46">
        <v>1</v>
      </c>
      <c r="B28" s="46" t="s">
        <v>49</v>
      </c>
      <c r="C28" s="46" t="s">
        <v>131</v>
      </c>
      <c r="D28" s="46" t="s">
        <v>133</v>
      </c>
    </row>
    <row r="29" spans="1:4" x14ac:dyDescent="0.25">
      <c r="A29" s="46">
        <v>1</v>
      </c>
      <c r="B29" s="46" t="s">
        <v>49</v>
      </c>
      <c r="C29" s="46" t="s">
        <v>134</v>
      </c>
      <c r="D29" s="46" t="s">
        <v>135</v>
      </c>
    </row>
    <row r="30" spans="1:4" x14ac:dyDescent="0.25">
      <c r="A30" s="46">
        <v>1</v>
      </c>
      <c r="B30" s="46" t="s">
        <v>49</v>
      </c>
      <c r="C30" s="46" t="s">
        <v>134</v>
      </c>
      <c r="D30" s="46" t="s">
        <v>136</v>
      </c>
    </row>
    <row r="31" spans="1:4" x14ac:dyDescent="0.25">
      <c r="A31" s="46">
        <v>1</v>
      </c>
      <c r="B31" s="46" t="s">
        <v>49</v>
      </c>
      <c r="C31" s="46" t="s">
        <v>137</v>
      </c>
      <c r="D31" s="46" t="s">
        <v>138</v>
      </c>
    </row>
    <row r="32" spans="1:4" x14ac:dyDescent="0.25">
      <c r="A32" s="46">
        <v>1</v>
      </c>
      <c r="B32" s="46" t="s">
        <v>49</v>
      </c>
      <c r="C32" s="46" t="s">
        <v>137</v>
      </c>
      <c r="D32" s="46" t="s">
        <v>139</v>
      </c>
    </row>
    <row r="33" spans="1:4" x14ac:dyDescent="0.25">
      <c r="A33" s="46">
        <v>1</v>
      </c>
      <c r="B33" s="46" t="s">
        <v>49</v>
      </c>
      <c r="C33" s="46" t="s">
        <v>140</v>
      </c>
      <c r="D33" s="46" t="s">
        <v>141</v>
      </c>
    </row>
    <row r="34" spans="1:4" x14ac:dyDescent="0.25">
      <c r="A34" s="46">
        <v>1</v>
      </c>
      <c r="B34" s="46" t="s">
        <v>49</v>
      </c>
      <c r="C34" s="46" t="s">
        <v>140</v>
      </c>
      <c r="D34" s="46" t="s">
        <v>142</v>
      </c>
    </row>
    <row r="35" spans="1:4" x14ac:dyDescent="0.25">
      <c r="A35" s="46">
        <v>1</v>
      </c>
      <c r="B35" s="46" t="s">
        <v>49</v>
      </c>
      <c r="C35" s="46" t="s">
        <v>143</v>
      </c>
      <c r="D35" s="46" t="s">
        <v>144</v>
      </c>
    </row>
    <row r="36" spans="1:4" x14ac:dyDescent="0.25">
      <c r="A36" s="46">
        <v>1</v>
      </c>
      <c r="B36" s="46" t="s">
        <v>49</v>
      </c>
      <c r="C36" s="46" t="s">
        <v>143</v>
      </c>
      <c r="D36" s="46" t="s">
        <v>145</v>
      </c>
    </row>
    <row r="37" spans="1:4" x14ac:dyDescent="0.25">
      <c r="A37" s="46">
        <v>1</v>
      </c>
      <c r="B37" s="46" t="s">
        <v>49</v>
      </c>
      <c r="C37" s="46" t="s">
        <v>146</v>
      </c>
      <c r="D37" s="46" t="s">
        <v>147</v>
      </c>
    </row>
    <row r="38" spans="1:4" x14ac:dyDescent="0.25">
      <c r="A38" s="46">
        <v>1</v>
      </c>
      <c r="B38" s="46" t="s">
        <v>49</v>
      </c>
      <c r="C38" s="46" t="s">
        <v>146</v>
      </c>
      <c r="D38" s="46" t="s">
        <v>148</v>
      </c>
    </row>
    <row r="39" spans="1:4" x14ac:dyDescent="0.25">
      <c r="A39" s="46">
        <v>1</v>
      </c>
      <c r="B39" s="46" t="s">
        <v>49</v>
      </c>
      <c r="C39" s="46" t="s">
        <v>149</v>
      </c>
      <c r="D39" s="46" t="s">
        <v>150</v>
      </c>
    </row>
    <row r="40" spans="1:4" x14ac:dyDescent="0.25">
      <c r="A40" s="46">
        <v>1</v>
      </c>
      <c r="B40" s="46" t="s">
        <v>49</v>
      </c>
      <c r="C40" s="46" t="s">
        <v>149</v>
      </c>
      <c r="D40" s="46" t="s">
        <v>151</v>
      </c>
    </row>
    <row r="41" spans="1:4" x14ac:dyDescent="0.25">
      <c r="A41" s="46">
        <v>1</v>
      </c>
      <c r="B41" s="46" t="s">
        <v>49</v>
      </c>
      <c r="C41" s="46" t="s">
        <v>152</v>
      </c>
      <c r="D41" s="46" t="s">
        <v>153</v>
      </c>
    </row>
    <row r="42" spans="1:4" x14ac:dyDescent="0.25">
      <c r="A42" s="46">
        <v>1</v>
      </c>
      <c r="B42" s="46" t="s">
        <v>49</v>
      </c>
      <c r="C42" s="46" t="s">
        <v>152</v>
      </c>
      <c r="D42" s="46" t="s">
        <v>154</v>
      </c>
    </row>
    <row r="43" spans="1:4" x14ac:dyDescent="0.25">
      <c r="A43" s="46">
        <v>1</v>
      </c>
      <c r="B43" s="46" t="s">
        <v>49</v>
      </c>
      <c r="C43" s="46" t="s">
        <v>155</v>
      </c>
      <c r="D43" s="46" t="s">
        <v>156</v>
      </c>
    </row>
    <row r="44" spans="1:4" x14ac:dyDescent="0.25">
      <c r="A44" s="46">
        <v>1</v>
      </c>
      <c r="B44" s="46" t="s">
        <v>49</v>
      </c>
      <c r="C44" s="46" t="s">
        <v>155</v>
      </c>
      <c r="D44" s="46" t="s">
        <v>157</v>
      </c>
    </row>
    <row r="45" spans="1:4" x14ac:dyDescent="0.25">
      <c r="A45" s="46">
        <v>1</v>
      </c>
      <c r="B45" s="46" t="s">
        <v>49</v>
      </c>
      <c r="C45" s="46" t="s">
        <v>158</v>
      </c>
      <c r="D45" s="46" t="s">
        <v>159</v>
      </c>
    </row>
    <row r="46" spans="1:4" x14ac:dyDescent="0.25">
      <c r="A46" s="46">
        <v>1</v>
      </c>
      <c r="B46" s="46" t="s">
        <v>49</v>
      </c>
      <c r="C46" s="46" t="s">
        <v>158</v>
      </c>
      <c r="D46" s="46" t="s">
        <v>160</v>
      </c>
    </row>
    <row r="47" spans="1:4" x14ac:dyDescent="0.25">
      <c r="A47" s="46">
        <v>1</v>
      </c>
      <c r="B47" s="46" t="s">
        <v>49</v>
      </c>
      <c r="C47" s="46" t="s">
        <v>161</v>
      </c>
      <c r="D47" s="46" t="s">
        <v>162</v>
      </c>
    </row>
    <row r="48" spans="1:4" x14ac:dyDescent="0.25">
      <c r="A48" s="46">
        <v>1</v>
      </c>
      <c r="B48" s="46" t="s">
        <v>49</v>
      </c>
      <c r="C48" s="46" t="s">
        <v>161</v>
      </c>
      <c r="D48" s="46" t="s">
        <v>163</v>
      </c>
    </row>
    <row r="49" spans="1:4" x14ac:dyDescent="0.25">
      <c r="A49" s="46">
        <v>1</v>
      </c>
      <c r="B49" s="46" t="s">
        <v>49</v>
      </c>
      <c r="C49" s="46" t="s">
        <v>164</v>
      </c>
      <c r="D49" s="46" t="s">
        <v>165</v>
      </c>
    </row>
    <row r="50" spans="1:4" x14ac:dyDescent="0.25">
      <c r="A50" s="46">
        <v>1</v>
      </c>
      <c r="B50" s="46" t="s">
        <v>49</v>
      </c>
      <c r="C50" s="46" t="s">
        <v>164</v>
      </c>
      <c r="D50" s="46" t="s">
        <v>166</v>
      </c>
    </row>
    <row r="51" spans="1:4" x14ac:dyDescent="0.25">
      <c r="A51" s="46">
        <v>1</v>
      </c>
      <c r="B51" s="46" t="s">
        <v>49</v>
      </c>
      <c r="C51" s="46" t="s">
        <v>167</v>
      </c>
      <c r="D51" s="46" t="s">
        <v>168</v>
      </c>
    </row>
    <row r="52" spans="1:4" x14ac:dyDescent="0.25">
      <c r="A52" s="46">
        <v>1</v>
      </c>
      <c r="B52" s="46" t="s">
        <v>49</v>
      </c>
      <c r="C52" s="46" t="s">
        <v>167</v>
      </c>
      <c r="D52" s="46" t="s">
        <v>169</v>
      </c>
    </row>
    <row r="53" spans="1:4" x14ac:dyDescent="0.25">
      <c r="A53" s="46">
        <v>1</v>
      </c>
      <c r="B53" s="46" t="s">
        <v>49</v>
      </c>
      <c r="C53" s="46" t="s">
        <v>170</v>
      </c>
      <c r="D53" s="46" t="s">
        <v>171</v>
      </c>
    </row>
    <row r="54" spans="1:4" x14ac:dyDescent="0.25">
      <c r="A54" s="46">
        <v>1</v>
      </c>
      <c r="B54" s="46" t="s">
        <v>49</v>
      </c>
      <c r="C54" s="46" t="s">
        <v>170</v>
      </c>
      <c r="D54" s="46" t="s">
        <v>172</v>
      </c>
    </row>
    <row r="55" spans="1:4" x14ac:dyDescent="0.25">
      <c r="A55" s="46">
        <v>1</v>
      </c>
      <c r="B55" s="46" t="s">
        <v>49</v>
      </c>
      <c r="C55" s="46" t="s">
        <v>173</v>
      </c>
      <c r="D55" s="46" t="s">
        <v>174</v>
      </c>
    </row>
    <row r="56" spans="1:4" x14ac:dyDescent="0.25">
      <c r="A56" s="46">
        <v>1</v>
      </c>
      <c r="B56" s="46" t="s">
        <v>49</v>
      </c>
      <c r="C56" s="46" t="s">
        <v>173</v>
      </c>
      <c r="D56" s="46" t="s">
        <v>175</v>
      </c>
    </row>
    <row r="57" spans="1:4" x14ac:dyDescent="0.25">
      <c r="A57" s="46">
        <v>1</v>
      </c>
      <c r="B57" s="46" t="s">
        <v>49</v>
      </c>
      <c r="C57" s="46" t="s">
        <v>176</v>
      </c>
      <c r="D57" s="46" t="s">
        <v>177</v>
      </c>
    </row>
    <row r="58" spans="1:4" x14ac:dyDescent="0.25">
      <c r="A58" s="46">
        <v>1</v>
      </c>
      <c r="B58" s="46" t="s">
        <v>49</v>
      </c>
      <c r="C58" s="46" t="s">
        <v>176</v>
      </c>
      <c r="D58" s="46" t="s">
        <v>178</v>
      </c>
    </row>
    <row r="59" spans="1:4" x14ac:dyDescent="0.25">
      <c r="A59" s="46">
        <v>1</v>
      </c>
      <c r="B59" s="46" t="s">
        <v>49</v>
      </c>
      <c r="C59" s="46" t="s">
        <v>179</v>
      </c>
      <c r="D59" s="46" t="s">
        <v>180</v>
      </c>
    </row>
    <row r="60" spans="1:4" x14ac:dyDescent="0.25">
      <c r="A60" s="46">
        <v>1</v>
      </c>
      <c r="B60" s="46" t="s">
        <v>49</v>
      </c>
      <c r="C60" s="46" t="s">
        <v>179</v>
      </c>
      <c r="D60" s="46" t="s">
        <v>181</v>
      </c>
    </row>
    <row r="61" spans="1:4" x14ac:dyDescent="0.25">
      <c r="A61" s="46">
        <v>1</v>
      </c>
      <c r="B61" s="46" t="s">
        <v>49</v>
      </c>
      <c r="C61" s="46" t="s">
        <v>182</v>
      </c>
      <c r="D61" s="46" t="s">
        <v>183</v>
      </c>
    </row>
    <row r="62" spans="1:4" x14ac:dyDescent="0.25">
      <c r="A62" s="46">
        <v>1</v>
      </c>
      <c r="B62" s="46" t="s">
        <v>49</v>
      </c>
      <c r="C62" s="46" t="s">
        <v>182</v>
      </c>
      <c r="D62" s="46" t="s">
        <v>184</v>
      </c>
    </row>
    <row r="63" spans="1:4" x14ac:dyDescent="0.25">
      <c r="A63" s="46">
        <v>1</v>
      </c>
      <c r="B63" s="46" t="s">
        <v>49</v>
      </c>
      <c r="C63" s="46" t="s">
        <v>185</v>
      </c>
      <c r="D63" s="46" t="s">
        <v>186</v>
      </c>
    </row>
    <row r="64" spans="1:4" x14ac:dyDescent="0.25">
      <c r="A64" s="46">
        <v>1</v>
      </c>
      <c r="B64" s="46" t="s">
        <v>49</v>
      </c>
      <c r="C64" s="46" t="s">
        <v>185</v>
      </c>
      <c r="D64" s="46" t="s">
        <v>187</v>
      </c>
    </row>
    <row r="65" spans="1:4" x14ac:dyDescent="0.25">
      <c r="A65" s="46">
        <v>1</v>
      </c>
      <c r="B65" s="46" t="s">
        <v>49</v>
      </c>
      <c r="C65" s="46" t="s">
        <v>188</v>
      </c>
      <c r="D65" s="46" t="s">
        <v>189</v>
      </c>
    </row>
    <row r="66" spans="1:4" x14ac:dyDescent="0.25">
      <c r="A66" s="46">
        <v>1</v>
      </c>
      <c r="B66" s="46" t="s">
        <v>49</v>
      </c>
      <c r="C66" s="46" t="s">
        <v>188</v>
      </c>
      <c r="D66" s="46" t="s">
        <v>190</v>
      </c>
    </row>
    <row r="67" spans="1:4" x14ac:dyDescent="0.25">
      <c r="A67" s="46">
        <v>1</v>
      </c>
      <c r="B67" s="46" t="s">
        <v>49</v>
      </c>
      <c r="C67" s="46" t="s">
        <v>191</v>
      </c>
      <c r="D67" s="46" t="s">
        <v>192</v>
      </c>
    </row>
    <row r="68" spans="1:4" x14ac:dyDescent="0.25">
      <c r="A68" s="46">
        <v>1</v>
      </c>
      <c r="B68" s="46" t="s">
        <v>49</v>
      </c>
      <c r="C68" s="46" t="s">
        <v>191</v>
      </c>
      <c r="D68" s="46" t="s">
        <v>193</v>
      </c>
    </row>
    <row r="69" spans="1:4" x14ac:dyDescent="0.25">
      <c r="A69" s="46">
        <v>1</v>
      </c>
      <c r="B69" s="46" t="s">
        <v>49</v>
      </c>
      <c r="C69" s="46" t="s">
        <v>194</v>
      </c>
      <c r="D69" s="46" t="s">
        <v>195</v>
      </c>
    </row>
    <row r="70" spans="1:4" x14ac:dyDescent="0.25">
      <c r="A70" s="46">
        <v>1</v>
      </c>
      <c r="B70" s="46" t="s">
        <v>49</v>
      </c>
      <c r="C70" s="46" t="s">
        <v>194</v>
      </c>
      <c r="D70" s="46" t="s">
        <v>196</v>
      </c>
    </row>
    <row r="71" spans="1:4" x14ac:dyDescent="0.25">
      <c r="A71" s="46">
        <v>1</v>
      </c>
      <c r="B71" s="46" t="s">
        <v>49</v>
      </c>
      <c r="C71" s="46" t="s">
        <v>197</v>
      </c>
      <c r="D71" s="46" t="s">
        <v>198</v>
      </c>
    </row>
    <row r="72" spans="1:4" x14ac:dyDescent="0.25">
      <c r="A72" s="46">
        <v>1</v>
      </c>
      <c r="B72" s="46" t="s">
        <v>49</v>
      </c>
      <c r="C72" s="46" t="s">
        <v>197</v>
      </c>
      <c r="D72" s="46" t="s">
        <v>199</v>
      </c>
    </row>
    <row r="73" spans="1:4" x14ac:dyDescent="0.25">
      <c r="A73" s="46">
        <v>1</v>
      </c>
      <c r="B73" s="46" t="s">
        <v>49</v>
      </c>
      <c r="C73" s="46" t="s">
        <v>200</v>
      </c>
      <c r="D73" s="46" t="s">
        <v>201</v>
      </c>
    </row>
    <row r="74" spans="1:4" x14ac:dyDescent="0.25">
      <c r="A74" s="46">
        <v>1</v>
      </c>
      <c r="B74" s="46" t="s">
        <v>49</v>
      </c>
      <c r="C74" s="46" t="s">
        <v>200</v>
      </c>
      <c r="D74" s="46" t="s">
        <v>202</v>
      </c>
    </row>
    <row r="75" spans="1:4" x14ac:dyDescent="0.25">
      <c r="A75" s="46">
        <v>1</v>
      </c>
      <c r="B75" s="46" t="s">
        <v>49</v>
      </c>
      <c r="C75" s="46" t="s">
        <v>203</v>
      </c>
      <c r="D75" s="46" t="s">
        <v>204</v>
      </c>
    </row>
    <row r="76" spans="1:4" x14ac:dyDescent="0.25">
      <c r="A76" s="46">
        <v>1</v>
      </c>
      <c r="B76" s="46" t="s">
        <v>49</v>
      </c>
      <c r="C76" s="46" t="s">
        <v>203</v>
      </c>
      <c r="D76" s="46" t="s">
        <v>205</v>
      </c>
    </row>
    <row r="77" spans="1:4" x14ac:dyDescent="0.25">
      <c r="A77" s="46">
        <v>1</v>
      </c>
      <c r="B77" s="46" t="s">
        <v>49</v>
      </c>
      <c r="C77" s="46" t="s">
        <v>206</v>
      </c>
      <c r="D77" s="46" t="s">
        <v>207</v>
      </c>
    </row>
    <row r="78" spans="1:4" x14ac:dyDescent="0.25">
      <c r="A78" s="46">
        <v>1</v>
      </c>
      <c r="B78" s="46" t="s">
        <v>49</v>
      </c>
      <c r="C78" s="46" t="s">
        <v>206</v>
      </c>
      <c r="D78" s="46" t="s">
        <v>208</v>
      </c>
    </row>
    <row r="79" spans="1:4" x14ac:dyDescent="0.25">
      <c r="A79" s="46">
        <v>1</v>
      </c>
      <c r="B79" s="46" t="s">
        <v>49</v>
      </c>
      <c r="C79" s="46" t="s">
        <v>209</v>
      </c>
      <c r="D79" s="46" t="s">
        <v>210</v>
      </c>
    </row>
    <row r="80" spans="1:4" x14ac:dyDescent="0.25">
      <c r="A80" s="46">
        <v>1</v>
      </c>
      <c r="B80" s="46" t="s">
        <v>49</v>
      </c>
      <c r="C80" s="46" t="s">
        <v>209</v>
      </c>
      <c r="D80" s="46" t="s">
        <v>211</v>
      </c>
    </row>
    <row r="81" spans="1:4" x14ac:dyDescent="0.25">
      <c r="A81" s="46">
        <v>1</v>
      </c>
      <c r="B81" s="46" t="s">
        <v>49</v>
      </c>
      <c r="C81" s="46" t="s">
        <v>212</v>
      </c>
      <c r="D81" s="46" t="s">
        <v>213</v>
      </c>
    </row>
    <row r="82" spans="1:4" x14ac:dyDescent="0.25">
      <c r="A82" s="46">
        <v>1</v>
      </c>
      <c r="B82" s="46" t="s">
        <v>49</v>
      </c>
      <c r="C82" s="46" t="s">
        <v>212</v>
      </c>
      <c r="D82" s="46" t="s">
        <v>214</v>
      </c>
    </row>
    <row r="83" spans="1:4" x14ac:dyDescent="0.25">
      <c r="A83" s="46">
        <v>1</v>
      </c>
      <c r="B83" s="46" t="s">
        <v>49</v>
      </c>
      <c r="C83" s="46" t="s">
        <v>215</v>
      </c>
      <c r="D83" s="46" t="s">
        <v>216</v>
      </c>
    </row>
    <row r="84" spans="1:4" x14ac:dyDescent="0.25">
      <c r="A84" s="46">
        <v>1</v>
      </c>
      <c r="B84" s="46" t="s">
        <v>49</v>
      </c>
      <c r="C84" s="46" t="s">
        <v>215</v>
      </c>
      <c r="D84" s="46" t="s">
        <v>217</v>
      </c>
    </row>
    <row r="85" spans="1:4" x14ac:dyDescent="0.25">
      <c r="A85" s="46">
        <v>1</v>
      </c>
      <c r="B85" s="46" t="s">
        <v>49</v>
      </c>
      <c r="C85" s="46" t="s">
        <v>218</v>
      </c>
      <c r="D85" s="46" t="s">
        <v>219</v>
      </c>
    </row>
    <row r="86" spans="1:4" x14ac:dyDescent="0.25">
      <c r="A86" s="46">
        <v>1</v>
      </c>
      <c r="B86" s="46" t="s">
        <v>49</v>
      </c>
      <c r="C86" s="46" t="s">
        <v>220</v>
      </c>
      <c r="D86" s="46" t="s">
        <v>221</v>
      </c>
    </row>
    <row r="87" spans="1:4" x14ac:dyDescent="0.25">
      <c r="A87" s="46">
        <v>1</v>
      </c>
      <c r="B87" s="46" t="s">
        <v>49</v>
      </c>
      <c r="C87" s="46" t="s">
        <v>222</v>
      </c>
      <c r="D87" s="46" t="s">
        <v>223</v>
      </c>
    </row>
    <row r="88" spans="1:4" x14ac:dyDescent="0.25">
      <c r="A88" s="46">
        <v>1</v>
      </c>
      <c r="B88" s="46" t="s">
        <v>49</v>
      </c>
      <c r="C88" s="46" t="s">
        <v>224</v>
      </c>
      <c r="D88" s="46" t="s">
        <v>225</v>
      </c>
    </row>
    <row r="89" spans="1:4" x14ac:dyDescent="0.25">
      <c r="A89" s="46">
        <v>1</v>
      </c>
      <c r="B89" s="46" t="s">
        <v>49</v>
      </c>
      <c r="C89" s="46" t="s">
        <v>226</v>
      </c>
      <c r="D89" s="46" t="s">
        <v>227</v>
      </c>
    </row>
    <row r="90" spans="1:4" x14ac:dyDescent="0.25">
      <c r="A90" s="46">
        <v>1</v>
      </c>
      <c r="B90" s="46" t="s">
        <v>49</v>
      </c>
      <c r="C90" s="46" t="s">
        <v>228</v>
      </c>
      <c r="D90" s="46" t="s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Keith Morse</cp:lastModifiedBy>
  <dcterms:created xsi:type="dcterms:W3CDTF">2011-11-09T05:33:48Z</dcterms:created>
  <dcterms:modified xsi:type="dcterms:W3CDTF">2014-05-15T15:19:34Z</dcterms:modified>
</cp:coreProperties>
</file>