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Calculations!$AB$21:$AB$51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Calculations!$X$21:$X$67</definedName>
    <definedName name="yB">Calculations!$Y$21:$Y$67</definedName>
    <definedName name="Zs">Calculations!$W$21:$W$50</definedName>
  </definedNames>
  <calcPr calcId="145621"/>
</workbook>
</file>

<file path=xl/calcChain.xml><?xml version="1.0" encoding="utf-8"?>
<calcChain xmlns="http://schemas.openxmlformats.org/spreadsheetml/2006/main">
  <c r="G36" i="1" l="1"/>
  <c r="H36" i="1" s="1"/>
  <c r="I36" i="1"/>
  <c r="J36" i="1" s="1"/>
  <c r="N36" i="1"/>
  <c r="X36" i="1"/>
  <c r="Y36" i="1" s="1"/>
  <c r="G37" i="1"/>
  <c r="H37" i="1"/>
  <c r="K37" i="1" s="1"/>
  <c r="I37" i="1"/>
  <c r="J37" i="1"/>
  <c r="L37" i="1"/>
  <c r="V37" i="1" s="1"/>
  <c r="N37" i="1"/>
  <c r="G38" i="1"/>
  <c r="H38" i="1" s="1"/>
  <c r="I38" i="1"/>
  <c r="J38" i="1" s="1"/>
  <c r="N38" i="1"/>
  <c r="G39" i="1"/>
  <c r="H39" i="1"/>
  <c r="K39" i="1" s="1"/>
  <c r="I39" i="1"/>
  <c r="J39" i="1"/>
  <c r="L39" i="1"/>
  <c r="V39" i="1" s="1"/>
  <c r="N39" i="1"/>
  <c r="X39" i="1"/>
  <c r="Y39" i="1"/>
  <c r="Z39" i="1"/>
  <c r="AA39" i="1"/>
  <c r="AB39" i="1"/>
  <c r="AC39" i="1"/>
  <c r="AE39" i="1" s="1"/>
  <c r="AD39" i="1"/>
  <c r="AF39" i="1"/>
  <c r="G40" i="1"/>
  <c r="H40" i="1" s="1"/>
  <c r="I40" i="1"/>
  <c r="J40" i="1" s="1"/>
  <c r="N40" i="1"/>
  <c r="X40" i="1"/>
  <c r="Y40" i="1" s="1"/>
  <c r="AB36" i="1" l="1"/>
  <c r="AD36" i="1"/>
  <c r="AF36" i="1" s="1"/>
  <c r="Z36" i="1"/>
  <c r="AA36" i="1" s="1"/>
  <c r="K40" i="1"/>
  <c r="L40" i="1"/>
  <c r="V40" i="1" s="1"/>
  <c r="K38" i="1"/>
  <c r="L38" i="1"/>
  <c r="V38" i="1" s="1"/>
  <c r="K36" i="1"/>
  <c r="L36" i="1"/>
  <c r="V36" i="1" s="1"/>
  <c r="AD40" i="1"/>
  <c r="AF40" i="1" s="1"/>
  <c r="AB40" i="1"/>
  <c r="Z40" i="1"/>
  <c r="AC36" i="1"/>
  <c r="AE36" i="1" s="1"/>
  <c r="X22" i="1"/>
  <c r="Z22" i="1" s="1"/>
  <c r="X21" i="1"/>
  <c r="Z21" i="1" s="1"/>
  <c r="G34" i="1"/>
  <c r="H34" i="1" s="1"/>
  <c r="I34" i="1"/>
  <c r="J34" i="1" s="1"/>
  <c r="G35" i="1"/>
  <c r="H35" i="1" s="1"/>
  <c r="K35" i="1" s="1"/>
  <c r="I35" i="1"/>
  <c r="J35" i="1" s="1"/>
  <c r="N35" i="1"/>
  <c r="AA40" i="1" l="1"/>
  <c r="AC40" i="1"/>
  <c r="AE40" i="1" s="1"/>
  <c r="Y22" i="1"/>
  <c r="Y21" i="1"/>
  <c r="K34" i="1"/>
  <c r="L34" i="1"/>
  <c r="L35" i="1"/>
  <c r="N34" i="1"/>
  <c r="P5" i="1" l="1"/>
  <c r="P6" i="1"/>
  <c r="P4" i="1"/>
  <c r="O5" i="1"/>
  <c r="O6" i="1"/>
  <c r="O4" i="1"/>
  <c r="N5" i="1"/>
  <c r="N6" i="1"/>
  <c r="N4" i="1"/>
  <c r="V34" i="1" l="1"/>
  <c r="V35" i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7" i="1" l="1"/>
  <c r="P37" i="1" s="1"/>
  <c r="Q37" i="1" s="1"/>
  <c r="O36" i="1"/>
  <c r="P36" i="1" s="1"/>
  <c r="Q36" i="1" s="1"/>
  <c r="O38" i="1"/>
  <c r="P38" i="1" s="1"/>
  <c r="Q38" i="1" s="1"/>
  <c r="O40" i="1"/>
  <c r="P40" i="1" s="1"/>
  <c r="Q40" i="1" s="1"/>
  <c r="O39" i="1"/>
  <c r="P39" i="1" s="1"/>
  <c r="Q39" i="1" s="1"/>
  <c r="O35" i="1"/>
  <c r="P35" i="1" s="1"/>
  <c r="Q35" i="1" s="1"/>
  <c r="O34" i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R38" i="1" l="1"/>
  <c r="T38" i="1" s="1"/>
  <c r="S38" i="1"/>
  <c r="U38" i="1" s="1"/>
  <c r="R40" i="1"/>
  <c r="T40" i="1" s="1"/>
  <c r="S40" i="1"/>
  <c r="U40" i="1" s="1"/>
  <c r="R36" i="1"/>
  <c r="T36" i="1" s="1"/>
  <c r="S36" i="1"/>
  <c r="U36" i="1" s="1"/>
  <c r="R39" i="1"/>
  <c r="T39" i="1" s="1"/>
  <c r="S39" i="1"/>
  <c r="U39" i="1" s="1"/>
  <c r="S37" i="1"/>
  <c r="U37" i="1" s="1"/>
  <c r="R37" i="1"/>
  <c r="T37" i="1" s="1"/>
  <c r="S34" i="1"/>
  <c r="U34" i="1" s="1"/>
  <c r="R34" i="1"/>
  <c r="T34" i="1" s="1"/>
  <c r="X34" i="1" s="1"/>
  <c r="R35" i="1"/>
  <c r="T35" i="1" s="1"/>
  <c r="X35" i="1" s="1"/>
  <c r="S35" i="1"/>
  <c r="U35" i="1" s="1"/>
  <c r="E36" i="2"/>
  <c r="E37" i="2"/>
  <c r="X4" i="1"/>
  <c r="Y4" i="1"/>
  <c r="X37" i="1" l="1"/>
  <c r="X38" i="1"/>
  <c r="Y35" i="1"/>
  <c r="Y34" i="1"/>
  <c r="Y5" i="1"/>
  <c r="Y8" i="1" s="1"/>
  <c r="X9" i="1"/>
  <c r="Y9" i="1"/>
  <c r="Y38" i="1" l="1"/>
  <c r="Y37" i="1"/>
  <c r="O21" i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7" i="1" l="1"/>
  <c r="W39" i="1"/>
  <c r="W40" i="1"/>
  <c r="W38" i="1"/>
  <c r="W36" i="1"/>
  <c r="W35" i="1"/>
  <c r="W34" i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E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E19" i="2" s="1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Y28" i="1" l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8" i="1" l="1"/>
  <c r="AF38" i="1" s="1"/>
  <c r="AD37" i="1"/>
  <c r="AF37" i="1" s="1"/>
  <c r="AD34" i="1"/>
  <c r="AF34" i="1" s="1"/>
  <c r="AD35" i="1"/>
  <c r="AF35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38" i="1" l="1"/>
  <c r="Z37" i="1"/>
  <c r="Z28" i="1"/>
  <c r="AA28" i="1" s="1"/>
  <c r="Z34" i="1"/>
  <c r="AA34" i="1" s="1"/>
  <c r="Z35" i="1"/>
  <c r="AA35" i="1" s="1"/>
  <c r="Z32" i="1"/>
  <c r="AA32" i="1" s="1"/>
  <c r="Z23" i="1"/>
  <c r="Z24" i="1"/>
  <c r="AA24" i="1" s="1"/>
  <c r="Z25" i="1"/>
  <c r="AA25" i="1" s="1"/>
  <c r="Z31" i="1"/>
  <c r="Z29" i="1"/>
  <c r="AA29" i="1" s="1"/>
  <c r="Z33" i="1"/>
  <c r="AA33" i="1" s="1"/>
  <c r="Z27" i="1"/>
  <c r="AA27" i="1" s="1"/>
  <c r="Z26" i="1"/>
  <c r="AA26" i="1" s="1"/>
  <c r="Z30" i="1"/>
  <c r="AA30" i="1" s="1"/>
  <c r="AA31" i="1"/>
  <c r="AA37" i="1" l="1"/>
  <c r="AB37" i="1" s="1"/>
  <c r="AA38" i="1"/>
  <c r="AB38" i="1" s="1"/>
  <c r="AA23" i="1"/>
  <c r="AC23" i="1" s="1"/>
  <c r="AE23" i="1" s="1"/>
  <c r="AA22" i="1"/>
  <c r="AC22" i="1"/>
  <c r="AA21" i="1"/>
  <c r="AC21" i="1"/>
  <c r="AB35" i="1"/>
  <c r="AB34" i="1"/>
  <c r="AB32" i="1"/>
  <c r="AB33" i="1"/>
  <c r="AB28" i="1"/>
  <c r="AB27" i="1"/>
  <c r="AB29" i="1"/>
  <c r="AB26" i="1"/>
  <c r="AB24" i="1"/>
  <c r="AB31" i="1"/>
  <c r="AB25" i="1"/>
  <c r="AB30" i="1"/>
  <c r="AC37" i="1" l="1"/>
  <c r="AE37" i="1" s="1"/>
  <c r="AC38" i="1"/>
  <c r="AE38" i="1" s="1"/>
  <c r="AC33" i="1"/>
  <c r="AE33" i="1" s="1"/>
  <c r="AC24" i="1"/>
  <c r="AE24" i="1" s="1"/>
  <c r="AC35" i="1"/>
  <c r="AE35" i="1" s="1"/>
  <c r="AC34" i="1"/>
  <c r="AE34" i="1" s="1"/>
  <c r="AC27" i="1"/>
  <c r="AE27" i="1" s="1"/>
  <c r="AC25" i="1"/>
  <c r="AE25" i="1" s="1"/>
  <c r="AC31" i="1"/>
  <c r="AE31" i="1" s="1"/>
  <c r="AC26" i="1"/>
  <c r="AE26" i="1" s="1"/>
  <c r="AC32" i="1"/>
  <c r="AE32" i="1" s="1"/>
  <c r="AC29" i="1"/>
  <c r="AE29" i="1" s="1"/>
  <c r="AC30" i="1"/>
  <c r="AE30" i="1" s="1"/>
  <c r="AC28" i="1"/>
  <c r="AE28" i="1" s="1"/>
  <c r="AB23" i="1"/>
  <c r="AC9" i="1" s="1"/>
  <c r="AI34" i="1" l="1"/>
  <c r="AJ34" i="1" s="1"/>
  <c r="AI35" i="1"/>
  <c r="AJ35" i="1" s="1"/>
  <c r="AI37" i="1"/>
  <c r="AJ37" i="1" s="1"/>
  <c r="AI36" i="1"/>
  <c r="AJ36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<sst xmlns="http://schemas.openxmlformats.org/spreadsheetml/2006/main" count="103" uniqueCount="92">
  <si>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</si>
  <si>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</si>
  <si>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</si>
  <si>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</si>
  <si>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</si>
  <si>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</si>
  <si>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</si>
  <si>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</si>
  <si>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</si>
  <si>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</si>
  <si>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</si>
  <si>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</si>
  <si>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</si>
  <si>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</si>
  <si>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</si>
  <si>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</si>
  <si>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</si>
  <si>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</si>
  <si>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</si>
  <si>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</si>
  <si>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</si>
  <si>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</si>
  <si>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</si>
  <si>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</si>
  <si>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</si>
  <si>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</si>
  <si>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</si>
  <si>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</si>
  <si>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</si>
  <si>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</si>
  <si>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</si>
  <si>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</si>
  <si>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</si>
  <si>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</si>
  <si>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</si>
  <si>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</si>
  <si>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</si>
  <si>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</si>
  <si>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</si>
  <si>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</si>
  <si>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</si>
  <si>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</si>
  <si>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</si>
  <si>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</si>
  <si>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</si>
  <si>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</si>
  <si>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</si>
  <si>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</si>
  <si>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</si>
  <si>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</si>
  <si>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</si>
  <si>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</si>
  <si>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</si>
  <si>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</si>
  <si>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</si>
  <si>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</si>
  <si>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</si>
  <si>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</si>
  <si>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</si>
  <si>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</si>
  <si>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</si>
  <si>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</si>
  <si>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</si>
  <si>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</si>
  <si>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</si>
  <si>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</si>
  <si>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</si>
  <si>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</si>
  <si>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</si>
  <si>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</si>
  <si>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</si>
  <si>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</si>
  <si>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m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</si>
  <si>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</si>
  <si>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</si>
  <si>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</si>
  <si>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</si>
  <si>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</si>
  <si>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</si>
  <si>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</si>
  <si>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</si>
  <si>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</si>
  <si>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</si>
  <si>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</si>
  <si>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</si>
  <si>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</si>
  <si>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 xml:space="preserve">BS </t>
  </si>
  <si>
    <t>CSS21</t>
  </si>
  <si>
    <t>1,459098.702,1096249.629,1199.959,1199.959,</t>
  </si>
  <si>
    <t>2,459134.880,1096253.423,1199.828,1199.828,</t>
  </si>
  <si>
    <t>3,459113.436,1096324.946,1200.950,1200.950,</t>
  </si>
  <si>
    <t>Damaged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</si>
</sst>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Calculations!$AH$23:$AH$66</c:f>
              <c:numCache>
                <c:formatCode>General</c:formatCode>
                <c:ptCount val="44"/>
                <c:pt idx="0">
                  <c:v>0</c:v>
                </c:pt>
                <c:pt idx="1">
                  <c:v>4.2</c:v>
                </c:pt>
                <c:pt idx="2">
                  <c:v>15.97</c:v>
                </c:pt>
                <c:pt idx="3">
                  <c:v>30.08</c:v>
                </c:pt>
                <c:pt idx="4">
                  <c:v>46.73</c:v>
                </c:pt>
                <c:pt idx="5">
                  <c:v>53.7</c:v>
                </c:pt>
                <c:pt idx="6">
                  <c:v>55.72</c:v>
                </c:pt>
                <c:pt idx="7">
                  <c:v>58.12</c:v>
                </c:pt>
                <c:pt idx="8">
                  <c:v>64.42</c:v>
                </c:pt>
                <c:pt idx="9">
                  <c:v>134.28</c:v>
                </c:pt>
                <c:pt idx="10">
                  <c:v>193.26</c:v>
                </c:pt>
                <c:pt idx="11">
                  <c:v>198.44</c:v>
                </c:pt>
                <c:pt idx="12">
                  <c:v>198.57</c:v>
                </c:pt>
                <c:pt idx="13">
                  <c:v>199.84</c:v>
                </c:pt>
                <c:pt idx="14">
                  <c:v>201.61</c:v>
                </c:pt>
              </c:numCache>
            </c:numRef>
          </c:xVal>
          <c:yVal>
            <c:numRef>
              <c:f>Calculations!$AI$23:$AI$66</c:f>
              <c:numCache>
                <c:formatCode>General</c:formatCode>
                <c:ptCount val="44"/>
                <c:pt idx="0">
                  <c:v>6.99</c:v>
                </c:pt>
                <c:pt idx="1">
                  <c:v>3.28</c:v>
                </c:pt>
                <c:pt idx="2">
                  <c:v>5.32</c:v>
                </c:pt>
                <c:pt idx="3">
                  <c:v>3.41</c:v>
                </c:pt>
                <c:pt idx="4">
                  <c:v>2.86</c:v>
                </c:pt>
                <c:pt idx="5">
                  <c:v>1.81</c:v>
                </c:pt>
                <c:pt idx="6">
                  <c:v>1.24</c:v>
                </c:pt>
                <c:pt idx="7">
                  <c:v>0.83</c:v>
                </c:pt>
                <c:pt idx="8">
                  <c:v>0.46</c:v>
                </c:pt>
                <c:pt idx="9">
                  <c:v>0.16</c:v>
                </c:pt>
                <c:pt idx="10">
                  <c:v>0</c:v>
                </c:pt>
                <c:pt idx="11">
                  <c:v>0.74</c:v>
                </c:pt>
                <c:pt idx="12">
                  <c:v>0.82</c:v>
                </c:pt>
                <c:pt idx="13">
                  <c:v>2.65</c:v>
                </c:pt>
                <c:pt idx="14">
                  <c:v>4.5199999999999996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6624"/>
        <c:axId val="91353856"/>
      </c:scatterChart>
      <c:valAx>
        <c:axId val="9082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353856"/>
        <c:crosses val="autoZero"/>
        <c:crossBetween val="midCat"/>
      </c:valAx>
      <c:valAx>
        <c:axId val="9135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82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Calculations!$R$23:$R$38</c:f>
              <c:numCache>
                <c:formatCode>0.00</c:formatCode>
                <c:ptCount val="16"/>
                <c:pt idx="0">
                  <c:v>-6.5836748075962852</c:v>
                </c:pt>
                <c:pt idx="1">
                  <c:v>-7.6510327031274512</c:v>
                </c:pt>
                <c:pt idx="2">
                  <c:v>-8.4569261532189763</c:v>
                </c:pt>
                <c:pt idx="3">
                  <c:v>-9.4736317747920449</c:v>
                </c:pt>
                <c:pt idx="4">
                  <c:v>-10.081196009777678</c:v>
                </c:pt>
                <c:pt idx="5">
                  <c:v>-10.309848129210014</c:v>
                </c:pt>
                <c:pt idx="6">
                  <c:v>-10.793669080622879</c:v>
                </c:pt>
                <c:pt idx="7">
                  <c:v>-11.933563075369019</c:v>
                </c:pt>
                <c:pt idx="8">
                  <c:v>-24.962283836134318</c:v>
                </c:pt>
                <c:pt idx="9">
                  <c:v>-30.610503944332869</c:v>
                </c:pt>
                <c:pt idx="10">
                  <c:v>-31.074238198920227</c:v>
                </c:pt>
                <c:pt idx="11">
                  <c:v>-31.034386095568887</c:v>
                </c:pt>
                <c:pt idx="12">
                  <c:v>-31.25434575912546</c:v>
                </c:pt>
                <c:pt idx="13">
                  <c:v>-31.779586453943068</c:v>
                </c:pt>
                <c:pt idx="14">
                  <c:v>0</c:v>
                </c:pt>
                <c:pt idx="15">
                  <c:v>-30.493976170272042</c:v>
                </c:pt>
              </c:numCache>
            </c:numRef>
          </c:xVal>
          <c:yVal>
            <c:numRef>
              <c:f>Calculations!$S$23:$S$38</c:f>
              <c:numCache>
                <c:formatCode>0.00</c:formatCode>
                <c:ptCount val="16"/>
                <c:pt idx="0">
                  <c:v>-4.9367503526497112</c:v>
                </c:pt>
                <c:pt idx="1">
                  <c:v>6.9192416144726321E-3</c:v>
                </c:pt>
                <c:pt idx="2">
                  <c:v>4.4463440002753636</c:v>
                </c:pt>
                <c:pt idx="3">
                  <c:v>9.6522750769578334</c:v>
                </c:pt>
                <c:pt idx="4">
                  <c:v>11.732954136094886</c:v>
                </c:pt>
                <c:pt idx="5">
                  <c:v>12.307328155376759</c:v>
                </c:pt>
                <c:pt idx="6">
                  <c:v>12.88146117075617</c:v>
                </c:pt>
                <c:pt idx="7">
                  <c:v>14.450648690887048</c:v>
                </c:pt>
                <c:pt idx="8">
                  <c:v>31.643213143142578</c:v>
                </c:pt>
                <c:pt idx="9">
                  <c:v>48.997372481510709</c:v>
                </c:pt>
                <c:pt idx="10">
                  <c:v>50.582152549355115</c:v>
                </c:pt>
                <c:pt idx="11">
                  <c:v>51.040109877798201</c:v>
                </c:pt>
                <c:pt idx="12">
                  <c:v>51.53459612274289</c:v>
                </c:pt>
                <c:pt idx="13">
                  <c:v>54.645772009523398</c:v>
                </c:pt>
                <c:pt idx="14">
                  <c:v>0</c:v>
                </c:pt>
                <c:pt idx="15">
                  <c:v>50.845674402431023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79200"/>
        <c:axId val="91385856"/>
      </c:scatterChart>
      <c:valAx>
        <c:axId val="91379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91385856"/>
        <c:crosses val="autoZero"/>
        <c:crossBetween val="midCat"/>
      </c:valAx>
      <c:valAx>
        <c:axId val="91385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379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1096246.4880110726</c:v>
                </c:pt>
                <c:pt idx="3">
                  <c:v>1096244.209101219</c:v>
                </c:pt>
                <c:pt idx="4">
                  <c:v>1096242.1960754283</c:v>
                </c:pt>
                <c:pt idx="5">
                  <c:v>1096239.8197776775</c:v>
                </c:pt>
                <c:pt idx="6">
                  <c:v>1096238.8259381296</c:v>
                </c:pt>
                <c:pt idx="7">
                  <c:v>1096238.5382346869</c:v>
                </c:pt>
                <c:pt idx="8">
                  <c:v>1096238.1947136812</c:v>
                </c:pt>
                <c:pt idx="9">
                  <c:v>1096237.2958051939</c:v>
                </c:pt>
                <c:pt idx="10">
                  <c:v>1096227.3287940491</c:v>
                </c:pt>
                <c:pt idx="11">
                  <c:v>1096218.9122873324</c:v>
                </c:pt>
                <c:pt idx="12">
                  <c:v>1096218.1551012709</c:v>
                </c:pt>
                <c:pt idx="13">
                  <c:v>1096217.9743946036</c:v>
                </c:pt>
                <c:pt idx="14">
                  <c:v>1096217.7216425899</c:v>
                </c:pt>
                <c:pt idx="15">
                  <c:v>#N/A</c:v>
                </c:pt>
                <c:pt idx="16">
                  <c:v>1096245.8885975545</c:v>
                </c:pt>
                <c:pt idx="17">
                  <c:v>1096218.1732497732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Calculations!$AA$21:$AA$46</c:f>
              <c:numCache>
                <c:formatCode>0.00</c:formatCode>
                <c:ptCount val="26"/>
                <c:pt idx="0">
                  <c:v>#N/A</c:v>
                </c:pt>
                <c:pt idx="1">
                  <c:v>#N/A</c:v>
                </c:pt>
                <c:pt idx="2">
                  <c:v>459095.58901705011</c:v>
                </c:pt>
                <c:pt idx="3">
                  <c:v>459099.89086539042</c:v>
                </c:pt>
                <c:pt idx="4">
                  <c:v>459103.69081019401</c:v>
                </c:pt>
                <c:pt idx="5">
                  <c:v>459108.17649553996</c:v>
                </c:pt>
                <c:pt idx="6">
                  <c:v>459110.05254474073</c:v>
                </c:pt>
                <c:pt idx="7">
                  <c:v>459110.59563624347</c:v>
                </c:pt>
                <c:pt idx="8">
                  <c:v>459111.24409334059</c:v>
                </c:pt>
                <c:pt idx="9">
                  <c:v>459112.9409432523</c:v>
                </c:pt>
                <c:pt idx="10">
                  <c:v>459131.75545242731</c:v>
                </c:pt>
                <c:pt idx="11">
                  <c:v>459147.6431082692</c:v>
                </c:pt>
                <c:pt idx="12">
                  <c:v>459149.07243185421</c:v>
                </c:pt>
                <c:pt idx="13">
                  <c:v>459149.41354788188</c:v>
                </c:pt>
                <c:pt idx="14">
                  <c:v>459149.89066233579</c:v>
                </c:pt>
                <c:pt idx="15">
                  <c:v>#N/A</c:v>
                </c:pt>
                <c:pt idx="16">
                  <c:v>459096.7205168521</c:v>
                </c:pt>
                <c:pt idx="17">
                  <c:v>459149.0381733228</c:v>
                </c:pt>
                <c:pt idx="18">
                  <c:v>#N/A</c:v>
                </c:pt>
                <c:pt idx="1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24352"/>
        <c:axId val="148318464"/>
      </c:scatterChart>
      <c:valAx>
        <c:axId val="148324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8318464"/>
        <c:crosses val="autoZero"/>
        <c:crossBetween val="midCat"/>
      </c:valAx>
      <c:valAx>
        <c:axId val="1483184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32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Calculations!$L$57:$L$83</c:f>
              <c:numCache>
                <c:formatCode>General</c:formatCode>
                <c:ptCount val="27"/>
              </c:numCache>
            </c:numRef>
          </c:xVal>
          <c:yVal>
            <c:numRef>
              <c:f>Calculations!$M$57:$M$83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(Calculations!$L$55:$L$56,Calculations!$L$84:$L$85)</c:f>
              <c:numCache>
                <c:formatCode>General</c:formatCode>
                <c:ptCount val="4"/>
              </c:numCache>
            </c:numRef>
          </c:xVal>
          <c:yVal>
            <c:numRef>
              <c:f>(Calculations!$M$55:$M$56,Calculations!$M$84:$M$85)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13600"/>
        <c:axId val="91515136"/>
      </c:scatterChart>
      <c:valAx>
        <c:axId val="9151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515136"/>
        <c:crosses val="autoZero"/>
        <c:crossBetween val="midCat"/>
      </c:valAx>
      <c:valAx>
        <c:axId val="91515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1513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711321</xdr:colOff>
      <xdr:row>42</xdr:row>
      <xdr:rowOff>179779</xdr:rowOff>
    </xdr:from>
    <xdr:to>
      <xdr:col>34</xdr:col>
      <xdr:colOff>279892</xdr:colOff>
      <xdr:row>57</xdr:row>
      <xdr:rowOff>65479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78442</xdr:colOff>
      <xdr:row>43</xdr:row>
      <xdr:rowOff>65017</xdr:rowOff>
    </xdr:from>
    <xdr:to>
      <xdr:col>21</xdr:col>
      <xdr:colOff>26571</xdr:colOff>
      <xdr:row>57</xdr:row>
      <xdr:rowOff>141217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134470</xdr:colOff>
      <xdr:row>43</xdr:row>
      <xdr:rowOff>62753</xdr:rowOff>
    </xdr:from>
    <xdr:to>
      <xdr:col>27</xdr:col>
      <xdr:colOff>347382</xdr:colOff>
      <xdr:row>57</xdr:row>
      <xdr:rowOff>138953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85"/>
  <sheetViews>
    <sheetView tabSelected="1" zoomScale="85" zoomScaleNormal="85" workbookViewId="0">
      <selection sqref="A1:B1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87</v>
      </c>
      <c r="B1" s="61"/>
      <c r="C1" s="51">
        <v>40826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1.38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72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-1.8876781515994412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1096249.629</v>
      </c>
      <c r="O4" s="20">
        <f>VALUE(MID(C10,FIND(",",C10,1)+1,FIND(",",C10,5)-FIND(",",C10,1)-1))</f>
        <v>459098.70199999999</v>
      </c>
      <c r="P4" s="20">
        <f>VALUE(MID(C10,FIND(",",C10,17)+1,FIND(",",C10,27)-FIND(",",C10,17)-1))</f>
        <v>1199.9590000000001</v>
      </c>
      <c r="Q4" s="23"/>
      <c r="R4" s="22"/>
      <c r="W4" s="27"/>
      <c r="X4" s="20">
        <f ca="1">VALUE(OFFSET($P$3,MATCH($O$10,$M$4:$M$6,0),0))</f>
        <v>1199.828</v>
      </c>
      <c r="Y4" s="20">
        <f ca="1">OFFSET($P$3,MATCH($Q$10,$M$4:$M$6,0),0)</f>
        <v>1200.95</v>
      </c>
      <c r="Z4" s="2"/>
      <c r="AA4" s="26" t="s">
        <v>41</v>
      </c>
      <c r="AB4" s="26" t="s">
        <v>54</v>
      </c>
      <c r="AC4" s="28">
        <f ca="1">INTERCEPT(yB,xB)</f>
        <v>2528456.1332031707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1096253.423</v>
      </c>
      <c r="O5" s="20">
        <f t="shared" ref="O5:O6" si="1">VALUE(MID(C11,FIND(",",C11,1)+1,FIND(",",C11,5)-FIND(",",C11,1)-1))</f>
        <v>459134.88</v>
      </c>
      <c r="P5" s="20">
        <f t="shared" ref="P5:P6" si="2">VALUE(MID(C11,FIND(",",C11,17)+1,FIND(",",C11,27)-FIND(",",C11,17)-1))</f>
        <v>1199.828</v>
      </c>
      <c r="Q5" s="24">
        <f>DEGREES(ATAN2(Old_Y1-Old_Y0,Old_X1-Old_X0))+IF(Old_X1-Old_X0&lt;0,360)</f>
        <v>5.9867462057096432</v>
      </c>
      <c r="R5" s="22"/>
      <c r="W5" s="21"/>
      <c r="X5" s="20">
        <f ca="1">VALUE(OFFSET($V$20,MATCH($O11,$A$21:$A$51,0),0))</f>
        <v>1199.6683119278191</v>
      </c>
      <c r="Y5" s="20">
        <f ca="1">OFFSET($V$20,MATCH($Q11,$A$21:$A$51,0),0)</f>
        <v>1199.6884468565111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1096324.946</v>
      </c>
      <c r="O6" s="20">
        <f t="shared" si="1"/>
        <v>459113.43599999999</v>
      </c>
      <c r="P6" s="20">
        <f t="shared" si="2"/>
        <v>1200.95</v>
      </c>
      <c r="Q6" s="24">
        <f>DEGREES(ATAN2(Old_Y2-Old_Y0,Old_X2-Old_X0))+IF(Old_X2-Old_X0&lt;0,360)</f>
        <v>78.931215008354272</v>
      </c>
      <c r="R6" s="22"/>
      <c r="W6" s="21"/>
      <c r="X6" s="20">
        <f ca="1">VALUE(OFFSET($V$20,MATCH($O12,$A$21:$A$61,0),0))</f>
        <v>1199.6756199404529</v>
      </c>
      <c r="Y6" s="20">
        <f ca="1">VALUE(OFFSET($V$20,MATCH($O12,$A$21:$A$61,0),0))</f>
        <v>1199.6756199404529</v>
      </c>
      <c r="Z6" s="5"/>
      <c r="AA6" s="26" t="s">
        <v>42</v>
      </c>
      <c r="AB6" s="21" t="s">
        <v>55</v>
      </c>
      <c r="AC6" s="20">
        <f ca="1">-1/mA</f>
        <v>0.52975132394931512</v>
      </c>
    </row>
    <row r="7" spans="1:29" x14ac:dyDescent="0.25">
      <c r="A7" s="62" t="s">
        <v>18</v>
      </c>
      <c r="B7" s="62"/>
      <c r="C7" s="38">
        <v>17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8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-0.15968807218087022</v>
      </c>
      <c r="Y8" s="20">
        <f ca="1">Y5-Y4</f>
        <v>-1.2615531434889817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-0.15238005954711298</v>
      </c>
      <c r="Y9" s="20">
        <f ca="1">Y6-Y4</f>
        <v>-1.2743800595471839</v>
      </c>
      <c r="AA9" s="31" t="s">
        <v>49</v>
      </c>
      <c r="AB9" s="31"/>
      <c r="AC9" s="20">
        <f ca="1">AVERAGE(DfromL)</f>
        <v>1.4122866161661194</v>
      </c>
    </row>
    <row r="10" spans="1:29" s="16" customFormat="1" x14ac:dyDescent="0.25">
      <c r="A10" s="53"/>
      <c r="B10" s="48"/>
      <c r="C10" s="35" t="s">
        <v>88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5.9867462057096432</v>
      </c>
      <c r="Q10" s="32">
        <v>2</v>
      </c>
      <c r="R10" s="20">
        <f ca="1">OFFSET($Q$3,MATCH($O$10,$M$4:$M$6,0),0)</f>
        <v>5.9867462057096432</v>
      </c>
      <c r="W10" s="22"/>
      <c r="X10" s="22"/>
      <c r="Y10" s="22"/>
      <c r="AA10" s="31" t="s">
        <v>50</v>
      </c>
      <c r="AB10" s="31"/>
      <c r="AC10" s="20">
        <f ca="1">_xlfn.STDEV.P(DfromL)</f>
        <v>1.2841330980960066</v>
      </c>
    </row>
    <row r="11" spans="1:29" s="16" customFormat="1" x14ac:dyDescent="0.25">
      <c r="A11" s="14"/>
      <c r="B11" s="48"/>
      <c r="C11" s="35" t="s">
        <v>89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OFFSET($N$20,MATCH($O11,$A$21:$A$51,0),0)</f>
        <v>0</v>
      </c>
      <c r="Q11" s="32">
        <v>2</v>
      </c>
      <c r="R11" s="20">
        <f ca="1">OFFSET($N$20,MATCH($Q11,$A$21:$A$51,0),0)</f>
        <v>73.227500000000006</v>
      </c>
      <c r="W11" s="21" t="s">
        <v>37</v>
      </c>
      <c r="X11" s="20">
        <f ca="1">AVERAGE(X8:Y9)</f>
        <v>-0.71200033369103721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90</v>
      </c>
      <c r="D12" s="36"/>
      <c r="E12" s="37"/>
      <c r="F12" s="47"/>
      <c r="M12" s="55" t="s">
        <v>30</v>
      </c>
      <c r="N12" s="55"/>
      <c r="O12" s="32">
        <v>18</v>
      </c>
      <c r="P12" s="20">
        <f ca="1">OFFSET($N$20,MATCH($O12,$A$21:$A$61,0),0)</f>
        <v>359.99111111111114</v>
      </c>
      <c r="Q12" s="32">
        <v>19</v>
      </c>
      <c r="R12" s="20">
        <f ca="1">OFFSET($N$20,MATCH($Q12,$A$21:$A$51,0),0)</f>
        <v>73.180000000000007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1197.017954040424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5.9867462057096432</v>
      </c>
      <c r="Q14" s="20"/>
      <c r="R14" s="20">
        <f ca="1">R10-R11+IF(R11&gt;R10,360)</f>
        <v>292.75924620570964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5.9956350945985264</v>
      </c>
      <c r="Q15" s="20"/>
      <c r="R15" s="20">
        <f ca="1">R10-R12+IF(R12&gt;R10,360)</f>
        <v>292.8067462057096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149.38709342793186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83</v>
      </c>
      <c r="H20" s="12" t="s">
        <v>77</v>
      </c>
      <c r="I20" s="12" t="s">
        <v>82</v>
      </c>
      <c r="J20" s="12" t="s">
        <v>81</v>
      </c>
      <c r="K20" s="3" t="s">
        <v>75</v>
      </c>
      <c r="L20" s="3" t="s">
        <v>76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80</v>
      </c>
      <c r="R20" s="19" t="s">
        <v>78</v>
      </c>
      <c r="S20" s="19" t="s">
        <v>79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73</v>
      </c>
      <c r="AF20" s="19" t="s">
        <v>74</v>
      </c>
      <c r="AG20" s="19"/>
      <c r="AH20" s="19"/>
      <c r="AI20" s="19"/>
    </row>
    <row r="21" spans="1:36" x14ac:dyDescent="0.25">
      <c r="A21" s="44">
        <v>1</v>
      </c>
      <c r="B21" s="48">
        <v>0</v>
      </c>
      <c r="C21" s="48">
        <v>3.7616550925925925</v>
      </c>
      <c r="D21" s="44">
        <v>36.600999999999999</v>
      </c>
      <c r="E21" s="44">
        <v>1.492</v>
      </c>
      <c r="F21" s="49" t="s">
        <v>85</v>
      </c>
      <c r="G21" s="43">
        <f>C21*24</f>
        <v>90.279722222222219</v>
      </c>
      <c r="H21" s="43">
        <f>RADIANS(G21)</f>
        <v>1.5756784005636695</v>
      </c>
      <c r="I21" s="43">
        <f t="shared" ref="I21:I34" si="3">B21*24</f>
        <v>0</v>
      </c>
      <c r="J21" s="39">
        <f>RADIANS(I21)</f>
        <v>0</v>
      </c>
      <c r="K21" s="39">
        <f>D21*SIN(H21)</f>
        <v>36.60056381495864</v>
      </c>
      <c r="L21" s="15">
        <f>D21*COS(H21)</f>
        <v>-0.17868807218110858</v>
      </c>
      <c r="M21" s="13"/>
      <c r="N21" s="16">
        <f t="shared" ref="N21:N34" si="4">I21+M21</f>
        <v>0</v>
      </c>
      <c r="O21" s="16">
        <f ca="1">$O$17</f>
        <v>149.38709342793186</v>
      </c>
      <c r="P21" s="16">
        <f ca="1">SUM(N21,O21)</f>
        <v>149.38709342793186</v>
      </c>
      <c r="Q21" s="16">
        <f ca="1">RADIANS(P21)</f>
        <v>2.6072966403017932</v>
      </c>
      <c r="R21" s="16">
        <f t="shared" ref="R21:R34" ca="1" si="5">K21*SIN(Q21)</f>
        <v>18.638298928204932</v>
      </c>
      <c r="S21" s="16">
        <f t="shared" ref="S21:S34" ca="1" si="6">K21*COS(Q21)</f>
        <v>-31.499445782993305</v>
      </c>
      <c r="T21" s="13">
        <f t="shared" ref="T21:T34" ca="1" si="7">Old_X0+R21</f>
        <v>1096268.2672989282</v>
      </c>
      <c r="U21" s="13">
        <f t="shared" ref="U21:U34" ca="1" si="8">Old_Y0+S21</f>
        <v>459067.20255421702</v>
      </c>
      <c r="V21" s="16">
        <f t="shared" ref="V21:V34" si="9">Old_Z0+HI+L21-E21</f>
        <v>1199.6683119278191</v>
      </c>
      <c r="W21" s="16">
        <f t="shared" ref="W21:W34" ca="1" si="10">IF(ISNUMBER(T21),V21+dZ,"")</f>
        <v>1198.956311594128</v>
      </c>
      <c r="X21" s="16" t="str">
        <f>IF(AND(A21&gt;=CS_Start,A21&lt;=CS_End),IF(OR(LEFT(UPPER(F21))="D"),"",T21),"")</f>
        <v/>
      </c>
      <c r="Y21" s="16" t="str">
        <f>IF(ISNUMBER(X21),U21,"")</f>
        <v/>
      </c>
      <c r="Z21" s="16" t="e">
        <f>IF(X21="",NA(),VALUE((-mB*X21+Y21-bA)/(mA-mB)))</f>
        <v>#N/A</v>
      </c>
      <c r="AA21" s="16" t="e">
        <f>IF(ISNA(Z21),NA(),VALUE(mA*Z21+bA))</f>
        <v>#N/A</v>
      </c>
      <c r="AB21" s="16" t="str">
        <f>IF(ISNUMBER(X21),SQRT((X21-Z21)^2+(Y21-AA21)^2),"")</f>
        <v/>
      </c>
      <c r="AC21" s="16" t="str">
        <f t="shared" ref="AC21:AC23" ca="1" si="11">IF(ISNUMBER(Z21),SQRT(($Z21-OFFSET($Z$20,MATCH(CS_Start,$A$21:$A$51,0),0))^2+($AA21-OFFSET($AA$20,MATCH(CS_Start,$A$21:$A$51,0),0))^2),"")</f>
        <v/>
      </c>
      <c r="AD21" s="16" t="str">
        <f t="shared" ref="AD21:AD23" si="12">IF(ISNUMBER(X21),W21-Min_Z,"")</f>
        <v/>
      </c>
    </row>
    <row r="22" spans="1:36" x14ac:dyDescent="0.25">
      <c r="A22" s="44">
        <v>2</v>
      </c>
      <c r="B22" s="48">
        <v>3.0511458333333334</v>
      </c>
      <c r="C22" s="48">
        <v>3.754965277777778</v>
      </c>
      <c r="D22" s="44">
        <v>76.233000000000004</v>
      </c>
      <c r="E22" s="44">
        <v>1.492</v>
      </c>
      <c r="F22" s="49" t="s">
        <v>86</v>
      </c>
      <c r="G22" s="43">
        <f t="shared" ref="G22:G34" si="13">C22*24</f>
        <v>90.119166666666672</v>
      </c>
      <c r="H22" s="43">
        <f t="shared" ref="H22:H34" si="14">RADIANS(G22)</f>
        <v>1.5728761774868565</v>
      </c>
      <c r="I22" s="43">
        <f t="shared" si="3"/>
        <v>73.227500000000006</v>
      </c>
      <c r="J22" s="39">
        <f t="shared" ref="J22:J34" si="15">RADIANS(I22)</f>
        <v>1.2780609780041479</v>
      </c>
      <c r="K22" s="39">
        <f t="shared" ref="K22:K34" si="16">D22*SIN(H22)</f>
        <v>76.232835116507971</v>
      </c>
      <c r="L22" s="15">
        <f t="shared" ref="L22:L34" si="17">D22*COS(H22)</f>
        <v>-0.15855314348914504</v>
      </c>
      <c r="M22" s="13"/>
      <c r="N22" s="16">
        <f t="shared" si="4"/>
        <v>73.227500000000006</v>
      </c>
      <c r="O22" s="16">
        <f t="shared" ref="O22:O43" ca="1" si="18">$O$17</f>
        <v>149.38709342793186</v>
      </c>
      <c r="P22" s="16">
        <f t="shared" ref="P22:P34" ca="1" si="19">SUM(N22,O22)</f>
        <v>222.61459342793188</v>
      </c>
      <c r="Q22" s="16">
        <f t="shared" ref="Q22:Q34" ca="1" si="20">RADIANS(P22)</f>
        <v>3.8853576183059415</v>
      </c>
      <c r="R22" s="16">
        <f t="shared" ca="1" si="5"/>
        <v>-51.614465137531369</v>
      </c>
      <c r="S22" s="16">
        <f t="shared" ca="1" si="6"/>
        <v>-56.101623314011604</v>
      </c>
      <c r="T22" s="13">
        <f t="shared" ca="1" si="7"/>
        <v>1096198.0145348625</v>
      </c>
      <c r="U22" s="13">
        <f t="shared" ca="1" si="8"/>
        <v>459042.60037668596</v>
      </c>
      <c r="V22" s="16">
        <f t="shared" si="9"/>
        <v>1199.6884468565111</v>
      </c>
      <c r="W22" s="16">
        <f t="shared" ca="1" si="10"/>
        <v>1198.97644652282</v>
      </c>
      <c r="X22" s="47" t="str">
        <f>IF(AND(A22&gt;=CS_Start,A22&lt;=CS_End),IF(OR(LEFT(UPPER(F22))="D"),"",T22),"")</f>
        <v/>
      </c>
      <c r="Y22" s="47" t="str">
        <f t="shared" ref="Y22:Y37" si="21">IF(ISNUMBER(X22),U22,"")</f>
        <v/>
      </c>
      <c r="Z22" s="47" t="e">
        <f>IF(X22="",NA(),VALUE((-mB*X22+Y22-bA)/(mA-mB)))</f>
        <v>#N/A</v>
      </c>
      <c r="AA22" s="47" t="e">
        <f>IF(ISNA(Z22),NA(),VALUE(mA*Z22+bA))</f>
        <v>#N/A</v>
      </c>
      <c r="AB22" s="16" t="str">
        <f t="shared" ref="AB22:AB23" si="22">IF(ISNUMBER(X22),SQRT((X22-Z22)^2+(Y22-AA22)^2),"")</f>
        <v/>
      </c>
      <c r="AC22" s="16" t="str">
        <f t="shared" ca="1" si="11"/>
        <v/>
      </c>
      <c r="AD22" s="16" t="str">
        <f t="shared" si="12"/>
        <v/>
      </c>
    </row>
    <row r="23" spans="1:36" x14ac:dyDescent="0.25">
      <c r="A23" s="44">
        <v>3</v>
      </c>
      <c r="B23" s="48">
        <v>3.4895254629629631</v>
      </c>
      <c r="C23" s="48">
        <v>3.7462962962962965</v>
      </c>
      <c r="D23" s="44">
        <v>8.2289999999999992</v>
      </c>
      <c r="E23" s="44">
        <v>1.492</v>
      </c>
      <c r="F23" s="44"/>
      <c r="G23" s="43">
        <f t="shared" si="13"/>
        <v>89.911111111111111</v>
      </c>
      <c r="H23" s="43">
        <f t="shared" si="14"/>
        <v>1.569244923015346</v>
      </c>
      <c r="I23" s="43">
        <f t="shared" si="3"/>
        <v>83.748611111111117</v>
      </c>
      <c r="J23" s="39">
        <f t="shared" si="15"/>
        <v>1.4616890078611957</v>
      </c>
      <c r="K23" s="39">
        <f t="shared" si="16"/>
        <v>8.2289900970024892</v>
      </c>
      <c r="L23" s="15">
        <f t="shared" si="17"/>
        <v>1.2766496580738914E-2</v>
      </c>
      <c r="M23" s="13"/>
      <c r="N23" s="16">
        <f t="shared" si="4"/>
        <v>83.748611111111117</v>
      </c>
      <c r="O23" s="16">
        <f t="shared" ca="1" si="18"/>
        <v>149.38709342793186</v>
      </c>
      <c r="P23" s="16">
        <f t="shared" ca="1" si="19"/>
        <v>233.13570453904299</v>
      </c>
      <c r="Q23" s="16">
        <f t="shared" ca="1" si="20"/>
        <v>4.0689856481629896</v>
      </c>
      <c r="R23" s="16">
        <f t="shared" ca="1" si="5"/>
        <v>-6.5836748075962852</v>
      </c>
      <c r="S23" s="16">
        <f t="shared" ca="1" si="6"/>
        <v>-4.9367503526497112</v>
      </c>
      <c r="T23" s="13">
        <f t="shared" ca="1" si="7"/>
        <v>1096243.0453251924</v>
      </c>
      <c r="U23" s="13">
        <f t="shared" ca="1" si="8"/>
        <v>459093.76524964732</v>
      </c>
      <c r="V23" s="16">
        <f t="shared" si="9"/>
        <v>1199.859766496581</v>
      </c>
      <c r="W23" s="16">
        <f t="shared" ca="1" si="10"/>
        <v>1199.1477661628899</v>
      </c>
      <c r="X23" s="47">
        <f ca="1">IF(AND(A23&gt;=CS_Start,A23&lt;=CS_End),IF(OR(LEFT(UPPER(F23))="D"),"",T23),"")</f>
        <v>1096243.0453251924</v>
      </c>
      <c r="Y23" s="47">
        <f t="shared" ca="1" si="21"/>
        <v>459093.76524964732</v>
      </c>
      <c r="Z23" s="47">
        <f ca="1">IF(X23="",NA(),VALUE((-mB*X23+Y23-bA)/(mA-mB)))</f>
        <v>1096246.4880110726</v>
      </c>
      <c r="AA23" s="47">
        <f ca="1">IF(ISNA(Z23),NA(),VALUE(mA*Z23+bA))</f>
        <v>459095.58901705011</v>
      </c>
      <c r="AB23" s="16">
        <f t="shared" ca="1" si="22"/>
        <v>3.8959226903825344</v>
      </c>
      <c r="AC23" s="16">
        <f t="shared" ca="1" si="11"/>
        <v>0</v>
      </c>
      <c r="AD23" s="16">
        <f t="shared" ca="1" si="12"/>
        <v>2.1298121224658644</v>
      </c>
      <c r="AE23" s="2">
        <f ca="1">ROUND(CONVERT(AC23,"m","ft"),2)</f>
        <v>0</v>
      </c>
      <c r="AF23" s="2">
        <f ca="1">ROUND(CONVERT(AD23,"m","ft"),2)</f>
        <v>6.99</v>
      </c>
      <c r="AH23" s="44">
        <v>0</v>
      </c>
      <c r="AI23" s="2">
        <f ca="1">OFFSET($AF$22,MATCH(AH23,$AE$23:$AE$59,0),0)</f>
        <v>6.99</v>
      </c>
      <c r="AJ23" s="2" t="str">
        <f t="shared" ref="AJ23:AJ31" ca="1" si="23">CONCATENATE(AH23,",",AI23)</f>
        <v>0,6.99</v>
      </c>
    </row>
    <row r="24" spans="1:36" x14ac:dyDescent="0.25">
      <c r="A24" s="44">
        <v>4</v>
      </c>
      <c r="B24" s="48">
        <v>5.0276967592592596</v>
      </c>
      <c r="C24" s="48">
        <v>3.9040856481481483</v>
      </c>
      <c r="D24" s="44">
        <v>7.6669999999999998</v>
      </c>
      <c r="E24" s="44">
        <v>1.492</v>
      </c>
      <c r="F24" s="44"/>
      <c r="G24" s="43">
        <f t="shared" si="13"/>
        <v>93.698055555555555</v>
      </c>
      <c r="H24" s="43">
        <f t="shared" si="14"/>
        <v>1.6353395721610091</v>
      </c>
      <c r="I24" s="43">
        <f t="shared" si="3"/>
        <v>120.66472222222222</v>
      </c>
      <c r="J24" s="39">
        <f t="shared" si="15"/>
        <v>2.1059966937821466</v>
      </c>
      <c r="K24" s="39">
        <f t="shared" si="16"/>
        <v>7.6510358318485387</v>
      </c>
      <c r="L24" s="15">
        <f t="shared" si="17"/>
        <v>-0.49450955478103015</v>
      </c>
      <c r="M24" s="13"/>
      <c r="N24" s="16">
        <f t="shared" si="4"/>
        <v>120.66472222222222</v>
      </c>
      <c r="O24" s="16">
        <f t="shared" ca="1" si="18"/>
        <v>149.38709342793186</v>
      </c>
      <c r="P24" s="16">
        <f t="shared" ca="1" si="19"/>
        <v>270.05181565015408</v>
      </c>
      <c r="Q24" s="16">
        <f t="shared" ca="1" si="20"/>
        <v>4.7132933340839402</v>
      </c>
      <c r="R24" s="16">
        <f t="shared" ca="1" si="5"/>
        <v>-7.6510327031274512</v>
      </c>
      <c r="S24" s="16">
        <f t="shared" ca="1" si="6"/>
        <v>6.9192416144726321E-3</v>
      </c>
      <c r="T24" s="13">
        <f t="shared" ca="1" si="7"/>
        <v>1096241.9779672967</v>
      </c>
      <c r="U24" s="13">
        <f t="shared" ca="1" si="8"/>
        <v>459098.70891924162</v>
      </c>
      <c r="V24" s="16">
        <f t="shared" si="9"/>
        <v>1199.3524904452192</v>
      </c>
      <c r="W24" s="16">
        <f t="shared" ca="1" si="10"/>
        <v>1198.6404901115282</v>
      </c>
      <c r="X24" s="47">
        <f ca="1">IF(AND(A24&gt;=CS_Start,A24&lt;=CS_End),IF(OR(LEFT(UPPER(F24))="D"),"",T24),"")</f>
        <v>1096241.9779672967</v>
      </c>
      <c r="Y24" s="47">
        <f t="shared" ca="1" si="21"/>
        <v>459098.70891924162</v>
      </c>
      <c r="Z24" s="47">
        <f ca="1">IF(X24="",NA(),VALUE((-mB*X24+Y24-bA)/(mA-mB)))</f>
        <v>1096244.209101219</v>
      </c>
      <c r="AA24" s="47">
        <f ca="1">IF(ISNA(Z24),NA(),VALUE(mA*Z24+bA))</f>
        <v>459099.89086539042</v>
      </c>
      <c r="AB24" s="47">
        <f t="shared" ref="AB24:AB34" ca="1" si="24">IF(ISNUMBER(X24),SQRT((X24-Z24)^2+(Y24-AA24)^2),"")</f>
        <v>2.5248673782254394</v>
      </c>
      <c r="AC24" s="47">
        <f t="shared" ref="AC24:AC34" ca="1" si="25">IF(ISNUMBER(Z24),SQRT(($Z24-OFFSET($Z$20,MATCH(CS_Start,$A$21:$A$51,0),0))^2+($AA24-OFFSET($AA$20,MATCH(CS_Start,$A$21:$A$51,0),0))^2),"")</f>
        <v>4.8681956887709417</v>
      </c>
      <c r="AD24" s="47">
        <f t="shared" ref="AD24:AD34" ca="1" si="26">IF(ISNUMBER(X24),W24-Min_Z,"")</f>
        <v>1.6225360711041503</v>
      </c>
      <c r="AE24" s="44">
        <f t="shared" ref="AE24:AE34" ca="1" si="27">ROUND(CONVERT(AC24,"m","ft"),2)</f>
        <v>15.97</v>
      </c>
      <c r="AF24" s="44">
        <f t="shared" ref="AF24:AF34" ca="1" si="28">ROUND(CONVERT(AD24,"m","ft"),2)</f>
        <v>5.32</v>
      </c>
      <c r="AH24" s="44">
        <v>4.2</v>
      </c>
      <c r="AI24" s="44">
        <f t="shared" ref="AI24:AI31" ca="1" si="29">OFFSET($AF$22,MATCH(AH24,$AE$23:$AE$59,0),0)</f>
        <v>3.28</v>
      </c>
      <c r="AJ24" s="2" t="str">
        <f t="shared" ca="1" si="23"/>
        <v>4.2,3.28</v>
      </c>
    </row>
    <row r="25" spans="1:36" x14ac:dyDescent="0.25">
      <c r="A25" s="44">
        <v>5</v>
      </c>
      <c r="B25" s="48">
        <v>6.181111111111111</v>
      </c>
      <c r="C25" s="48">
        <v>4.017824074074074</v>
      </c>
      <c r="D25" s="44">
        <v>9.6150000000000002</v>
      </c>
      <c r="E25" s="44">
        <v>1.492</v>
      </c>
      <c r="F25" s="44"/>
      <c r="G25" s="43">
        <f t="shared" si="13"/>
        <v>96.427777777777777</v>
      </c>
      <c r="H25" s="43">
        <f t="shared" si="14"/>
        <v>1.6829822126036431</v>
      </c>
      <c r="I25" s="43">
        <f t="shared" si="3"/>
        <v>148.34666666666666</v>
      </c>
      <c r="J25" s="39">
        <f t="shared" si="15"/>
        <v>2.5891377676918546</v>
      </c>
      <c r="K25" s="39">
        <f t="shared" si="16"/>
        <v>9.5545578092229793</v>
      </c>
      <c r="L25" s="15">
        <f t="shared" si="17"/>
        <v>-1.0764060898267787</v>
      </c>
      <c r="M25" s="13"/>
      <c r="N25" s="16">
        <f t="shared" si="4"/>
        <v>148.34666666666666</v>
      </c>
      <c r="O25" s="16">
        <f t="shared" ca="1" si="18"/>
        <v>149.38709342793186</v>
      </c>
      <c r="P25" s="16">
        <f t="shared" ca="1" si="19"/>
        <v>297.73376009459855</v>
      </c>
      <c r="Q25" s="16">
        <f t="shared" ca="1" si="20"/>
        <v>5.1964344079936486</v>
      </c>
      <c r="R25" s="16">
        <f t="shared" ca="1" si="5"/>
        <v>-8.4569261532189763</v>
      </c>
      <c r="S25" s="16">
        <f t="shared" ca="1" si="6"/>
        <v>4.4463440002753636</v>
      </c>
      <c r="T25" s="13">
        <f t="shared" ca="1" si="7"/>
        <v>1096241.1720738467</v>
      </c>
      <c r="U25" s="13">
        <f t="shared" ca="1" si="8"/>
        <v>459103.14834400028</v>
      </c>
      <c r="V25" s="16">
        <f t="shared" si="9"/>
        <v>1198.7705939101734</v>
      </c>
      <c r="W25" s="16">
        <f t="shared" ca="1" si="10"/>
        <v>1198.0585935764823</v>
      </c>
      <c r="X25" s="47">
        <f ca="1">IF(AND(A25&gt;=CS_Start,A25&lt;=CS_End),IF(OR(LEFT(UPPER(F25))="D"),"",T25),"")</f>
        <v>1096241.1720738467</v>
      </c>
      <c r="Y25" s="47">
        <f t="shared" ca="1" si="21"/>
        <v>459103.14834400028</v>
      </c>
      <c r="Z25" s="47">
        <f ca="1">IF(X25="",NA(),VALUE((-mB*X25+Y25-bA)/(mA-mB)))</f>
        <v>1096242.1960754283</v>
      </c>
      <c r="AA25" s="47">
        <f ca="1">IF(ISNA(Z25),NA(),VALUE(mA*Z25+bA))</f>
        <v>459103.69081019401</v>
      </c>
      <c r="AB25" s="47">
        <f t="shared" ca="1" si="24"/>
        <v>1.1588135356674674</v>
      </c>
      <c r="AC25" s="47">
        <f t="shared" ca="1" si="25"/>
        <v>9.1684111885167354</v>
      </c>
      <c r="AD25" s="47">
        <f t="shared" ca="1" si="26"/>
        <v>1.0406395360582792</v>
      </c>
      <c r="AE25" s="44">
        <f t="shared" ca="1" si="27"/>
        <v>30.08</v>
      </c>
      <c r="AF25" s="44">
        <f t="shared" ca="1" si="28"/>
        <v>3.41</v>
      </c>
      <c r="AH25" s="44">
        <v>15.97</v>
      </c>
      <c r="AI25" s="44">
        <f t="shared" ca="1" si="29"/>
        <v>5.32</v>
      </c>
      <c r="AJ25" s="2" t="str">
        <f t="shared" ca="1" si="23"/>
        <v>15.97,5.32</v>
      </c>
    </row>
    <row r="26" spans="1:36" x14ac:dyDescent="0.25">
      <c r="A26" s="44">
        <v>6</v>
      </c>
      <c r="B26" s="48">
        <v>6.9228356481481477</v>
      </c>
      <c r="C26" s="48">
        <v>3.9694675925925922</v>
      </c>
      <c r="D26" s="44">
        <v>13.582000000000001</v>
      </c>
      <c r="E26" s="44">
        <v>1.492</v>
      </c>
      <c r="F26" s="44"/>
      <c r="G26" s="43">
        <f t="shared" si="13"/>
        <v>95.267222222222216</v>
      </c>
      <c r="H26" s="43">
        <f t="shared" si="14"/>
        <v>1.6627266970068868</v>
      </c>
      <c r="I26" s="43">
        <f t="shared" si="3"/>
        <v>166.14805555555554</v>
      </c>
      <c r="J26" s="39">
        <f t="shared" si="15"/>
        <v>2.8998306152309006</v>
      </c>
      <c r="K26" s="39">
        <f t="shared" si="16"/>
        <v>13.52464835644945</v>
      </c>
      <c r="L26" s="15">
        <f t="shared" si="17"/>
        <v>-1.2468403403761177</v>
      </c>
      <c r="M26" s="13"/>
      <c r="N26" s="16">
        <f t="shared" si="4"/>
        <v>166.14805555555554</v>
      </c>
      <c r="O26" s="16">
        <f t="shared" ca="1" si="18"/>
        <v>149.38709342793186</v>
      </c>
      <c r="P26" s="16">
        <f t="shared" ca="1" si="19"/>
        <v>315.53514898348737</v>
      </c>
      <c r="Q26" s="16">
        <f t="shared" ca="1" si="20"/>
        <v>5.5071272555326933</v>
      </c>
      <c r="R26" s="16">
        <f t="shared" ca="1" si="5"/>
        <v>-9.4736317747920449</v>
      </c>
      <c r="S26" s="16">
        <f t="shared" ca="1" si="6"/>
        <v>9.6522750769578334</v>
      </c>
      <c r="T26" s="13">
        <f t="shared" ca="1" si="7"/>
        <v>1096240.1553682252</v>
      </c>
      <c r="U26" s="13">
        <f t="shared" ca="1" si="8"/>
        <v>459108.35427507694</v>
      </c>
      <c r="V26" s="16">
        <f t="shared" si="9"/>
        <v>1198.6001596596241</v>
      </c>
      <c r="W26" s="16">
        <f t="shared" ca="1" si="10"/>
        <v>1197.888159325933</v>
      </c>
      <c r="X26" s="47">
        <f ca="1">IF(AND(A26&gt;=CS_Start,A26&lt;=CS_End),IF(OR(LEFT(UPPER(F26))="D"),"",T26),"")</f>
        <v>1096240.1553682252</v>
      </c>
      <c r="Y26" s="47">
        <f t="shared" ca="1" si="21"/>
        <v>459108.35427507694</v>
      </c>
      <c r="Z26" s="47">
        <f ca="1">IF(X26="",NA(),VALUE((-mB*X26+Y26-bA)/(mA-mB)))</f>
        <v>1096239.8197776775</v>
      </c>
      <c r="AA26" s="47">
        <f ca="1">IF(ISNA(Z26),NA(),VALUE(mA*Z26+bA))</f>
        <v>459108.17649553996</v>
      </c>
      <c r="AB26" s="47">
        <f t="shared" ca="1" si="24"/>
        <v>0.37977174650334411</v>
      </c>
      <c r="AC26" s="47">
        <f t="shared" ca="1" si="25"/>
        <v>14.244646409923815</v>
      </c>
      <c r="AD26" s="47">
        <f t="shared" ca="1" si="26"/>
        <v>0.87020528550897325</v>
      </c>
      <c r="AE26" s="44">
        <f t="shared" ca="1" si="27"/>
        <v>46.73</v>
      </c>
      <c r="AF26" s="44">
        <f t="shared" ca="1" si="28"/>
        <v>2.86</v>
      </c>
      <c r="AH26" s="44">
        <v>30.08</v>
      </c>
      <c r="AI26" s="44">
        <f t="shared" ca="1" si="29"/>
        <v>3.41</v>
      </c>
      <c r="AJ26" s="2" t="str">
        <f t="shared" ca="1" si="23"/>
        <v>30.08,3.41</v>
      </c>
    </row>
    <row r="27" spans="1:36" x14ac:dyDescent="0.25">
      <c r="A27" s="44">
        <v>7</v>
      </c>
      <c r="B27" s="48">
        <v>7.0809606481481486</v>
      </c>
      <c r="C27" s="48">
        <v>3.9906250000000001</v>
      </c>
      <c r="D27" s="44">
        <v>15.548</v>
      </c>
      <c r="E27" s="44">
        <v>1.492</v>
      </c>
      <c r="F27" s="44"/>
      <c r="G27" s="43">
        <f t="shared" si="13"/>
        <v>95.775000000000006</v>
      </c>
      <c r="H27" s="43">
        <f t="shared" si="14"/>
        <v>1.6715890910975693</v>
      </c>
      <c r="I27" s="43">
        <f t="shared" si="3"/>
        <v>169.94305555555556</v>
      </c>
      <c r="J27" s="39">
        <f t="shared" si="15"/>
        <v>2.9660658603440857</v>
      </c>
      <c r="K27" s="39">
        <f t="shared" si="16"/>
        <v>15.469089363865717</v>
      </c>
      <c r="L27" s="15">
        <f t="shared" si="17"/>
        <v>-1.5644737941993712</v>
      </c>
      <c r="M27" s="13"/>
      <c r="N27" s="16">
        <f t="shared" si="4"/>
        <v>169.94305555555556</v>
      </c>
      <c r="O27" s="16">
        <f t="shared" ca="1" si="18"/>
        <v>149.38709342793186</v>
      </c>
      <c r="P27" s="16">
        <f t="shared" ca="1" si="19"/>
        <v>319.33014898348745</v>
      </c>
      <c r="Q27" s="16">
        <f t="shared" ca="1" si="20"/>
        <v>5.5733625006458798</v>
      </c>
      <c r="R27" s="16">
        <f t="shared" ca="1" si="5"/>
        <v>-10.081196009777678</v>
      </c>
      <c r="S27" s="16">
        <f t="shared" ca="1" si="6"/>
        <v>11.732954136094886</v>
      </c>
      <c r="T27" s="13">
        <f t="shared" ca="1" si="7"/>
        <v>1096239.5478039901</v>
      </c>
      <c r="U27" s="13">
        <f t="shared" ca="1" si="8"/>
        <v>459110.43495413609</v>
      </c>
      <c r="V27" s="16">
        <f t="shared" si="9"/>
        <v>1198.2825262058009</v>
      </c>
      <c r="W27" s="16">
        <f t="shared" ca="1" si="10"/>
        <v>1197.5705258721098</v>
      </c>
      <c r="X27" s="47">
        <f ca="1">IF(AND(A27&gt;=CS_Start,A27&lt;=CS_End),IF(OR(LEFT(UPPER(F27))="D"),"",T27),"")</f>
        <v>1096239.5478039901</v>
      </c>
      <c r="Y27" s="47">
        <f t="shared" ca="1" si="21"/>
        <v>459110.43495413609</v>
      </c>
      <c r="Z27" s="47">
        <f ca="1">IF(X27="",NA(),VALUE((-mB*X27+Y27-bA)/(mA-mB)))</f>
        <v>1096238.8259381296</v>
      </c>
      <c r="AA27" s="47">
        <f ca="1">IF(ISNA(Z27),NA(),VALUE(mA*Z27+bA))</f>
        <v>459110.05254474073</v>
      </c>
      <c r="AB27" s="47">
        <f t="shared" ca="1" si="24"/>
        <v>0.81690101372948021</v>
      </c>
      <c r="AC27" s="47">
        <f t="shared" ca="1" si="25"/>
        <v>16.3676814192496</v>
      </c>
      <c r="AD27" s="47">
        <f t="shared" ca="1" si="26"/>
        <v>0.55257183168578194</v>
      </c>
      <c r="AE27" s="44">
        <f t="shared" ca="1" si="27"/>
        <v>53.7</v>
      </c>
      <c r="AF27" s="44">
        <f t="shared" ca="1" si="28"/>
        <v>1.81</v>
      </c>
      <c r="AH27" s="44">
        <v>46.73</v>
      </c>
      <c r="AI27" s="44">
        <f t="shared" ca="1" si="29"/>
        <v>2.86</v>
      </c>
      <c r="AJ27" s="2" t="str">
        <f t="shared" ca="1" si="23"/>
        <v>46.73,2.86</v>
      </c>
    </row>
    <row r="28" spans="1:36" x14ac:dyDescent="0.25">
      <c r="A28" s="44">
        <v>8</v>
      </c>
      <c r="B28" s="48">
        <v>7.1108333333333329</v>
      </c>
      <c r="C28" s="48">
        <v>4.0076967592592592</v>
      </c>
      <c r="D28" s="44">
        <v>16.149000000000001</v>
      </c>
      <c r="E28" s="44">
        <v>1.492</v>
      </c>
      <c r="F28" s="44"/>
      <c r="G28" s="43">
        <f t="shared" si="13"/>
        <v>96.18472222222222</v>
      </c>
      <c r="H28" s="43">
        <f t="shared" si="14"/>
        <v>1.6787400928939347</v>
      </c>
      <c r="I28" s="43">
        <f t="shared" si="3"/>
        <v>170.66</v>
      </c>
      <c r="J28" s="39">
        <f t="shared" si="15"/>
        <v>2.9785789014535227</v>
      </c>
      <c r="K28" s="39">
        <f t="shared" si="16"/>
        <v>16.055008401477238</v>
      </c>
      <c r="L28" s="15">
        <f t="shared" si="17"/>
        <v>-1.7398006289501382</v>
      </c>
      <c r="M28" s="13"/>
      <c r="N28" s="16">
        <f t="shared" si="4"/>
        <v>170.66</v>
      </c>
      <c r="O28" s="16">
        <f t="shared" ca="1" si="18"/>
        <v>149.38709342793186</v>
      </c>
      <c r="P28" s="16">
        <f t="shared" ca="1" si="19"/>
        <v>320.04709342793183</v>
      </c>
      <c r="Q28" s="16">
        <f t="shared" ca="1" si="20"/>
        <v>5.5858755417553159</v>
      </c>
      <c r="R28" s="16">
        <f t="shared" ca="1" si="5"/>
        <v>-10.309848129210014</v>
      </c>
      <c r="S28" s="16">
        <f t="shared" ca="1" si="6"/>
        <v>12.307328155376759</v>
      </c>
      <c r="T28" s="13">
        <f t="shared" ca="1" si="7"/>
        <v>1096239.3191518707</v>
      </c>
      <c r="U28" s="13">
        <f t="shared" ca="1" si="8"/>
        <v>459111.00932815537</v>
      </c>
      <c r="V28" s="16">
        <f t="shared" si="9"/>
        <v>1198.10719937105</v>
      </c>
      <c r="W28" s="16">
        <f t="shared" ca="1" si="10"/>
        <v>1197.3951990373589</v>
      </c>
      <c r="X28" s="47">
        <f ca="1">IF(AND(A28&gt;=CS_Start,A28&lt;=CS_End),IF(OR(LEFT(UPPER(F28))="D"),"",T28),"")</f>
        <v>1096239.3191518707</v>
      </c>
      <c r="Y28" s="47">
        <f t="shared" ca="1" si="21"/>
        <v>459111.00932815537</v>
      </c>
      <c r="Z28" s="47">
        <f ca="1">IF(X28="",NA(),VALUE((-mB*X28+Y28-bA)/(mA-mB)))</f>
        <v>1096238.5382346869</v>
      </c>
      <c r="AA28" s="47">
        <f ca="1">IF(ISNA(Z28),NA(),VALUE(mA*Z28+bA))</f>
        <v>459110.59563624347</v>
      </c>
      <c r="AB28" s="47">
        <f t="shared" ca="1" si="24"/>
        <v>0.88372656733762844</v>
      </c>
      <c r="AC28" s="47">
        <f t="shared" ca="1" si="25"/>
        <v>16.982272056375564</v>
      </c>
      <c r="AD28" s="47">
        <f t="shared" ca="1" si="26"/>
        <v>0.37724499693490543</v>
      </c>
      <c r="AE28" s="44">
        <f t="shared" ca="1" si="27"/>
        <v>55.72</v>
      </c>
      <c r="AF28" s="44">
        <f t="shared" ca="1" si="28"/>
        <v>1.24</v>
      </c>
      <c r="AH28" s="44">
        <v>53.7</v>
      </c>
      <c r="AI28" s="44">
        <f t="shared" ca="1" si="29"/>
        <v>1.81</v>
      </c>
      <c r="AJ28" s="2" t="str">
        <f t="shared" ca="1" si="23"/>
        <v>53.7,1.81</v>
      </c>
    </row>
    <row r="29" spans="1:36" x14ac:dyDescent="0.25">
      <c r="A29" s="44">
        <v>9</v>
      </c>
      <c r="B29" s="48">
        <v>7.1105208333333332</v>
      </c>
      <c r="C29" s="48">
        <v>4.013877314814815</v>
      </c>
      <c r="D29" s="44">
        <v>16.908999999999999</v>
      </c>
      <c r="E29" s="44">
        <v>1.492</v>
      </c>
      <c r="F29" s="44"/>
      <c r="G29" s="43">
        <f t="shared" si="13"/>
        <v>96.333055555555561</v>
      </c>
      <c r="H29" s="43">
        <f t="shared" si="14"/>
        <v>1.6813289979510597</v>
      </c>
      <c r="I29" s="43">
        <f t="shared" si="3"/>
        <v>170.6525</v>
      </c>
      <c r="J29" s="39">
        <f t="shared" si="15"/>
        <v>2.9784480017596233</v>
      </c>
      <c r="K29" s="39">
        <f t="shared" si="16"/>
        <v>16.805812509834009</v>
      </c>
      <c r="L29" s="15">
        <f t="shared" si="17"/>
        <v>-1.8651935246259825</v>
      </c>
      <c r="M29" s="13"/>
      <c r="N29" s="16">
        <f t="shared" si="4"/>
        <v>170.6525</v>
      </c>
      <c r="O29" s="16">
        <f t="shared" ca="1" si="18"/>
        <v>149.38709342793186</v>
      </c>
      <c r="P29" s="16">
        <f t="shared" ca="1" si="19"/>
        <v>320.03959342793189</v>
      </c>
      <c r="Q29" s="16">
        <f t="shared" ca="1" si="20"/>
        <v>5.5857446420614174</v>
      </c>
      <c r="R29" s="16">
        <f t="shared" ca="1" si="5"/>
        <v>-10.793669080622879</v>
      </c>
      <c r="S29" s="16">
        <f t="shared" ca="1" si="6"/>
        <v>12.88146117075617</v>
      </c>
      <c r="T29" s="13">
        <f t="shared" ca="1" si="7"/>
        <v>1096238.8353309194</v>
      </c>
      <c r="U29" s="13">
        <f t="shared" ca="1" si="8"/>
        <v>459111.58346117073</v>
      </c>
      <c r="V29" s="16">
        <f t="shared" si="9"/>
        <v>1197.9818064753742</v>
      </c>
      <c r="W29" s="16">
        <f t="shared" ca="1" si="10"/>
        <v>1197.2698061416831</v>
      </c>
      <c r="X29" s="47">
        <f ca="1">IF(AND(A29&gt;=CS_Start,A29&lt;=CS_End),IF(OR(LEFT(UPPER(F29))="D"),"",T29),"")</f>
        <v>1096238.8353309194</v>
      </c>
      <c r="Y29" s="47">
        <f t="shared" ca="1" si="21"/>
        <v>459111.58346117073</v>
      </c>
      <c r="Z29" s="47">
        <f ca="1">IF(X29="",NA(),VALUE((-mB*X29+Y29-bA)/(mA-mB)))</f>
        <v>1096238.1947136812</v>
      </c>
      <c r="AA29" s="47">
        <f ca="1">IF(ISNA(Z29),NA(),VALUE(mA*Z29+bA))</f>
        <v>459111.24409334059</v>
      </c>
      <c r="AB29" s="47">
        <f t="shared" ca="1" si="24"/>
        <v>0.72495583997518498</v>
      </c>
      <c r="AC29" s="47">
        <f t="shared" ca="1" si="25"/>
        <v>17.71609988916083</v>
      </c>
      <c r="AD29" s="47">
        <f t="shared" ca="1" si="26"/>
        <v>0.25185210125914637</v>
      </c>
      <c r="AE29" s="44">
        <f t="shared" ca="1" si="27"/>
        <v>58.12</v>
      </c>
      <c r="AF29" s="44">
        <f t="shared" ca="1" si="28"/>
        <v>0.83</v>
      </c>
      <c r="AH29" s="44">
        <v>55.72</v>
      </c>
      <c r="AI29" s="44">
        <f t="shared" ca="1" si="29"/>
        <v>1.24</v>
      </c>
      <c r="AJ29" s="2" t="str">
        <f t="shared" ca="1" si="23"/>
        <v>55.72,1.24</v>
      </c>
    </row>
    <row r="30" spans="1:36" x14ac:dyDescent="0.25">
      <c r="A30" s="44">
        <v>10</v>
      </c>
      <c r="B30" s="48">
        <v>7.127604166666667</v>
      </c>
      <c r="C30" s="48">
        <v>4.0007291666666669</v>
      </c>
      <c r="D30" s="44">
        <v>18.844999999999999</v>
      </c>
      <c r="E30" s="44">
        <v>1.492</v>
      </c>
      <c r="F30" s="44"/>
      <c r="G30" s="43">
        <f t="shared" si="13"/>
        <v>96.017500000000013</v>
      </c>
      <c r="H30" s="43">
        <f t="shared" si="14"/>
        <v>1.6758215145336557</v>
      </c>
      <c r="I30" s="43">
        <f t="shared" si="3"/>
        <v>171.0625</v>
      </c>
      <c r="J30" s="39">
        <f t="shared" si="15"/>
        <v>2.9856038516928001</v>
      </c>
      <c r="K30" s="39">
        <f t="shared" si="16"/>
        <v>18.74116259097195</v>
      </c>
      <c r="L30" s="15">
        <f t="shared" si="17"/>
        <v>-1.9755631447142936</v>
      </c>
      <c r="M30" s="13"/>
      <c r="N30" s="16">
        <f t="shared" si="4"/>
        <v>171.0625</v>
      </c>
      <c r="O30" s="16">
        <f t="shared" ca="1" si="18"/>
        <v>149.38709342793186</v>
      </c>
      <c r="P30" s="16">
        <f t="shared" ca="1" si="19"/>
        <v>320.44959342793186</v>
      </c>
      <c r="Q30" s="16">
        <f t="shared" ca="1" si="20"/>
        <v>5.5929004919945937</v>
      </c>
      <c r="R30" s="16">
        <f t="shared" ca="1" si="5"/>
        <v>-11.933563075369019</v>
      </c>
      <c r="S30" s="16">
        <f t="shared" ca="1" si="6"/>
        <v>14.450648690887048</v>
      </c>
      <c r="T30" s="13">
        <f t="shared" ca="1" si="7"/>
        <v>1096237.6954369247</v>
      </c>
      <c r="U30" s="13">
        <f t="shared" ca="1" si="8"/>
        <v>459113.15264869086</v>
      </c>
      <c r="V30" s="16">
        <f t="shared" si="9"/>
        <v>1197.871436855286</v>
      </c>
      <c r="W30" s="16">
        <f t="shared" ca="1" si="10"/>
        <v>1197.1594365215949</v>
      </c>
      <c r="X30" s="47">
        <f ca="1">IF(AND(A30&gt;=CS_Start,A30&lt;=CS_End),IF(OR(LEFT(UPPER(F30))="D"),"",T30),"")</f>
        <v>1096237.6954369247</v>
      </c>
      <c r="Y30" s="47">
        <f t="shared" ca="1" si="21"/>
        <v>459113.15264869086</v>
      </c>
      <c r="Z30" s="47">
        <f ca="1">IF(X30="",NA(),VALUE((-mB*X30+Y30-bA)/(mA-mB)))</f>
        <v>1096237.2958051939</v>
      </c>
      <c r="AA30" s="47">
        <f ca="1">IF(ISNA(Z30),NA(),VALUE(mA*Z30+bA))</f>
        <v>459112.9409432523</v>
      </c>
      <c r="AB30" s="47">
        <f t="shared" ca="1" si="24"/>
        <v>0.45224408557244206</v>
      </c>
      <c r="AC30" s="47">
        <f t="shared" ca="1" si="25"/>
        <v>19.636343647483546</v>
      </c>
      <c r="AD30" s="47">
        <f t="shared" ca="1" si="26"/>
        <v>0.14148248117089679</v>
      </c>
      <c r="AE30" s="44">
        <f t="shared" ca="1" si="27"/>
        <v>64.42</v>
      </c>
      <c r="AF30" s="44">
        <f t="shared" ca="1" si="28"/>
        <v>0.46</v>
      </c>
      <c r="AH30" s="44">
        <v>58.12</v>
      </c>
      <c r="AI30" s="44">
        <f t="shared" ca="1" si="29"/>
        <v>0.83</v>
      </c>
      <c r="AJ30" s="2" t="str">
        <f t="shared" ca="1" si="23"/>
        <v>58.12,0.83</v>
      </c>
    </row>
    <row r="31" spans="1:36" x14ac:dyDescent="0.25">
      <c r="A31" s="44">
        <v>11</v>
      </c>
      <c r="B31" s="48">
        <v>7.1810069444444444</v>
      </c>
      <c r="C31" s="48">
        <v>3.8724189814814811</v>
      </c>
      <c r="D31" s="44">
        <v>40.356999999999999</v>
      </c>
      <c r="E31" s="44">
        <v>1.492</v>
      </c>
      <c r="F31" s="44"/>
      <c r="G31" s="43">
        <f t="shared" si="13"/>
        <v>92.93805555555555</v>
      </c>
      <c r="H31" s="43">
        <f t="shared" si="14"/>
        <v>1.6220750698458521</v>
      </c>
      <c r="I31" s="43">
        <f t="shared" si="3"/>
        <v>172.34416666666667</v>
      </c>
      <c r="J31" s="39">
        <f t="shared" si="15"/>
        <v>3.0079731549391941</v>
      </c>
      <c r="K31" s="39">
        <f t="shared" si="16"/>
        <v>40.30395206847691</v>
      </c>
      <c r="L31" s="15">
        <f t="shared" si="17"/>
        <v>-2.0685494100735857</v>
      </c>
      <c r="M31" s="13"/>
      <c r="N31" s="16">
        <f t="shared" si="4"/>
        <v>172.34416666666667</v>
      </c>
      <c r="O31" s="16">
        <f t="shared" ca="1" si="18"/>
        <v>149.38709342793186</v>
      </c>
      <c r="P31" s="16">
        <f t="shared" ca="1" si="19"/>
        <v>321.7312600945985</v>
      </c>
      <c r="Q31" s="16">
        <f t="shared" ca="1" si="20"/>
        <v>5.6152697952409865</v>
      </c>
      <c r="R31" s="16">
        <f t="shared" ca="1" si="5"/>
        <v>-24.962283836134318</v>
      </c>
      <c r="S31" s="16">
        <f t="shared" ca="1" si="6"/>
        <v>31.643213143142578</v>
      </c>
      <c r="T31" s="13">
        <f t="shared" ca="1" si="7"/>
        <v>1096224.6667161637</v>
      </c>
      <c r="U31" s="13">
        <f t="shared" ca="1" si="8"/>
        <v>459130.34521314315</v>
      </c>
      <c r="V31" s="16">
        <f t="shared" si="9"/>
        <v>1197.7784505899267</v>
      </c>
      <c r="W31" s="16">
        <f t="shared" ca="1" si="10"/>
        <v>1197.0664502562356</v>
      </c>
      <c r="X31" s="47">
        <f ca="1">IF(AND(A31&gt;=CS_Start,A31&lt;=CS_End),IF(OR(LEFT(UPPER(F31))="D"),"",T31),"")</f>
        <v>1096224.6667161637</v>
      </c>
      <c r="Y31" s="47">
        <f t="shared" ca="1" si="21"/>
        <v>459130.34521314315</v>
      </c>
      <c r="Z31" s="47">
        <f ca="1">IF(X31="",NA(),VALUE((-mB*X31+Y31-bA)/(mA-mB)))</f>
        <v>1096227.3287940491</v>
      </c>
      <c r="AA31" s="47">
        <f ca="1">IF(ISNA(Z31),NA(),VALUE(mA*Z31+bA))</f>
        <v>459131.75545242731</v>
      </c>
      <c r="AB31" s="47">
        <f t="shared" ca="1" si="24"/>
        <v>3.0125460172879546</v>
      </c>
      <c r="AC31" s="47">
        <f t="shared" ca="1" si="25"/>
        <v>40.927822380968898</v>
      </c>
      <c r="AD31" s="47">
        <f t="shared" ca="1" si="26"/>
        <v>4.8496215811610455E-2</v>
      </c>
      <c r="AE31" s="44">
        <f t="shared" ca="1" si="27"/>
        <v>134.28</v>
      </c>
      <c r="AF31" s="44">
        <f t="shared" ca="1" si="28"/>
        <v>0.16</v>
      </c>
      <c r="AH31" s="44">
        <v>64.42</v>
      </c>
      <c r="AI31" s="44">
        <f t="shared" ca="1" si="29"/>
        <v>0.46</v>
      </c>
      <c r="AJ31" s="2" t="str">
        <f t="shared" ca="1" si="23"/>
        <v>64.42,0.46</v>
      </c>
    </row>
    <row r="32" spans="1:36" x14ac:dyDescent="0.25">
      <c r="A32" s="44">
        <v>12</v>
      </c>
      <c r="B32" s="48">
        <v>7.4424305555555561</v>
      </c>
      <c r="C32" s="48">
        <v>3.8374421296296295</v>
      </c>
      <c r="D32" s="44">
        <v>57.811999999999998</v>
      </c>
      <c r="E32" s="44">
        <v>1.492</v>
      </c>
      <c r="F32" s="44"/>
      <c r="G32" s="43">
        <f t="shared" si="13"/>
        <v>92.098611111111111</v>
      </c>
      <c r="H32" s="43">
        <f t="shared" si="14"/>
        <v>1.607424000402722</v>
      </c>
      <c r="I32" s="43">
        <f t="shared" si="3"/>
        <v>178.61833333333334</v>
      </c>
      <c r="J32" s="39">
        <f t="shared" si="15"/>
        <v>3.1174780210914048</v>
      </c>
      <c r="K32" s="39">
        <f t="shared" si="16"/>
        <v>57.773224436739902</v>
      </c>
      <c r="L32" s="15">
        <f t="shared" si="17"/>
        <v>-2.1170456258851296</v>
      </c>
      <c r="M32" s="13"/>
      <c r="N32" s="16">
        <f t="shared" si="4"/>
        <v>178.61833333333334</v>
      </c>
      <c r="O32" s="16">
        <f t="shared" ca="1" si="18"/>
        <v>149.38709342793186</v>
      </c>
      <c r="P32" s="16">
        <f t="shared" ca="1" si="19"/>
        <v>328.0054267612652</v>
      </c>
      <c r="Q32" s="16">
        <f t="shared" ca="1" si="20"/>
        <v>5.724774661393198</v>
      </c>
      <c r="R32" s="16">
        <f t="shared" ca="1" si="5"/>
        <v>-30.610503944332869</v>
      </c>
      <c r="S32" s="16">
        <f t="shared" ca="1" si="6"/>
        <v>48.997372481510709</v>
      </c>
      <c r="T32" s="13">
        <f t="shared" ca="1" si="7"/>
        <v>1096219.0184960556</v>
      </c>
      <c r="U32" s="13">
        <f t="shared" ca="1" si="8"/>
        <v>459147.6993724815</v>
      </c>
      <c r="V32" s="16">
        <f t="shared" si="9"/>
        <v>1197.7299543741151</v>
      </c>
      <c r="W32" s="16">
        <f t="shared" ca="1" si="10"/>
        <v>1197.017954040424</v>
      </c>
      <c r="X32" s="47">
        <f ca="1">IF(AND(A32&gt;=CS_Start,A32&lt;=CS_End),IF(OR(LEFT(UPPER(F32))="D"),"",T32),"")</f>
        <v>1096219.0184960556</v>
      </c>
      <c r="Y32" s="47">
        <f t="shared" ca="1" si="21"/>
        <v>459147.6993724815</v>
      </c>
      <c r="Z32" s="47">
        <f ca="1">IF(X32="",NA(),VALUE((-mB*X32+Y32-bA)/(mA-mB)))</f>
        <v>1096218.9122873324</v>
      </c>
      <c r="AA32" s="47">
        <f ca="1">IF(ISNA(Z32),NA(),VALUE(mA*Z32+bA))</f>
        <v>459147.6431082692</v>
      </c>
      <c r="AB32" s="47">
        <f t="shared" ca="1" si="24"/>
        <v>0.12019132449679047</v>
      </c>
      <c r="AC32" s="47">
        <f t="shared" ca="1" si="25"/>
        <v>58.907121406883753</v>
      </c>
      <c r="AD32" s="47">
        <f t="shared" ca="1" si="26"/>
        <v>0</v>
      </c>
      <c r="AE32" s="44">
        <f t="shared" ca="1" si="27"/>
        <v>193.26</v>
      </c>
      <c r="AF32" s="44">
        <f t="shared" ca="1" si="28"/>
        <v>0</v>
      </c>
      <c r="AH32" s="44">
        <v>134.28</v>
      </c>
      <c r="AI32" s="44">
        <f t="shared" ref="AI32:AI35" ca="1" si="30">OFFSET($AF$22,MATCH(AH32,$AE$23:$AE$59,0),0)</f>
        <v>0.16</v>
      </c>
      <c r="AJ32" s="44" t="str">
        <f t="shared" ref="AJ32:AJ35" ca="1" si="31">CONCATENATE(AH32,",",AI32)</f>
        <v>134.28,0.16</v>
      </c>
    </row>
    <row r="33" spans="1:36" x14ac:dyDescent="0.25">
      <c r="A33" s="44">
        <v>13</v>
      </c>
      <c r="B33" s="48">
        <v>7.4603819444444452</v>
      </c>
      <c r="C33" s="48">
        <v>3.8250462962962963</v>
      </c>
      <c r="D33" s="44">
        <v>59.393999999999998</v>
      </c>
      <c r="E33" s="44">
        <v>1.492</v>
      </c>
      <c r="F33" s="44"/>
      <c r="G33" s="43">
        <f t="shared" si="13"/>
        <v>91.801111111111112</v>
      </c>
      <c r="H33" s="43">
        <f t="shared" si="14"/>
        <v>1.602231645878039</v>
      </c>
      <c r="I33" s="43">
        <f t="shared" si="3"/>
        <v>179.04916666666668</v>
      </c>
      <c r="J33" s="39">
        <f t="shared" si="15"/>
        <v>3.1249974812854138</v>
      </c>
      <c r="K33" s="39">
        <f t="shared" si="16"/>
        <v>59.364656456257414</v>
      </c>
      <c r="L33" s="15">
        <f t="shared" si="17"/>
        <v>-1.8667618569422764</v>
      </c>
      <c r="M33" s="13"/>
      <c r="N33" s="16">
        <f t="shared" si="4"/>
        <v>179.04916666666668</v>
      </c>
      <c r="O33" s="16">
        <f t="shared" ca="1" si="18"/>
        <v>149.38709342793186</v>
      </c>
      <c r="P33" s="16">
        <f t="shared" ca="1" si="19"/>
        <v>328.43626009459854</v>
      </c>
      <c r="Q33" s="16">
        <f t="shared" ca="1" si="20"/>
        <v>5.7322941215872074</v>
      </c>
      <c r="R33" s="16">
        <f t="shared" ca="1" si="5"/>
        <v>-31.074238198920227</v>
      </c>
      <c r="S33" s="16">
        <f t="shared" ca="1" si="6"/>
        <v>50.582152549355115</v>
      </c>
      <c r="T33" s="13">
        <f t="shared" ca="1" si="7"/>
        <v>1096218.5547618011</v>
      </c>
      <c r="U33" s="13">
        <f t="shared" ca="1" si="8"/>
        <v>459149.28415254934</v>
      </c>
      <c r="V33" s="16">
        <f t="shared" si="9"/>
        <v>1197.9802381430579</v>
      </c>
      <c r="W33" s="16">
        <f t="shared" ca="1" si="10"/>
        <v>1197.2682378093668</v>
      </c>
      <c r="X33" s="47">
        <f ca="1">IF(AND(A33&gt;=CS_Start,A33&lt;=CS_End),IF(OR(LEFT(UPPER(F33))="D"),"",T33),"")</f>
        <v>1096218.5547618011</v>
      </c>
      <c r="Y33" s="47">
        <f t="shared" ca="1" si="21"/>
        <v>459149.28415254934</v>
      </c>
      <c r="Z33" s="47">
        <f ca="1">IF(X33="",NA(),VALUE((-mB*X33+Y33-bA)/(mA-mB)))</f>
        <v>1096218.1551012709</v>
      </c>
      <c r="AA33" s="47">
        <f ca="1">IF(ISNA(Z33),NA(),VALUE(mA*Z33+bA))</f>
        <v>459149.07243185421</v>
      </c>
      <c r="AB33" s="47">
        <f t="shared" ca="1" si="24"/>
        <v>0.45227667660718496</v>
      </c>
      <c r="AC33" s="47">
        <f t="shared" ca="1" si="25"/>
        <v>60.524618436969774</v>
      </c>
      <c r="AD33" s="47">
        <f t="shared" ca="1" si="26"/>
        <v>0.2502837689428361</v>
      </c>
      <c r="AE33" s="44">
        <f t="shared" ca="1" si="27"/>
        <v>198.57</v>
      </c>
      <c r="AF33" s="44">
        <f t="shared" ca="1" si="28"/>
        <v>0.82</v>
      </c>
      <c r="AH33" s="44">
        <v>193.26</v>
      </c>
      <c r="AI33" s="44">
        <f t="shared" ca="1" si="30"/>
        <v>0</v>
      </c>
      <c r="AJ33" s="44" t="str">
        <f t="shared" ca="1" si="31"/>
        <v>193.26,0</v>
      </c>
    </row>
    <row r="34" spans="1:36" x14ac:dyDescent="0.25">
      <c r="A34" s="44">
        <v>14</v>
      </c>
      <c r="B34" s="48">
        <v>7.4713194444444442</v>
      </c>
      <c r="C34" s="48">
        <v>3.8023611111111109</v>
      </c>
      <c r="D34" s="49">
        <v>59.749000000000002</v>
      </c>
      <c r="E34" s="44">
        <v>1.492</v>
      </c>
      <c r="F34" s="44"/>
      <c r="G34" s="43">
        <f t="shared" ref="G34:G37" si="32">C34*24</f>
        <v>91.256666666666661</v>
      </c>
      <c r="H34" s="43">
        <f t="shared" ref="H34:H37" si="33">RADIANS(G34)</f>
        <v>1.5927292977282919</v>
      </c>
      <c r="I34" s="43">
        <f t="shared" ref="I34:I37" si="34">B34*24</f>
        <v>179.31166666666667</v>
      </c>
      <c r="J34" s="49">
        <f t="shared" ref="J34:J37" si="35">RADIANS(I34)</f>
        <v>3.1295789705718988</v>
      </c>
      <c r="K34" s="49">
        <f t="shared" ref="K34:K37" si="36">D34*SIN(H34)</f>
        <v>59.734629292116253</v>
      </c>
      <c r="L34" s="46">
        <f t="shared" ref="L34:L37" si="37">D34*COS(H34)</f>
        <v>-1.3103680145085801</v>
      </c>
      <c r="M34" s="45"/>
      <c r="N34" s="47">
        <f t="shared" ref="N34:N37" si="38">I34+M34</f>
        <v>179.31166666666667</v>
      </c>
      <c r="O34" s="47">
        <f t="shared" ca="1" si="18"/>
        <v>149.38709342793186</v>
      </c>
      <c r="P34" s="47">
        <f t="shared" ref="P34:P37" ca="1" si="39">SUM(N34,O34)</f>
        <v>328.69876009459853</v>
      </c>
      <c r="Q34" s="47">
        <f t="shared" ref="Q34:Q37" ca="1" si="40">RADIANS(P34)</f>
        <v>5.7368756108736925</v>
      </c>
      <c r="R34" s="47">
        <f t="shared" ref="R34:R37" ca="1" si="41">K34*SIN(Q34)</f>
        <v>-31.034386095568887</v>
      </c>
      <c r="S34" s="47">
        <f t="shared" ref="S34:S37" ca="1" si="42">K34*COS(Q34)</f>
        <v>51.040109877798201</v>
      </c>
      <c r="T34" s="45">
        <f t="shared" ref="T34:T37" ca="1" si="43">Old_X0+R34</f>
        <v>1096218.5946139044</v>
      </c>
      <c r="U34" s="45">
        <f t="shared" ref="U34:U37" ca="1" si="44">Old_Y0+S34</f>
        <v>459149.74210987781</v>
      </c>
      <c r="V34" s="47">
        <f t="shared" ref="V34:V37" si="45">Old_Z0+HI+L34-E34</f>
        <v>1198.5366319854916</v>
      </c>
      <c r="W34" s="47">
        <f t="shared" ref="W34:W37" ca="1" si="46">IF(ISNUMBER(T34),V34+dZ,"")</f>
        <v>1197.8246316518005</v>
      </c>
      <c r="X34" s="47">
        <f ca="1">IF(AND(A34&gt;=CS_Start,A34&lt;=CS_End),IF(OR(LEFT(UPPER(F34))="D"),"",T34),"")</f>
        <v>1096218.5946139044</v>
      </c>
      <c r="Y34" s="47">
        <f t="shared" ca="1" si="21"/>
        <v>459149.74210987781</v>
      </c>
      <c r="Z34" s="47">
        <f ca="1">IF(X34="",NA(),VALUE((-mB*X34+Y34-bA)/(mA-mB)))</f>
        <v>1096217.9743946036</v>
      </c>
      <c r="AA34" s="47">
        <f ca="1">IF(ISNA(Z34),NA(),VALUE(mA*Z34+bA))</f>
        <v>459149.41354788188</v>
      </c>
      <c r="AB34" s="47">
        <f t="shared" ref="AB34:AB37" ca="1" si="47">IF(ISNUMBER(X34),SQRT((X34-Z34)^2+(Y34-AA34)^2),"")</f>
        <v>0.70187247144742659</v>
      </c>
      <c r="AC34" s="47">
        <f t="shared" ref="AC34:AC37" ca="1" si="48">IF(ISNUMBER(Z34),SQRT(($Z34-OFFSET($Z$20,MATCH(CS_Start,$A$21:$A$51,0),0))^2+($AA34-OFFSET($AA$20,MATCH(CS_Start,$A$21:$A$51,0),0))^2),"")</f>
        <v>60.910643104476691</v>
      </c>
      <c r="AD34" s="47">
        <f t="shared" ref="AD34:AD37" ca="1" si="49">IF(ISNUMBER(X34),W34-Min_Z,"")</f>
        <v>0.80667761137647176</v>
      </c>
      <c r="AE34" s="44">
        <f t="shared" ref="AE34:AE37" ca="1" si="50">ROUND(CONVERT(AC34,"m","ft"),2)</f>
        <v>199.84</v>
      </c>
      <c r="AF34" s="44">
        <f t="shared" ref="AF34:AF37" ca="1" si="51">ROUND(CONVERT(AD34,"m","ft"),2)</f>
        <v>2.65</v>
      </c>
      <c r="AH34" s="44">
        <v>198.44</v>
      </c>
      <c r="AI34" s="44">
        <f t="shared" ref="AI34:AI37" ca="1" si="52">OFFSET($AF$22,MATCH(AH34,$AE$23:$AE$59,0),0)</f>
        <v>0.74</v>
      </c>
      <c r="AJ34" s="44" t="str">
        <f t="shared" ref="AJ34:AJ37" ca="1" si="53">CONCATENATE(AH34,",",AI34)</f>
        <v>198.44,0.74</v>
      </c>
    </row>
    <row r="35" spans="1:36" x14ac:dyDescent="0.25">
      <c r="A35" s="44">
        <v>15</v>
      </c>
      <c r="B35" s="48">
        <v>7.4740509259259262</v>
      </c>
      <c r="C35" s="48">
        <v>3.7793055555555557</v>
      </c>
      <c r="D35" s="44">
        <v>60.276000000000003</v>
      </c>
      <c r="E35" s="44">
        <v>1.492</v>
      </c>
      <c r="F35" s="44"/>
      <c r="G35" s="43">
        <f t="shared" si="32"/>
        <v>90.703333333333333</v>
      </c>
      <c r="H35" s="43">
        <f t="shared" si="33"/>
        <v>1.58307180920059</v>
      </c>
      <c r="I35" s="43">
        <f t="shared" si="34"/>
        <v>179.37722222222223</v>
      </c>
      <c r="J35" s="49">
        <f t="shared" si="35"/>
        <v>3.1307231308593173</v>
      </c>
      <c r="K35" s="49">
        <f t="shared" si="36"/>
        <v>60.271458638108221</v>
      </c>
      <c r="L35" s="46">
        <f t="shared" si="37"/>
        <v>-0.73989839492290133</v>
      </c>
      <c r="M35" s="45"/>
      <c r="N35" s="47">
        <f t="shared" si="38"/>
        <v>179.37722222222223</v>
      </c>
      <c r="O35" s="47">
        <f t="shared" ca="1" si="18"/>
        <v>149.38709342793186</v>
      </c>
      <c r="P35" s="47">
        <f t="shared" ca="1" si="39"/>
        <v>328.76431565015412</v>
      </c>
      <c r="Q35" s="47">
        <f t="shared" ca="1" si="40"/>
        <v>5.7380197711611114</v>
      </c>
      <c r="R35" s="47">
        <f t="shared" ca="1" si="41"/>
        <v>-31.25434575912546</v>
      </c>
      <c r="S35" s="47">
        <f t="shared" ca="1" si="42"/>
        <v>51.53459612274289</v>
      </c>
      <c r="T35" s="45">
        <f t="shared" ca="1" si="43"/>
        <v>1096218.3746542409</v>
      </c>
      <c r="U35" s="45">
        <f t="shared" ca="1" si="44"/>
        <v>459150.23659612273</v>
      </c>
      <c r="V35" s="47">
        <f t="shared" si="45"/>
        <v>1199.1071016050773</v>
      </c>
      <c r="W35" s="47">
        <f t="shared" ca="1" si="46"/>
        <v>1198.3951012713862</v>
      </c>
      <c r="X35" s="47">
        <f ca="1">IF(AND(A35&gt;=CS_Start,A35&lt;=CS_End),IF(OR(LEFT(UPPER(F35))="D"),"",T35),"")</f>
        <v>1096218.3746542409</v>
      </c>
      <c r="Y35" s="47">
        <f t="shared" ca="1" si="21"/>
        <v>459150.23659612273</v>
      </c>
      <c r="Z35" s="47">
        <f ca="1">IF(X35="",NA(),VALUE((-mB*X35+Y35-bA)/(mA-mB)))</f>
        <v>1096217.7216425899</v>
      </c>
      <c r="AA35" s="47">
        <f ca="1">IF(ISNA(Z35),NA(),VALUE(mA*Z35+bA))</f>
        <v>459149.89066233579</v>
      </c>
      <c r="AB35" s="47">
        <f t="shared" ca="1" si="47"/>
        <v>0.73898200337005282</v>
      </c>
      <c r="AC35" s="47">
        <f t="shared" ca="1" si="48"/>
        <v>61.450570676082194</v>
      </c>
      <c r="AD35" s="47">
        <f t="shared" ca="1" si="49"/>
        <v>1.3771472309622368</v>
      </c>
      <c r="AE35" s="44">
        <f t="shared" ca="1" si="50"/>
        <v>201.61</v>
      </c>
      <c r="AF35" s="44">
        <f t="shared" ca="1" si="51"/>
        <v>4.5199999999999996</v>
      </c>
      <c r="AH35" s="44">
        <v>198.57</v>
      </c>
      <c r="AI35" s="44">
        <f t="shared" ca="1" si="52"/>
        <v>0.82</v>
      </c>
      <c r="AJ35" s="44" t="str">
        <f t="shared" ca="1" si="53"/>
        <v>198.57,0.82</v>
      </c>
    </row>
    <row r="36" spans="1:36" x14ac:dyDescent="0.25">
      <c r="A36" s="44"/>
      <c r="B36" s="48">
        <v>7.5180208333333338</v>
      </c>
      <c r="C36" s="48">
        <v>3.7049305555555558</v>
      </c>
      <c r="D36" s="44">
        <v>63.225999999999999</v>
      </c>
      <c r="E36" s="44">
        <v>2.609</v>
      </c>
      <c r="F36" s="44" t="s">
        <v>91</v>
      </c>
      <c r="G36" s="43">
        <f t="shared" ref="G36:G40" si="54">C36*24</f>
        <v>88.918333333333337</v>
      </c>
      <c r="H36" s="43">
        <f t="shared" ref="H36:H40" si="55">RADIANS(G36)</f>
        <v>1.5519176820524914</v>
      </c>
      <c r="I36" s="43">
        <f t="shared" ref="I36:I40" si="56">B36*24</f>
        <v>180.4325</v>
      </c>
      <c r="J36" s="49">
        <f t="shared" ref="J36:J40" si="57">RADIANS(I36)</f>
        <v>3.1491412026046688</v>
      </c>
      <c r="K36" s="49">
        <f t="shared" ref="K36:K40" si="58">D36*SIN(H36)</f>
        <v>63.214733359403269</v>
      </c>
      <c r="L36" s="46">
        <f t="shared" ref="L36:L40" si="59">D36*COS(H36)</f>
        <v>1.1935502920059198</v>
      </c>
      <c r="M36" s="45"/>
      <c r="N36" s="47">
        <f t="shared" ref="N36:N40" si="60">I36+M36</f>
        <v>180.4325</v>
      </c>
      <c r="O36" s="47">
        <f t="shared" ca="1" si="18"/>
        <v>149.38709342793186</v>
      </c>
      <c r="P36" s="47">
        <f t="shared" ref="P36:P40" ca="1" si="61">SUM(N36,O36)</f>
        <v>329.81959342793186</v>
      </c>
      <c r="Q36" s="47">
        <f t="shared" ref="Q36:Q40" ca="1" si="62">RADIANS(P36)</f>
        <v>5.756437842906462</v>
      </c>
      <c r="R36" s="47">
        <f t="shared" ref="R36:R40" ca="1" si="63">K36*SIN(Q36)</f>
        <v>-31.779586453943068</v>
      </c>
      <c r="S36" s="47">
        <f t="shared" ref="S36:S40" ca="1" si="64">K36*COS(Q36)</f>
        <v>54.645772009523398</v>
      </c>
      <c r="T36" s="45">
        <f t="shared" ref="T36:T40" ca="1" si="65">Old_X0+R36</f>
        <v>1096217.849413546</v>
      </c>
      <c r="U36" s="45">
        <f t="shared" ref="U36:U40" ca="1" si="66">Old_Y0+S36</f>
        <v>459153.3477720095</v>
      </c>
      <c r="V36" s="47">
        <f t="shared" ref="V36:V40" si="67">Old_Z0+HI+L36-E36</f>
        <v>1199.9235502920062</v>
      </c>
      <c r="W36" s="47">
        <f t="shared" ref="W36:W40" ca="1" si="68">IF(ISNUMBER(T36),V36+dZ,"")</f>
        <v>1199.2115499583151</v>
      </c>
      <c r="X36" s="47" t="str">
        <f>IF(AND(A36&gt;=CS_Start,A36&lt;=CS_End),IF(OR(LEFT(UPPER(F36))="D"),"",T36),"")</f>
        <v/>
      </c>
      <c r="Y36" s="47" t="str">
        <f t="shared" ref="Y36:Y40" si="69">IF(ISNUMBER(X36),U36,"")</f>
        <v/>
      </c>
      <c r="Z36" s="47" t="e">
        <f>IF(X36="",NA(),VALUE((-mB*X36+Y36-bA)/(mA-mB)))</f>
        <v>#N/A</v>
      </c>
      <c r="AA36" s="47" t="e">
        <f>IF(ISNA(Z36),NA(),VALUE(mA*Z36+bA))</f>
        <v>#N/A</v>
      </c>
      <c r="AB36" s="47" t="str">
        <f t="shared" ref="AB36:AB40" si="70">IF(ISNUMBER(X36),SQRT((X36-Z36)^2+(Y36-AA36)^2),"")</f>
        <v/>
      </c>
      <c r="AC36" s="47" t="str">
        <f t="shared" ref="AC36:AC40" ca="1" si="71">IF(ISNUMBER(Z36),SQRT(($Z36-OFFSET($Z$20,MATCH(CS_Start,$A$21:$A$51,0),0))^2+($AA36-OFFSET($AA$20,MATCH(CS_Start,$A$21:$A$51,0),0))^2),"")</f>
        <v/>
      </c>
      <c r="AD36" s="47" t="str">
        <f t="shared" ref="AD36:AD40" si="72">IF(ISNUMBER(X36),W36-Min_Z,"")</f>
        <v/>
      </c>
      <c r="AE36" s="44" t="e">
        <f t="shared" ref="AE36:AE40" ca="1" si="73">ROUND(CONVERT(AC36,"m","ft"),2)</f>
        <v>#VALUE!</v>
      </c>
      <c r="AF36" s="44" t="e">
        <f t="shared" ref="AF36:AF40" si="74">ROUND(CONVERT(AD36,"m","ft"),2)</f>
        <v>#VALUE!</v>
      </c>
      <c r="AH36" s="44">
        <v>199.84</v>
      </c>
      <c r="AI36" s="44">
        <f t="shared" ca="1" si="52"/>
        <v>2.65</v>
      </c>
      <c r="AJ36" s="44" t="str">
        <f t="shared" ca="1" si="53"/>
        <v>199.84,2.65</v>
      </c>
    </row>
    <row r="37" spans="1:36" x14ac:dyDescent="0.25">
      <c r="A37" s="44">
        <v>16</v>
      </c>
      <c r="B37" s="48">
        <v>7.5948379629629628</v>
      </c>
      <c r="C37" s="48">
        <v>3.7135300925925923</v>
      </c>
      <c r="D37" s="44"/>
      <c r="E37" s="44">
        <v>2.609</v>
      </c>
      <c r="F37" s="44"/>
      <c r="G37" s="43">
        <f t="shared" si="54"/>
        <v>89.124722222222218</v>
      </c>
      <c r="H37" s="43">
        <f t="shared" si="55"/>
        <v>1.5555198477031351</v>
      </c>
      <c r="I37" s="43">
        <f t="shared" si="56"/>
        <v>182.27611111111111</v>
      </c>
      <c r="J37" s="49">
        <f t="shared" si="57"/>
        <v>3.1813182866199083</v>
      </c>
      <c r="K37" s="49">
        <f t="shared" si="58"/>
        <v>0</v>
      </c>
      <c r="L37" s="46">
        <f t="shared" si="59"/>
        <v>0</v>
      </c>
      <c r="M37" s="45"/>
      <c r="N37" s="47">
        <f t="shared" si="60"/>
        <v>182.27611111111111</v>
      </c>
      <c r="O37" s="47">
        <f t="shared" ca="1" si="18"/>
        <v>149.38709342793186</v>
      </c>
      <c r="P37" s="47">
        <f t="shared" ca="1" si="61"/>
        <v>331.66320453904297</v>
      </c>
      <c r="Q37" s="47">
        <f t="shared" ca="1" si="62"/>
        <v>5.788614926921702</v>
      </c>
      <c r="R37" s="47">
        <f t="shared" ca="1" si="63"/>
        <v>0</v>
      </c>
      <c r="S37" s="47">
        <f t="shared" ca="1" si="64"/>
        <v>0</v>
      </c>
      <c r="T37" s="45">
        <f t="shared" ca="1" si="65"/>
        <v>1096249.629</v>
      </c>
      <c r="U37" s="45">
        <f t="shared" ca="1" si="66"/>
        <v>459098.70199999999</v>
      </c>
      <c r="V37" s="47">
        <f t="shared" si="67"/>
        <v>1198.7300000000002</v>
      </c>
      <c r="W37" s="47">
        <f t="shared" ca="1" si="68"/>
        <v>1198.0179996663092</v>
      </c>
      <c r="X37" s="47">
        <f ca="1">IF(AND(A37&gt;=CS_Start,A37&lt;=CS_End),IF(OR(LEFT(UPPER(F37))="D"),"",T37),"")</f>
        <v>1096249.629</v>
      </c>
      <c r="Y37" s="47">
        <f t="shared" ca="1" si="69"/>
        <v>459098.70199999999</v>
      </c>
      <c r="Z37" s="47">
        <f ca="1">IF(X37="",NA(),VALUE((-mB*X37+Y37-bA)/(mA-mB)))</f>
        <v>1096245.8885975545</v>
      </c>
      <c r="AA37" s="47">
        <f ca="1">IF(ISNA(Z37),NA(),VALUE(mA*Z37+bA))</f>
        <v>459096.7205168521</v>
      </c>
      <c r="AB37" s="47">
        <f t="shared" ca="1" si="70"/>
        <v>4.2328342654938202</v>
      </c>
      <c r="AC37" s="47">
        <f t="shared" ca="1" si="71"/>
        <v>1.2804641219459223</v>
      </c>
      <c r="AD37" s="47">
        <f t="shared" ca="1" si="72"/>
        <v>1.00004562588515</v>
      </c>
      <c r="AE37" s="44">
        <f t="shared" ca="1" si="73"/>
        <v>4.2</v>
      </c>
      <c r="AF37" s="44">
        <f t="shared" ca="1" si="74"/>
        <v>3.28</v>
      </c>
      <c r="AH37" s="44">
        <v>201.61</v>
      </c>
      <c r="AI37" s="44">
        <f t="shared" ca="1" si="52"/>
        <v>4.5199999999999996</v>
      </c>
      <c r="AJ37" s="44" t="str">
        <f t="shared" ca="1" si="53"/>
        <v>201.61,4.52</v>
      </c>
    </row>
    <row r="38" spans="1:36" x14ac:dyDescent="0.25">
      <c r="A38" s="44">
        <v>17</v>
      </c>
      <c r="B38" s="48">
        <v>7.4858449074074072</v>
      </c>
      <c r="C38" s="48">
        <v>3.8261458333333334</v>
      </c>
      <c r="D38" s="44">
        <v>59.319000000000003</v>
      </c>
      <c r="E38" s="44">
        <v>1.492</v>
      </c>
      <c r="F38" s="49" t="s">
        <v>84</v>
      </c>
      <c r="G38" s="43">
        <f t="shared" si="54"/>
        <v>91.827500000000001</v>
      </c>
      <c r="H38" s="43">
        <f t="shared" si="55"/>
        <v>1.6026922188750929</v>
      </c>
      <c r="I38" s="43">
        <f t="shared" si="56"/>
        <v>179.66027777777776</v>
      </c>
      <c r="J38" s="49">
        <f t="shared" si="57"/>
        <v>3.1356633822698234</v>
      </c>
      <c r="K38" s="49">
        <f t="shared" si="58"/>
        <v>59.288828527060211</v>
      </c>
      <c r="L38" s="46">
        <f t="shared" si="59"/>
        <v>-1.8917116294116105</v>
      </c>
      <c r="M38" s="45"/>
      <c r="N38" s="47">
        <f t="shared" si="60"/>
        <v>179.66027777777776</v>
      </c>
      <c r="O38" s="47">
        <f t="shared" ca="1" si="18"/>
        <v>149.38709342793186</v>
      </c>
      <c r="P38" s="47">
        <f t="shared" ca="1" si="61"/>
        <v>329.04737120570962</v>
      </c>
      <c r="Q38" s="47">
        <f t="shared" ca="1" si="62"/>
        <v>5.7429600225716166</v>
      </c>
      <c r="R38" s="47">
        <f t="shared" ca="1" si="63"/>
        <v>-30.493976170272042</v>
      </c>
      <c r="S38" s="47">
        <f t="shared" ca="1" si="64"/>
        <v>50.845674402431023</v>
      </c>
      <c r="T38" s="45">
        <f t="shared" ca="1" si="65"/>
        <v>1096219.1350238298</v>
      </c>
      <c r="U38" s="45">
        <f t="shared" ca="1" si="66"/>
        <v>459149.54767440242</v>
      </c>
      <c r="V38" s="47">
        <f t="shared" si="67"/>
        <v>1197.9552883705885</v>
      </c>
      <c r="W38" s="47">
        <f t="shared" ca="1" si="68"/>
        <v>1197.2432880368974</v>
      </c>
      <c r="X38" s="47">
        <f ca="1">IF(AND(A38&gt;=CS_Start,A38&lt;=CS_End),IF(OR(LEFT(UPPER(F38))="D"),"",T38),"")</f>
        <v>1096219.1350238298</v>
      </c>
      <c r="Y38" s="47">
        <f t="shared" ca="1" si="69"/>
        <v>459149.54767440242</v>
      </c>
      <c r="Z38" s="47">
        <f ca="1">IF(X38="",NA(),VALUE((-mB*X38+Y38-bA)/(mA-mB)))</f>
        <v>1096218.1732497732</v>
      </c>
      <c r="AA38" s="47">
        <f ca="1">IF(ISNA(Z38),NA(),VALUE(mA*Z38+bA))</f>
        <v>459149.0381733228</v>
      </c>
      <c r="AB38" s="47">
        <f t="shared" ca="1" si="70"/>
        <v>1.0883936263950393</v>
      </c>
      <c r="AC38" s="47">
        <f t="shared" ca="1" si="71"/>
        <v>60.485849698131204</v>
      </c>
      <c r="AD38" s="47">
        <f t="shared" ca="1" si="72"/>
        <v>0.22533399647340957</v>
      </c>
      <c r="AE38" s="44">
        <f t="shared" ca="1" si="73"/>
        <v>198.44</v>
      </c>
      <c r="AF38" s="44">
        <f t="shared" ca="1" si="74"/>
        <v>0.74</v>
      </c>
      <c r="AH38" s="44"/>
      <c r="AI38" s="44"/>
      <c r="AJ38" s="44"/>
    </row>
    <row r="39" spans="1:36" x14ac:dyDescent="0.25">
      <c r="A39" s="44">
        <v>18</v>
      </c>
      <c r="B39" s="48">
        <v>14.999629629629631</v>
      </c>
      <c r="C39" s="48">
        <v>3.7611805555555553</v>
      </c>
      <c r="D39" s="44">
        <v>36.594000000000001</v>
      </c>
      <c r="E39" s="44">
        <v>1.492</v>
      </c>
      <c r="F39" s="49" t="s">
        <v>69</v>
      </c>
      <c r="G39" s="43">
        <f t="shared" si="54"/>
        <v>90.268333333333331</v>
      </c>
      <c r="H39" s="43">
        <f t="shared" si="55"/>
        <v>1.5754796269544147</v>
      </c>
      <c r="I39" s="43">
        <f t="shared" si="56"/>
        <v>359.99111111111114</v>
      </c>
      <c r="J39" s="49">
        <f t="shared" si="57"/>
        <v>6.2830301668016322</v>
      </c>
      <c r="K39" s="49">
        <f t="shared" si="58"/>
        <v>36.593598687136385</v>
      </c>
      <c r="L39" s="46">
        <f t="shared" si="59"/>
        <v>-0.17138005954741314</v>
      </c>
      <c r="M39" s="45"/>
      <c r="N39" s="47">
        <f t="shared" si="60"/>
        <v>359.99111111111114</v>
      </c>
      <c r="O39" s="47">
        <f t="shared" ca="1" si="18"/>
        <v>149.38709342793186</v>
      </c>
      <c r="P39" s="47">
        <f t="shared" ca="1" si="61"/>
        <v>509.378204539043</v>
      </c>
      <c r="Q39" s="47">
        <f t="shared" ca="1" si="62"/>
        <v>8.8903268071034258</v>
      </c>
      <c r="R39" s="47">
        <f t="shared" ca="1" si="63"/>
        <v>18.639637720959083</v>
      </c>
      <c r="S39" s="47">
        <f t="shared" ca="1" si="64"/>
        <v>-31.490560022117567</v>
      </c>
      <c r="T39" s="45">
        <f t="shared" ca="1" si="65"/>
        <v>1096268.268637721</v>
      </c>
      <c r="U39" s="45">
        <f t="shared" ca="1" si="66"/>
        <v>459067.21143997787</v>
      </c>
      <c r="V39" s="47">
        <f t="shared" si="67"/>
        <v>1199.6756199404529</v>
      </c>
      <c r="W39" s="47">
        <f t="shared" ca="1" si="68"/>
        <v>1198.9636196067618</v>
      </c>
      <c r="X39" s="47" t="str">
        <f>IF(AND(A39&gt;=CS_Start,A39&lt;=CS_End),IF(OR(LEFT(UPPER(F39))="D"),"",T39),"")</f>
        <v/>
      </c>
      <c r="Y39" s="47" t="str">
        <f t="shared" si="69"/>
        <v/>
      </c>
      <c r="Z39" s="47" t="e">
        <f>IF(X39="",NA(),VALUE((-mB*X39+Y39-bA)/(mA-mB)))</f>
        <v>#N/A</v>
      </c>
      <c r="AA39" s="47" t="e">
        <f>IF(ISNA(Z39),NA(),VALUE(mA*Z39+bA))</f>
        <v>#N/A</v>
      </c>
      <c r="AB39" s="47" t="str">
        <f t="shared" si="70"/>
        <v/>
      </c>
      <c r="AC39" s="47" t="str">
        <f t="shared" ca="1" si="71"/>
        <v/>
      </c>
      <c r="AD39" s="47" t="str">
        <f t="shared" si="72"/>
        <v/>
      </c>
      <c r="AE39" s="44" t="e">
        <f t="shared" ca="1" si="73"/>
        <v>#VALUE!</v>
      </c>
      <c r="AF39" s="44" t="e">
        <f t="shared" si="74"/>
        <v>#VALUE!</v>
      </c>
      <c r="AH39" s="44"/>
      <c r="AI39" s="44"/>
      <c r="AJ39" s="44"/>
    </row>
    <row r="40" spans="1:36" x14ac:dyDescent="0.25">
      <c r="A40" s="44">
        <v>19</v>
      </c>
      <c r="B40" s="48">
        <v>3.0491666666666668</v>
      </c>
      <c r="C40" s="48">
        <v>3.754212962962963</v>
      </c>
      <c r="D40" s="44">
        <v>76.283000000000001</v>
      </c>
      <c r="E40" s="44">
        <v>1.492</v>
      </c>
      <c r="F40" s="49" t="s">
        <v>70</v>
      </c>
      <c r="G40" s="43">
        <f t="shared" si="54"/>
        <v>90.101111111111109</v>
      </c>
      <c r="H40" s="43">
        <f t="shared" si="55"/>
        <v>1.5725610485941353</v>
      </c>
      <c r="I40" s="43">
        <f t="shared" si="56"/>
        <v>73.180000000000007</v>
      </c>
      <c r="J40" s="49">
        <f t="shared" si="57"/>
        <v>1.2772319466094504</v>
      </c>
      <c r="K40" s="49">
        <f t="shared" si="58"/>
        <v>76.282881218130342</v>
      </c>
      <c r="L40" s="46">
        <f t="shared" si="59"/>
        <v>-0.13461820313899556</v>
      </c>
      <c r="M40" s="45"/>
      <c r="N40" s="47">
        <f t="shared" si="60"/>
        <v>73.180000000000007</v>
      </c>
      <c r="O40" s="47">
        <f t="shared" ca="1" si="18"/>
        <v>149.38709342793186</v>
      </c>
      <c r="P40" s="47">
        <f t="shared" ca="1" si="61"/>
        <v>222.56709342793187</v>
      </c>
      <c r="Q40" s="47">
        <f t="shared" ca="1" si="62"/>
        <v>3.884528586911244</v>
      </c>
      <c r="R40" s="47">
        <f t="shared" ca="1" si="63"/>
        <v>-51.601791239136929</v>
      </c>
      <c r="S40" s="47">
        <f t="shared" ca="1" si="64"/>
        <v>-56.181252280915871</v>
      </c>
      <c r="T40" s="45">
        <f t="shared" ca="1" si="65"/>
        <v>1096198.0272087608</v>
      </c>
      <c r="U40" s="45">
        <f t="shared" ca="1" si="66"/>
        <v>459042.5207477191</v>
      </c>
      <c r="V40" s="47">
        <f t="shared" si="67"/>
        <v>1199.7123817968611</v>
      </c>
      <c r="W40" s="47">
        <f t="shared" ca="1" si="68"/>
        <v>1199.00038146317</v>
      </c>
      <c r="X40" s="47" t="str">
        <f>IF(AND(A40&gt;=CS_Start,A40&lt;=CS_End),IF(OR(LEFT(UPPER(F40))="D"),"",T40),"")</f>
        <v/>
      </c>
      <c r="Y40" s="47" t="str">
        <f t="shared" si="69"/>
        <v/>
      </c>
      <c r="Z40" s="47" t="e">
        <f>IF(X40="",NA(),VALUE((-mB*X40+Y40-bA)/(mA-mB)))</f>
        <v>#N/A</v>
      </c>
      <c r="AA40" s="47" t="e">
        <f>IF(ISNA(Z40),NA(),VALUE(mA*Z40+bA))</f>
        <v>#N/A</v>
      </c>
      <c r="AB40" s="47" t="str">
        <f t="shared" si="70"/>
        <v/>
      </c>
      <c r="AC40" s="47" t="str">
        <f t="shared" ca="1" si="71"/>
        <v/>
      </c>
      <c r="AD40" s="47" t="str">
        <f t="shared" si="72"/>
        <v/>
      </c>
      <c r="AE40" s="44" t="e">
        <f t="shared" ca="1" si="73"/>
        <v>#VALUE!</v>
      </c>
      <c r="AF40" s="44" t="e">
        <f t="shared" si="74"/>
        <v>#VALUE!</v>
      </c>
      <c r="AH40" s="44"/>
      <c r="AI40" s="44"/>
      <c r="AJ40" s="44"/>
    </row>
    <row r="41" spans="1:36" x14ac:dyDescent="0.25">
      <c r="A41" s="44"/>
      <c r="B41" s="48"/>
      <c r="C41" s="48"/>
      <c r="D41" s="44"/>
      <c r="E41" s="44"/>
      <c r="F41" s="44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  <c r="AI41" s="44"/>
      <c r="AJ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9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48"/>
      <c r="D44" s="44"/>
      <c r="E44" s="44"/>
      <c r="F44" s="49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9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9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4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</row>
    <row r="49" spans="1:36" x14ac:dyDescent="0.25">
      <c r="A49" s="44"/>
      <c r="B49" s="48"/>
      <c r="C49" s="48"/>
      <c r="D49" s="44"/>
      <c r="E49" s="44"/>
      <c r="F49" s="44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</row>
    <row r="50" spans="1:36" x14ac:dyDescent="0.25">
      <c r="A50" s="44"/>
      <c r="B50" s="48"/>
      <c r="C50" s="48"/>
      <c r="D50" s="44"/>
      <c r="E50" s="44"/>
      <c r="F50" s="44"/>
      <c r="G50" s="43"/>
      <c r="H50" s="43"/>
      <c r="I50" s="43"/>
      <c r="J50" s="49"/>
      <c r="K50" s="49"/>
      <c r="L50" s="46"/>
      <c r="M50" s="45"/>
      <c r="N50" s="47"/>
      <c r="O50" s="47"/>
      <c r="P50" s="47"/>
      <c r="Q50" s="47"/>
      <c r="R50" s="47"/>
      <c r="S50" s="47"/>
      <c r="T50" s="45"/>
      <c r="U50" s="45"/>
      <c r="V50" s="47"/>
      <c r="W50" s="47"/>
      <c r="X50" s="47"/>
      <c r="Y50" s="47"/>
      <c r="Z50" s="47"/>
      <c r="AA50" s="47"/>
      <c r="AB50" s="47"/>
      <c r="AC50" s="47"/>
      <c r="AD50" s="47"/>
      <c r="AE50" s="44"/>
      <c r="AF50" s="44"/>
    </row>
    <row r="51" spans="1:36" x14ac:dyDescent="0.25">
      <c r="A51" s="44"/>
      <c r="B51" s="48"/>
      <c r="C51" s="48"/>
      <c r="D51" s="44"/>
      <c r="E51" s="44"/>
      <c r="F51" s="49"/>
      <c r="G51" s="43"/>
      <c r="H51" s="43"/>
      <c r="I51" s="43"/>
      <c r="J51" s="49"/>
      <c r="K51" s="49"/>
      <c r="L51" s="46"/>
      <c r="M51" s="45"/>
      <c r="N51" s="47"/>
      <c r="O51" s="47"/>
      <c r="P51" s="47"/>
      <c r="Q51" s="47"/>
      <c r="R51" s="47"/>
      <c r="S51" s="47"/>
      <c r="T51" s="45"/>
      <c r="U51" s="45"/>
      <c r="V51" s="47"/>
      <c r="W51" s="47"/>
      <c r="X51" s="47"/>
      <c r="Y51" s="47"/>
      <c r="Z51" s="47"/>
      <c r="AA51" s="47"/>
      <c r="AB51" s="47"/>
      <c r="AC51" s="47"/>
      <c r="AD51" s="47"/>
      <c r="AE51" s="44"/>
      <c r="AF51" s="44"/>
    </row>
    <row r="52" spans="1:36" x14ac:dyDescent="0.25">
      <c r="A52" s="44"/>
      <c r="B52" s="48"/>
      <c r="C52" s="48"/>
      <c r="D52" s="44"/>
      <c r="E52" s="44"/>
      <c r="F52" s="44"/>
      <c r="G52" s="43"/>
      <c r="H52" s="43"/>
      <c r="I52" s="43"/>
      <c r="J52" s="49"/>
      <c r="K52" s="49"/>
      <c r="L52" s="46"/>
      <c r="M52" s="45"/>
      <c r="N52" s="47"/>
      <c r="O52" s="47"/>
      <c r="P52" s="47"/>
      <c r="Q52" s="47"/>
      <c r="R52" s="47"/>
      <c r="S52" s="47"/>
      <c r="T52" s="45"/>
      <c r="U52" s="45"/>
      <c r="V52" s="47"/>
      <c r="W52" s="47"/>
      <c r="X52" s="47"/>
      <c r="Y52" s="47"/>
      <c r="Z52" s="47"/>
      <c r="AA52" s="47"/>
      <c r="AB52" s="47"/>
      <c r="AC52" s="47"/>
      <c r="AD52" s="47"/>
      <c r="AE52" s="44"/>
      <c r="AF52" s="44"/>
    </row>
    <row r="53" spans="1:36" x14ac:dyDescent="0.25">
      <c r="A53" s="44"/>
      <c r="B53" s="48"/>
      <c r="C53" s="48"/>
      <c r="D53" s="44"/>
      <c r="E53" s="44"/>
      <c r="F53" s="49"/>
      <c r="G53" s="43"/>
      <c r="H53" s="43"/>
      <c r="I53" s="43"/>
      <c r="J53" s="49"/>
      <c r="K53" s="49"/>
      <c r="L53" s="46"/>
      <c r="M53" s="45"/>
      <c r="N53" s="47"/>
      <c r="O53" s="47"/>
      <c r="P53" s="47"/>
      <c r="Q53" s="47"/>
      <c r="R53" s="47"/>
      <c r="S53" s="47"/>
      <c r="T53" s="45"/>
      <c r="U53" s="45"/>
      <c r="V53" s="47"/>
      <c r="W53" s="47"/>
      <c r="X53" s="47"/>
      <c r="Y53" s="47"/>
      <c r="Z53" s="47"/>
      <c r="AA53" s="47"/>
      <c r="AB53" s="47"/>
      <c r="AC53" s="47"/>
      <c r="AD53" s="47"/>
      <c r="AE53" s="44"/>
      <c r="AF53" s="44"/>
    </row>
    <row r="54" spans="1:36" x14ac:dyDescent="0.25">
      <c r="A54" s="44"/>
      <c r="B54" s="48"/>
      <c r="C54" s="48"/>
      <c r="D54" s="44"/>
      <c r="E54" s="44"/>
      <c r="F54" s="44"/>
      <c r="G54" s="43"/>
      <c r="H54" s="43"/>
      <c r="I54" s="43"/>
      <c r="J54" s="49"/>
      <c r="K54" s="49"/>
      <c r="L54" s="46"/>
      <c r="M54" s="45"/>
      <c r="N54" s="47"/>
      <c r="O54" s="47"/>
      <c r="P54" s="47"/>
      <c r="Q54" s="47"/>
      <c r="R54" s="47"/>
      <c r="S54" s="47"/>
      <c r="T54" s="45"/>
      <c r="U54" s="45"/>
      <c r="V54" s="47"/>
      <c r="W54" s="47"/>
      <c r="X54" s="47"/>
      <c r="Y54" s="47"/>
      <c r="Z54" s="47"/>
      <c r="AA54" s="47"/>
      <c r="AB54" s="47"/>
      <c r="AC54" s="47"/>
      <c r="AD54" s="47"/>
      <c r="AE54" s="44"/>
      <c r="AF54" s="44"/>
    </row>
    <row r="55" spans="1:36" x14ac:dyDescent="0.25">
      <c r="A55" s="44"/>
      <c r="B55" s="48"/>
      <c r="C55" s="48"/>
      <c r="D55" s="44"/>
      <c r="E55" s="44"/>
      <c r="F55" s="44"/>
      <c r="G55" s="43"/>
      <c r="H55" s="43"/>
      <c r="I55" s="43"/>
      <c r="J55" s="49"/>
      <c r="K55" s="49"/>
      <c r="L55" s="46"/>
      <c r="M55" s="45"/>
      <c r="N55" s="47"/>
      <c r="O55" s="47"/>
      <c r="P55" s="47"/>
      <c r="Q55" s="47"/>
      <c r="R55" s="47"/>
      <c r="S55" s="47"/>
      <c r="T55" s="45"/>
      <c r="U55" s="45"/>
      <c r="V55" s="47"/>
      <c r="W55" s="47"/>
      <c r="X55" s="47"/>
      <c r="Y55" s="47"/>
      <c r="Z55" s="47"/>
      <c r="AA55" s="47"/>
      <c r="AB55" s="47"/>
      <c r="AC55" s="47"/>
      <c r="AD55" s="47"/>
      <c r="AE55" s="44"/>
      <c r="AF55" s="44"/>
    </row>
    <row r="56" spans="1:36" x14ac:dyDescent="0.25">
      <c r="A56" s="44"/>
      <c r="B56" s="48"/>
      <c r="C56" s="50"/>
      <c r="D56" s="44"/>
      <c r="E56" s="44"/>
      <c r="F56" s="50"/>
      <c r="G56" s="43"/>
      <c r="H56" s="43"/>
      <c r="I56" s="43"/>
      <c r="J56" s="49"/>
      <c r="K56" s="49"/>
      <c r="L56" s="46"/>
      <c r="M56" s="45"/>
      <c r="N56" s="47"/>
      <c r="O56" s="47"/>
      <c r="P56" s="47"/>
      <c r="Q56" s="47"/>
      <c r="R56" s="47"/>
      <c r="S56" s="47"/>
      <c r="T56" s="45"/>
      <c r="U56" s="45"/>
      <c r="V56" s="47"/>
      <c r="W56" s="47"/>
      <c r="X56" s="47"/>
      <c r="Y56" s="47"/>
      <c r="Z56" s="47"/>
      <c r="AA56" s="47"/>
      <c r="AB56" s="47"/>
      <c r="AC56" s="47"/>
      <c r="AD56" s="47"/>
      <c r="AE56" s="44"/>
      <c r="AF56" s="44"/>
    </row>
    <row r="57" spans="1:36" x14ac:dyDescent="0.25">
      <c r="A57" s="44"/>
      <c r="B57" s="48"/>
      <c r="C57" s="48"/>
      <c r="D57" s="44"/>
      <c r="E57" s="44"/>
      <c r="F57" s="44"/>
      <c r="G57" s="43"/>
      <c r="H57" s="43"/>
      <c r="I57" s="43"/>
      <c r="J57" s="49"/>
      <c r="K57" s="49"/>
      <c r="L57" s="46"/>
      <c r="M57" s="45"/>
      <c r="N57" s="47"/>
      <c r="O57" s="47"/>
      <c r="P57" s="47"/>
      <c r="Q57" s="47"/>
      <c r="R57" s="47"/>
      <c r="S57" s="47"/>
      <c r="T57" s="45"/>
      <c r="U57" s="45"/>
      <c r="V57" s="47"/>
      <c r="W57" s="47"/>
      <c r="X57" s="47"/>
      <c r="Y57" s="47"/>
      <c r="Z57" s="47"/>
      <c r="AA57" s="47"/>
      <c r="AB57" s="47"/>
      <c r="AC57" s="47"/>
      <c r="AD57" s="47"/>
      <c r="AE57" s="44"/>
      <c r="AF57" s="44"/>
    </row>
    <row r="58" spans="1:36" x14ac:dyDescent="0.25">
      <c r="A58" s="44"/>
      <c r="B58" s="48"/>
      <c r="C58" s="48"/>
      <c r="D58" s="44"/>
      <c r="E58" s="44"/>
      <c r="F58" s="44"/>
      <c r="G58" s="43"/>
      <c r="H58" s="43"/>
      <c r="I58" s="43"/>
      <c r="J58" s="49"/>
      <c r="K58" s="49"/>
      <c r="L58" s="46"/>
      <c r="M58" s="45"/>
      <c r="N58" s="47"/>
      <c r="O58" s="47"/>
      <c r="P58" s="47"/>
      <c r="Q58" s="47"/>
      <c r="R58" s="47"/>
      <c r="S58" s="47"/>
      <c r="T58" s="45"/>
      <c r="U58" s="45"/>
      <c r="V58" s="47"/>
      <c r="W58" s="47"/>
      <c r="X58" s="47"/>
      <c r="Y58" s="47"/>
      <c r="Z58" s="47"/>
      <c r="AA58" s="47"/>
      <c r="AB58" s="47"/>
      <c r="AC58" s="47"/>
      <c r="AD58" s="47"/>
      <c r="AE58" s="44"/>
      <c r="AF58" s="44"/>
    </row>
    <row r="59" spans="1:36" x14ac:dyDescent="0.25">
      <c r="A59" s="44"/>
      <c r="B59" s="48"/>
      <c r="C59" s="48"/>
      <c r="D59" s="44"/>
      <c r="E59" s="44"/>
      <c r="F59" s="44"/>
      <c r="G59" s="43"/>
      <c r="H59" s="43"/>
      <c r="I59" s="43"/>
      <c r="J59" s="49"/>
      <c r="K59" s="49"/>
      <c r="L59" s="46"/>
      <c r="M59" s="45"/>
      <c r="N59" s="47"/>
      <c r="O59" s="47"/>
      <c r="P59" s="47"/>
      <c r="Q59" s="47"/>
      <c r="R59" s="47"/>
      <c r="S59" s="47"/>
      <c r="T59" s="45"/>
      <c r="U59" s="45"/>
      <c r="V59" s="47"/>
      <c r="W59" s="47"/>
      <c r="X59" s="47"/>
      <c r="Y59" s="47"/>
      <c r="Z59" s="47"/>
      <c r="AA59" s="47"/>
      <c r="AB59" s="47"/>
      <c r="AC59" s="47"/>
      <c r="AD59" s="47"/>
      <c r="AE59" s="44"/>
      <c r="AF59" s="44"/>
    </row>
    <row r="60" spans="1:36" x14ac:dyDescent="0.25">
      <c r="A60" s="44"/>
      <c r="B60" s="48"/>
      <c r="C60" s="48"/>
      <c r="D60" s="44"/>
      <c r="E60" s="44"/>
      <c r="F60" s="49"/>
      <c r="G60" s="43"/>
      <c r="H60" s="43"/>
      <c r="I60" s="43"/>
      <c r="J60" s="49"/>
      <c r="K60" s="49"/>
      <c r="L60" s="46"/>
      <c r="M60" s="45"/>
      <c r="N60" s="47"/>
      <c r="O60" s="47"/>
      <c r="P60" s="47"/>
      <c r="Q60" s="47"/>
      <c r="R60" s="47"/>
      <c r="S60" s="47"/>
      <c r="T60" s="45"/>
      <c r="U60" s="45"/>
      <c r="V60" s="47"/>
      <c r="W60" s="47"/>
      <c r="X60" s="47"/>
      <c r="Y60" s="47"/>
      <c r="Z60" s="47"/>
      <c r="AA60" s="47"/>
      <c r="AB60" s="47"/>
      <c r="AC60" s="47"/>
      <c r="AD60" s="47"/>
      <c r="AE60" s="44"/>
      <c r="AF60" s="44"/>
      <c r="AH60" s="44"/>
      <c r="AI60" s="44"/>
      <c r="AJ60" s="44"/>
    </row>
    <row r="61" spans="1:36" x14ac:dyDescent="0.25">
      <c r="A61" s="44"/>
      <c r="B61" s="48"/>
      <c r="C61" s="48"/>
      <c r="D61" s="44"/>
      <c r="E61" s="44"/>
      <c r="F61" s="49"/>
      <c r="G61" s="43"/>
      <c r="H61" s="43"/>
      <c r="I61" s="43"/>
      <c r="J61" s="49"/>
      <c r="K61" s="49"/>
      <c r="L61" s="46"/>
      <c r="M61" s="45"/>
      <c r="N61" s="47"/>
      <c r="O61" s="47"/>
      <c r="P61" s="47"/>
      <c r="Q61" s="47"/>
      <c r="R61" s="47"/>
      <c r="S61" s="47"/>
      <c r="T61" s="45"/>
      <c r="U61" s="45"/>
      <c r="V61" s="47"/>
      <c r="W61" s="47"/>
      <c r="X61" s="47"/>
      <c r="Y61" s="47"/>
      <c r="Z61" s="47"/>
      <c r="AA61" s="47"/>
      <c r="AB61" s="47"/>
      <c r="AC61" s="47"/>
      <c r="AD61" s="47"/>
      <c r="AE61" s="44"/>
      <c r="AF61" s="44"/>
      <c r="AH61" s="44"/>
      <c r="AI61" s="44"/>
      <c r="AJ61" s="44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V62" s="2"/>
      <c r="W62" s="13"/>
      <c r="X62" s="2"/>
      <c r="Y62" s="2"/>
      <c r="Z62" s="2"/>
      <c r="AH62" s="44"/>
      <c r="AI62" s="44"/>
      <c r="AJ62" s="44"/>
    </row>
    <row r="63" spans="1:36" x14ac:dyDescent="0.25">
      <c r="A63" s="40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V63" s="2"/>
      <c r="W63" s="13"/>
      <c r="X63" s="2"/>
      <c r="Y63" s="2"/>
      <c r="Z63" s="2"/>
      <c r="AH63" s="44"/>
      <c r="AI63" s="44"/>
      <c r="AJ63" s="44"/>
    </row>
    <row r="64" spans="1:36" x14ac:dyDescent="0.25">
      <c r="A64" s="40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V64" s="2"/>
      <c r="W64" s="13"/>
      <c r="X64" s="2"/>
      <c r="Y64" s="2"/>
      <c r="Z64" s="2"/>
      <c r="AH64" s="44"/>
      <c r="AI64" s="44"/>
      <c r="AJ64" s="44"/>
    </row>
    <row r="65" spans="1:36" x14ac:dyDescent="0.25">
      <c r="A65" s="40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V65" s="2"/>
      <c r="W65" s="13"/>
      <c r="X65" s="2"/>
      <c r="Y65" s="2"/>
      <c r="Z65" s="2"/>
      <c r="AH65" s="44"/>
      <c r="AI65" s="44"/>
      <c r="AJ65" s="44"/>
    </row>
    <row r="66" spans="1:36" x14ac:dyDescent="0.25">
      <c r="A66" s="40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V66" s="2"/>
      <c r="W66" s="13"/>
      <c r="X66" s="2"/>
      <c r="Y66" s="2"/>
      <c r="Z66" s="2"/>
      <c r="AH66" s="44"/>
      <c r="AI66" s="44"/>
      <c r="AJ66" s="44"/>
    </row>
    <row r="67" spans="1:36" x14ac:dyDescent="0.25">
      <c r="A67" s="40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V67" s="2"/>
      <c r="W67" s="13"/>
      <c r="X67" s="2"/>
      <c r="Y67" s="2"/>
      <c r="Z67" s="2"/>
    </row>
    <row r="68" spans="1:36" x14ac:dyDescent="0.25">
      <c r="A68" s="40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V68" s="2"/>
      <c r="W68" s="13"/>
      <c r="X68" s="2"/>
      <c r="Y68" s="2"/>
      <c r="Z68" s="2"/>
      <c r="AA68" s="2"/>
    </row>
    <row r="69" spans="1:36" x14ac:dyDescent="0.25">
      <c r="A69" s="40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V69" s="2"/>
      <c r="W69" s="13"/>
      <c r="X69" s="2"/>
      <c r="Y69" s="2"/>
      <c r="Z69" s="2"/>
      <c r="AA69" s="2"/>
    </row>
    <row r="70" spans="1:36" x14ac:dyDescent="0.25">
      <c r="A70" s="40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V70" s="2"/>
      <c r="W70" s="13"/>
      <c r="X70" s="2"/>
      <c r="Y70" s="2"/>
      <c r="Z70" s="2"/>
      <c r="AA70" s="2"/>
    </row>
    <row r="71" spans="1:36" x14ac:dyDescent="0.25">
      <c r="A71" s="40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W71" s="2"/>
      <c r="X71" s="13"/>
      <c r="Y71" s="2"/>
      <c r="Z71" s="2"/>
      <c r="AA71" s="2"/>
    </row>
    <row r="72" spans="1:36" x14ac:dyDescent="0.25">
      <c r="A72" s="40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W72" s="2"/>
      <c r="X72" s="13"/>
      <c r="Y72" s="2"/>
      <c r="Z72" s="2"/>
      <c r="AA72" s="2"/>
    </row>
    <row r="73" spans="1:36" x14ac:dyDescent="0.25">
      <c r="A73" s="40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W73" s="2"/>
      <c r="X73" s="13"/>
      <c r="Y73" s="2"/>
      <c r="Z73" s="2"/>
      <c r="AA73" s="2"/>
    </row>
    <row r="74" spans="1:36" x14ac:dyDescent="0.25">
      <c r="A74" s="40"/>
      <c r="C74" s="2"/>
      <c r="D74" s="42"/>
      <c r="E74" s="42"/>
      <c r="F74" s="42"/>
      <c r="G74" s="42"/>
      <c r="H74" s="42"/>
      <c r="I74" s="10"/>
      <c r="J74" s="10"/>
      <c r="K74" s="10"/>
      <c r="L74" s="10"/>
      <c r="M74" s="10"/>
      <c r="X74" s="13"/>
      <c r="Y74" s="2"/>
      <c r="Z74" s="2"/>
      <c r="AA74" s="2"/>
    </row>
    <row r="75" spans="1:36" x14ac:dyDescent="0.25">
      <c r="A75" s="17"/>
      <c r="C75" s="2"/>
      <c r="D75" s="42"/>
      <c r="E75" s="42"/>
      <c r="F75" s="42"/>
      <c r="G75" s="42"/>
      <c r="H75" s="42"/>
      <c r="I75" s="10"/>
      <c r="J75" s="10"/>
      <c r="K75" s="10"/>
      <c r="L75" s="10"/>
      <c r="M75" s="10"/>
      <c r="X75" s="13"/>
      <c r="Y75" s="2"/>
      <c r="Z75" s="2"/>
      <c r="AA75" s="2"/>
    </row>
    <row r="76" spans="1:36" x14ac:dyDescent="0.25">
      <c r="A76" s="17"/>
      <c r="C76" s="2"/>
      <c r="D76" s="42"/>
      <c r="E76" s="42"/>
      <c r="F76" s="42"/>
      <c r="G76" s="42"/>
      <c r="H76" s="42"/>
      <c r="I76" s="10"/>
      <c r="J76" s="10"/>
      <c r="K76" s="10"/>
      <c r="L76" s="10"/>
      <c r="M76" s="10"/>
      <c r="X76" s="13"/>
      <c r="Y76" s="2"/>
      <c r="Z76" s="2"/>
      <c r="AA76" s="2"/>
    </row>
    <row r="77" spans="1:36" x14ac:dyDescent="0.25">
      <c r="A77" s="17"/>
      <c r="C77" s="2"/>
      <c r="D77" s="42"/>
      <c r="E77" s="42"/>
      <c r="F77" s="42"/>
      <c r="G77" s="42"/>
      <c r="H77" s="42"/>
      <c r="I77" s="10"/>
      <c r="J77" s="10"/>
      <c r="K77" s="10"/>
      <c r="L77" s="10"/>
      <c r="M77" s="10"/>
      <c r="X77" s="13"/>
      <c r="Y77" s="2"/>
      <c r="Z77" s="2"/>
      <c r="AA77" s="2"/>
    </row>
    <row r="78" spans="1:36" x14ac:dyDescent="0.25">
      <c r="A78" s="17"/>
      <c r="C78" s="2"/>
      <c r="D78" s="42"/>
      <c r="E78" s="42"/>
      <c r="F78" s="42"/>
      <c r="G78" s="42"/>
      <c r="H78" s="42"/>
      <c r="I78" s="10"/>
      <c r="J78" s="10"/>
      <c r="K78" s="10"/>
      <c r="L78" s="10"/>
      <c r="M78" s="10"/>
      <c r="X78" s="13"/>
      <c r="Y78" s="2"/>
      <c r="Z78" s="2"/>
      <c r="AA78" s="2"/>
    </row>
    <row r="79" spans="1:36" x14ac:dyDescent="0.25">
      <c r="A79" s="17"/>
      <c r="C79" s="2"/>
      <c r="D79" s="42"/>
      <c r="E79" s="42"/>
      <c r="F79" s="42"/>
      <c r="G79" s="42"/>
      <c r="H79" s="42"/>
      <c r="I79" s="10"/>
      <c r="J79" s="10"/>
      <c r="K79" s="10"/>
      <c r="L79" s="10"/>
      <c r="M79" s="10"/>
      <c r="X79" s="13"/>
      <c r="Y79" s="2"/>
      <c r="Z79" s="2"/>
      <c r="AA79" s="2"/>
    </row>
    <row r="80" spans="1:36" x14ac:dyDescent="0.25">
      <c r="A80" s="17"/>
      <c r="C80" s="2"/>
      <c r="D80" s="42"/>
      <c r="E80" s="42"/>
      <c r="F80" s="42"/>
      <c r="G80" s="42"/>
      <c r="H80" s="42"/>
      <c r="I80" s="10"/>
      <c r="J80" s="10"/>
      <c r="K80" s="10"/>
      <c r="L80" s="10"/>
      <c r="M80" s="10"/>
      <c r="X80" s="13"/>
      <c r="Y80" s="2"/>
      <c r="Z80" s="2"/>
      <c r="AA80" s="2"/>
    </row>
    <row r="81" spans="1:27" x14ac:dyDescent="0.25">
      <c r="A81" s="17"/>
      <c r="C81" s="2"/>
      <c r="D81" s="42"/>
      <c r="E81" s="42"/>
      <c r="F81" s="42"/>
      <c r="G81" s="42"/>
      <c r="H81" s="42"/>
      <c r="I81" s="10"/>
      <c r="J81" s="10"/>
      <c r="K81" s="10"/>
      <c r="L81" s="10"/>
      <c r="M81" s="10"/>
      <c r="X81" s="13"/>
      <c r="Y81" s="2"/>
      <c r="Z81" s="2"/>
      <c r="AA81" s="2"/>
    </row>
    <row r="82" spans="1:27" x14ac:dyDescent="0.25">
      <c r="A82" s="17"/>
      <c r="C82" s="2"/>
      <c r="D82" s="42"/>
      <c r="E82" s="42"/>
      <c r="F82" s="42"/>
      <c r="G82" s="42"/>
      <c r="H82" s="42"/>
      <c r="I82" s="10"/>
      <c r="J82" s="10"/>
      <c r="K82" s="10"/>
      <c r="L82" s="10"/>
      <c r="M82" s="10"/>
      <c r="X82" s="13"/>
      <c r="Y82" s="2"/>
      <c r="Z82" s="2"/>
      <c r="AA82" s="2"/>
    </row>
    <row r="83" spans="1:27" x14ac:dyDescent="0.25">
      <c r="A83" s="17"/>
      <c r="C83" s="2"/>
      <c r="D83" s="42"/>
      <c r="E83" s="42"/>
      <c r="F83" s="42"/>
      <c r="G83" s="42"/>
      <c r="H83" s="42"/>
      <c r="I83" s="10"/>
      <c r="J83" s="10"/>
      <c r="K83" s="10"/>
      <c r="L83" s="10"/>
      <c r="M83" s="10"/>
      <c r="X83" s="13"/>
      <c r="Y83" s="2"/>
      <c r="Z83" s="2"/>
      <c r="AA83" s="2"/>
    </row>
    <row r="84" spans="1:27" x14ac:dyDescent="0.25">
      <c r="A84" s="17"/>
      <c r="C84" s="2"/>
      <c r="D84" s="42"/>
      <c r="E84" s="42"/>
      <c r="F84" s="42"/>
      <c r="G84" s="42"/>
      <c r="H84" s="42"/>
      <c r="I84" s="10"/>
      <c r="J84" s="10"/>
      <c r="K84" s="10"/>
      <c r="L84" s="10"/>
      <c r="M84" s="10"/>
      <c r="X84" s="13"/>
      <c r="Y84" s="2"/>
      <c r="Z84" s="2"/>
      <c r="AA84" s="2"/>
    </row>
    <row r="85" spans="1:27" x14ac:dyDescent="0.25">
      <c r="A85" s="17"/>
      <c r="C85" s="2"/>
      <c r="D85" s="42"/>
      <c r="E85" s="42"/>
      <c r="F85" s="42"/>
      <c r="G85" s="42"/>
      <c r="H85" s="42"/>
      <c r="I85" s="10"/>
      <c r="J85" s="10"/>
      <c r="K85" s="10"/>
      <c r="L85" s="10"/>
      <c r="M85" s="10"/>
      <c r="X85" s="13"/>
      <c r="Y85" s="2"/>
      <c r="Z85" s="2"/>
      <c r="AA85" s="2"/>
    </row>
  </sheetData>
  <sortState ref="AH23:AH40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3596619.5177165354</v>
      </c>
      <c r="C2" s="33">
        <f>IF(ISNUMBER(Calculations!O4),CONVERT(Calculations!O4,Units_In,Units_Out),"")</f>
        <v>1506229.3372703411</v>
      </c>
      <c r="D2" s="33" t="s">
        <v>60</v>
      </c>
      <c r="E2" s="10" t="str">
        <f>CONCATENATE("0503 ",B2,"EUSft ",C2,"NUSft")</f>
        <v>0503 3596619.51771654EUSft 1506229.33727034NUSft</v>
      </c>
      <c r="F2" s="34">
        <v>98</v>
      </c>
      <c r="G2" s="10" t="str">
        <f>IF(F2=98,"Lime",IF(F2=94,"Yellow",""))</f>
        <v>Lime</v>
      </c>
      <c r="H2" s="10" t="str">
        <f>Calculations!$A$1</f>
        <v>CSS21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3596631.9652230972</v>
      </c>
      <c r="C3" s="33">
        <f>IF(ISNUMBER(Calculations!O5),CONVERT(Calculations!O5,Units_In,Units_Out),"")</f>
        <v>1506348.0314960631</v>
      </c>
      <c r="D3" s="33" t="s">
        <v>60</v>
      </c>
      <c r="E3" s="10" t="str">
        <f t="shared" ref="E3:E4" si="0">CONCATENATE("0503 ",B3,"EUSft ",C3,"NUSft")</f>
        <v>0503 3596631.9652231EUSft 1506348.03149606NUSft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CSS21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3596866.6207349082</v>
      </c>
      <c r="C4" s="33">
        <f>IF(ISNUMBER(Calculations!O6),CONVERT(Calculations!O6,Units_In,Units_Out),"")</f>
        <v>1506277.6771653544</v>
      </c>
      <c r="D4" s="33" t="s">
        <v>60</v>
      </c>
      <c r="E4" s="10" t="str">
        <f t="shared" si="0"/>
        <v>0503 3596866.62073491EUSft 1506277.67716535NUSft</v>
      </c>
      <c r="F4" s="34">
        <v>98</v>
      </c>
      <c r="G4" s="10" t="str">
        <f t="shared" si="1"/>
        <v>Lime</v>
      </c>
      <c r="H4" s="10" t="str">
        <f>Calculations!$A$1</f>
        <v>CSS21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3596680.6669912343</v>
      </c>
      <c r="C5" s="33">
        <f ca="1">IF(ISNUMBER(A5),CONVERT(Calculations!U21,Units_In,Units_Out),"")</f>
        <v>1506125.9926319455</v>
      </c>
      <c r="D5" s="33" t="str">
        <f>IF(ISTEXT(Calculations!F21),Calculations!F21,"")</f>
        <v>BS/ZERO</v>
      </c>
      <c r="E5" t="str">
        <f ca="1">IF(ISNUMBER(A5),CONCATENATE("0503 ",B5,"EUSft ",C5,"NUSft"),"")</f>
        <v>0503 3596680.66699123EUSft 1506125.99263195NUSft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CSS21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3596450.1789201521</v>
      </c>
      <c r="C6" s="33">
        <f ca="1">IF(ISNUMBER(A6),CONVERT(Calculations!U22,Units_In,Units_Out),"")</f>
        <v>1506045.2768263977</v>
      </c>
      <c r="D6" s="33" t="str">
        <f>IF(ISTEXT(Calculations!F22),Calculations!F22,"")</f>
        <v xml:space="preserve">BS </v>
      </c>
      <c r="E6" s="10" t="str">
        <f t="shared" ref="E6:E65" ca="1" si="2">IF(ISNUMBER(A6),CONCATENATE("0503 ",B6,"EUSft ",C6,"NUSft"),"")</f>
        <v>0503 3596450.17892015EUSft 1506045.2768264NUSft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CSS21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3596597.917733571</v>
      </c>
      <c r="C7" s="33">
        <f ca="1">IF(ISNUMBER(A7),CONVERT(Calculations!U23,Units_In,Units_Out),"")</f>
        <v>1506213.1405828323</v>
      </c>
      <c r="D7" s="33" t="str">
        <f>IF(ISTEXT(Calculations!F23),Calculations!F23,"")</f>
        <v/>
      </c>
      <c r="E7" s="10" t="str">
        <f t="shared" ca="1" si="2"/>
        <v>0503 3596597.91773357EUSft 1506213.14058283NUSft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CSS21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3596594.4159032046</v>
      </c>
      <c r="C8" s="33">
        <f ca="1">IF(ISNUMBER(A8),CONVERT(Calculations!U24,Units_In,Units_Out),"")</f>
        <v>1506229.3599712651</v>
      </c>
      <c r="D8" s="33" t="str">
        <f>IF(ISTEXT(Calculations!F24),Calculations!F24,"")</f>
        <v/>
      </c>
      <c r="E8" s="10" t="str">
        <f t="shared" ca="1" si="2"/>
        <v>0503 3596594.4159032EUSft 1506229.35997127NUSft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CSS21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3596591.7718958221</v>
      </c>
      <c r="C9" s="33">
        <f ca="1">IF(ISNUMBER(A9),CONVERT(Calculations!U25,Units_In,Units_Out),"")</f>
        <v>1506243.9250131242</v>
      </c>
      <c r="D9" s="33" t="str">
        <f>IF(ISTEXT(Calculations!F25),Calculations!F25,"")</f>
        <v/>
      </c>
      <c r="E9" s="10" t="str">
        <f t="shared" ca="1" si="2"/>
        <v>0503 3596591.77189582EUSft 1506243.92501312NUSft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CSS21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3596588.4362474582</v>
      </c>
      <c r="C10" s="33">
        <f ca="1">IF(ISNUMBER(A10),CONVERT(Calculations!U26,Units_In,Units_Out),"")</f>
        <v>1506261.0048394911</v>
      </c>
      <c r="D10" s="33" t="str">
        <f>IF(ISTEXT(Calculations!F26),Calculations!F26,"")</f>
        <v/>
      </c>
      <c r="E10" s="10" t="str">
        <f t="shared" ca="1" si="2"/>
        <v>0503 3596588.43624746EUSft 1506261.00483949NUSft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CSS21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3596586.4429264762</v>
      </c>
      <c r="C11" s="33">
        <f ca="1">IF(ISNUMBER(A11),CONVERT(Calculations!U27,Units_In,Units_Out),"")</f>
        <v>1506267.8312143572</v>
      </c>
      <c r="D11" s="33" t="str">
        <f>IF(ISTEXT(Calculations!F27),Calculations!F27,"")</f>
        <v/>
      </c>
      <c r="E11" s="10" t="str">
        <f t="shared" ca="1" si="2"/>
        <v>0503 3596586.44292648EUSft 1506267.83121436NUSft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CSS21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3596585.6927554808</v>
      </c>
      <c r="C12" s="33">
        <f ca="1">IF(ISNUMBER(A12),CONVERT(Calculations!U28,Units_In,Units_Out),"")</f>
        <v>1506269.7156435545</v>
      </c>
      <c r="D12" s="33" t="str">
        <f>IF(ISTEXT(Calculations!F28),Calculations!F28,"")</f>
        <v/>
      </c>
      <c r="E12" s="10" t="str">
        <f t="shared" ca="1" si="2"/>
        <v>0503 3596585.69275548EUSft 1506269.71564355NUSft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CSS21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3596584.1054164022</v>
      </c>
      <c r="C13" s="33">
        <f ca="1">IF(ISNUMBER(A13),CONVERT(Calculations!U29,Units_In,Units_Out),"")</f>
        <v>1506271.5992820561</v>
      </c>
      <c r="D13" s="33" t="str">
        <f>IF(ISTEXT(Calculations!F29),Calculations!F29,"")</f>
        <v/>
      </c>
      <c r="E13" s="10" t="str">
        <f t="shared" ca="1" si="2"/>
        <v>0503 3596584.1054164EUSft 1506271.59928206NUSft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CSS21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3596580.365606708</v>
      </c>
      <c r="C14" s="33">
        <f ca="1">IF(ISNUMBER(A14),CONVERT(Calculations!U30,Units_In,Units_Out),"")</f>
        <v>1506276.7475350751</v>
      </c>
      <c r="D14" s="33" t="str">
        <f>IF(ISTEXT(Calculations!F30),Calculations!F30,"")</f>
        <v/>
      </c>
      <c r="E14" s="10" t="str">
        <f t="shared" ca="1" si="2"/>
        <v>0503 3596580.36560671EUSft 1506276.74753508NUSft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CSS21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3596537.6204598551</v>
      </c>
      <c r="C15" s="33">
        <f ca="1">IF(ISNUMBER(A15),CONVERT(Calculations!U31,Units_In,Units_Out),"")</f>
        <v>1506333.1535864279</v>
      </c>
      <c r="D15" s="33" t="str">
        <f>IF(ISTEXT(Calculations!F31),Calculations!F31,"")</f>
        <v/>
      </c>
      <c r="E15" s="10" t="str">
        <f t="shared" ca="1" si="2"/>
        <v>0503 3596537.62045986EUSft 1506333.15358643NUSft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CSS21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3596519.0895539881</v>
      </c>
      <c r="C16" s="33">
        <f ca="1">IF(ISNUMBER(A16),CONVERT(Calculations!U32,Units_In,Units_Out),"")</f>
        <v>1506390.0898047294</v>
      </c>
      <c r="D16" s="33" t="str">
        <f>IF(ISTEXT(Calculations!F32),Calculations!F32,"")</f>
        <v/>
      </c>
      <c r="E16" s="10" t="str">
        <f t="shared" ca="1" si="2"/>
        <v>0503 3596519.08955399EUSft 1506390.08980473NUSft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CSS21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3596517.5681161457</v>
      </c>
      <c r="C17" s="33">
        <f ca="1">IF(ISNUMBER(A17),CONVERT(Calculations!U33,Units_In,Units_Out),"")</f>
        <v>1506395.2892144006</v>
      </c>
      <c r="D17" s="33" t="str">
        <f>IF(ISTEXT(Calculations!F33),Calculations!F33,"")</f>
        <v/>
      </c>
      <c r="E17" s="10" t="str">
        <f t="shared" ca="1" si="2"/>
        <v>0503 3596517.56811615EUSft 1506395.2892144NUSft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CSS21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3596517.6988645159</v>
      </c>
      <c r="C18" s="33">
        <f ca="1">IF(ISNUMBER(A18),CONVERT(Calculations!U34,Units_In,Units_Out),"")</f>
        <v>1506396.7916990742</v>
      </c>
      <c r="D18" s="33" t="str">
        <f>IF(ISTEXT(Calculations!F34),Calculations!F34,"")</f>
        <v/>
      </c>
      <c r="E18" s="10" t="str">
        <f t="shared" ca="1" si="2"/>
        <v>0503 3596517.69886452EUSft 1506396.79169907NUSft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CSS21</v>
      </c>
    </row>
    <row r="19" spans="1:8" x14ac:dyDescent="0.25">
      <c r="A19" s="10">
        <f>IF(ISNUMBER(Calculations!A35),Calculations!A35,"")</f>
        <v>15</v>
      </c>
      <c r="B19" s="33">
        <f ca="1">IF(ISNUMBER(A19),CONVERT(Calculations!T35,Units_In,Units_Out),"")</f>
        <v>3596516.9772120765</v>
      </c>
      <c r="C19" s="33">
        <f ca="1">IF(ISNUMBER(A19),CONVERT(Calculations!U35,Units_In,Units_Out),"")</f>
        <v>1506398.4140292739</v>
      </c>
      <c r="D19" s="33" t="str">
        <f>IF(ISTEXT(Calculations!F35),Calculations!F35,"")</f>
        <v/>
      </c>
      <c r="E19" s="10" t="str">
        <f t="shared" ca="1" si="2"/>
        <v>0503 3596516.97721208EUSft 1506398.41402927NUSft</v>
      </c>
      <c r="F19" s="34">
        <f t="shared" si="3"/>
        <v>94</v>
      </c>
      <c r="G19" s="10" t="str">
        <f t="shared" si="1"/>
        <v>Yellow</v>
      </c>
      <c r="H19" s="10" t="str">
        <f>IF(ISNUMBER(A19),Calculations!$A$1,"")</f>
        <v>CSS21</v>
      </c>
    </row>
    <row r="20" spans="1:8" x14ac:dyDescent="0.25">
      <c r="A20" s="10" t="str">
        <f>IF(ISNUMBER(Calculations!A36),Calculations!A36,"")</f>
        <v/>
      </c>
      <c r="B20" s="33" t="str">
        <f>IF(ISNUMBER(A20),CONVERT(Calculations!T36,Units_In,Units_Out),"")</f>
        <v/>
      </c>
      <c r="C20" s="33" t="str">
        <f>IF(ISNUMBER(A20),CONVERT(Calculations!U36,Units_In,Units_Out),"")</f>
        <v/>
      </c>
      <c r="D20" s="33" t="str">
        <f>IF(ISTEXT(Calculations!F36),Calculations!F36,"")</f>
        <v>Damaged</v>
      </c>
      <c r="E20" s="10" t="str">
        <f t="shared" si="2"/>
        <v/>
      </c>
      <c r="F20" s="34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>
        <f>IF(ISNUMBER(Calculations!A37),Calculations!A37,"")</f>
        <v>16</v>
      </c>
      <c r="B21" s="33">
        <f ca="1">IF(ISNUMBER(A21),CONVERT(Calculations!T37,Units_In,Units_Out),"")</f>
        <v>3596619.5177165354</v>
      </c>
      <c r="C21" s="33">
        <f ca="1">IF(ISNUMBER(A21),CONVERT(Calculations!U37,Units_In,Units_Out),"")</f>
        <v>1506229.3372703411</v>
      </c>
      <c r="D21" s="33" t="str">
        <f>IF(ISTEXT(Calculations!F37),Calculations!F37,"")</f>
        <v/>
      </c>
      <c r="E21" s="10" t="str">
        <f t="shared" ca="1" si="2"/>
        <v>0503 3596619.51771654EUSft 1506229.33727034NUSft</v>
      </c>
      <c r="F21" s="34">
        <f t="shared" si="3"/>
        <v>94</v>
      </c>
      <c r="G21" s="10" t="str">
        <f t="shared" si="1"/>
        <v>Yellow</v>
      </c>
      <c r="H21" s="10" t="str">
        <f>IF(ISNUMBER(A21),Calculations!$A$1,"")</f>
        <v>CSS21</v>
      </c>
    </row>
    <row r="22" spans="1:8" x14ac:dyDescent="0.25">
      <c r="A22" s="10">
        <f>IF(ISNUMBER(Calculations!A38),Calculations!A38,"")</f>
        <v>17</v>
      </c>
      <c r="B22" s="33">
        <f ca="1">IF(ISNUMBER(A22),CONVERT(Calculations!T38,Units_In,Units_Out),"")</f>
        <v>3596519.4718629587</v>
      </c>
      <c r="C22" s="33">
        <f ca="1">IF(ISNUMBER(A22),CONVERT(Calculations!U38,Units_In,Units_Out),"")</f>
        <v>1506396.1537874094</v>
      </c>
      <c r="D22" s="33" t="str">
        <f>IF(ISTEXT(Calculations!F38),Calculations!F38,"")</f>
        <v>WS</v>
      </c>
      <c r="E22" s="10" t="str">
        <f t="shared" ca="1" si="2"/>
        <v>0503 3596519.47186296EUSft 1506396.15378741NUSft</v>
      </c>
      <c r="F22" s="34">
        <f t="shared" si="3"/>
        <v>94</v>
      </c>
      <c r="G22" s="10" t="str">
        <f t="shared" si="1"/>
        <v>Yellow</v>
      </c>
      <c r="H22" s="10" t="str">
        <f>IF(ISNUMBER(A22),Calculations!$A$1,"")</f>
        <v>CSS21</v>
      </c>
    </row>
    <row r="23" spans="1:8" x14ac:dyDescent="0.25">
      <c r="A23" s="10">
        <f>IF(ISNUMBER(Calculations!A39),Calculations!A39,"")</f>
        <v>18</v>
      </c>
      <c r="B23" s="33">
        <f ca="1">IF(ISNUMBER(A23),CONVERT(Calculations!T39,Units_In,Units_Out),"")</f>
        <v>3596680.6713835993</v>
      </c>
      <c r="C23" s="33">
        <f ca="1">IF(ISNUMBER(A23),CONVERT(Calculations!U39,Units_In,Units_Out),"")</f>
        <v>1506126.0217847044</v>
      </c>
      <c r="D23" s="33" t="str">
        <f>IF(ISTEXT(Calculations!F39),Calculations!F39,"")</f>
        <v>PT1</v>
      </c>
      <c r="E23" s="10" t="str">
        <f t="shared" ca="1" si="2"/>
        <v>0503 3596680.6713836EUSft 1506126.0217847NUSft</v>
      </c>
      <c r="F23" s="34">
        <f t="shared" si="3"/>
        <v>94</v>
      </c>
      <c r="G23" s="10" t="str">
        <f t="shared" si="1"/>
        <v>Yellow</v>
      </c>
      <c r="H23" s="10" t="str">
        <f>IF(ISNUMBER(A23),Calculations!$A$1,"")</f>
        <v>CSS21</v>
      </c>
    </row>
    <row r="24" spans="1:8" x14ac:dyDescent="0.25">
      <c r="A24" s="10">
        <f>IF(ISNUMBER(Calculations!A40),Calculations!A40,"")</f>
        <v>19</v>
      </c>
      <c r="B24" s="33">
        <f ca="1">IF(ISNUMBER(A24),CONVERT(Calculations!T40,Units_In,Units_Out),"")</f>
        <v>3596450.2205011835</v>
      </c>
      <c r="C24" s="33">
        <f ca="1">IF(ISNUMBER(A24),CONVERT(Calculations!U40,Units_In,Units_Out),"")</f>
        <v>1506045.0155765063</v>
      </c>
      <c r="D24" s="33" t="str">
        <f>IF(ISTEXT(Calculations!F40),Calculations!F40,"")</f>
        <v>PT2</v>
      </c>
      <c r="E24" s="10" t="str">
        <f t="shared" ca="1" si="2"/>
        <v>0503 3596450.22050118EUSft 1506045.01557651NUSft</v>
      </c>
      <c r="F24" s="34">
        <f t="shared" si="3"/>
        <v>94</v>
      </c>
      <c r="G24" s="10" t="str">
        <f t="shared" si="1"/>
        <v>Yellow</v>
      </c>
      <c r="H24" s="10" t="str">
        <f>IF(ISNUMBER(A24),Calculations!$A$1,"")</f>
        <v>CSS21</v>
      </c>
    </row>
    <row r="25" spans="1:8" x14ac:dyDescent="0.25">
      <c r="A25" s="10" t="str">
        <f>IF(ISNUMBER(Calculations!A41),Calculations!A41,"")</f>
        <v/>
      </c>
      <c r="B25" s="33" t="str">
        <f>IF(ISNUMBER(A25),CONVERT(Calculations!T41,Units_In,Units_Out),"")</f>
        <v/>
      </c>
      <c r="C25" s="33" t="str">
        <f>IF(ISNUMBER(A25),CONVERT(Calculations!U41,Units_In,Units_Out),"")</f>
        <v/>
      </c>
      <c r="D25" s="33" t="str">
        <f>IF(ISTEXT(Calculations!F41),Calculations!F41,"")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IF(ISNUMBER(Calculations!A42),Calculations!A42,"")</f>
        <v/>
      </c>
      <c r="B26" s="33" t="str">
        <f>IF(ISNUMBER(A26),CONVERT(Calculations!T42,Units_In,Units_Out),"")</f>
        <v/>
      </c>
      <c r="C26" s="33" t="str">
        <f>IF(ISNUMBER(A26),CONVERT(Calculations!U42,Units_In,Units_Out),"")</f>
        <v/>
      </c>
      <c r="D26" s="33" t="str">
        <f>IF(ISTEXT(Calculations!F42),Calculations!F42,"")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IF(ISNUMBER(Calculations!A43),Calculations!A43,"")</f>
        <v/>
      </c>
      <c r="B27" s="33" t="str">
        <f>IF(ISNUMBER(A27),CONVERT(Calculations!T43,Units_In,Units_Out),"")</f>
        <v/>
      </c>
      <c r="C27" s="33" t="str">
        <f>IF(ISNUMBER(A27),CONVERT(Calculations!U43,Units_In,Units_Out),"")</f>
        <v/>
      </c>
      <c r="D27" s="33" t="str">
        <f>IF(ISTEXT(Calculations!F43),Calculations!F43,"")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IF(ISNUMBER(Calculations!A44),Calculations!A44,"")</f>
        <v/>
      </c>
      <c r="B28" s="33" t="str">
        <f>IF(ISNUMBER(A28),CONVERT(Calculations!T44,Units_In,Units_Out),"")</f>
        <v/>
      </c>
      <c r="C28" s="33" t="str">
        <f>IF(ISNUMBER(A28),CONVERT(Calculations!U44,Units_In,Units_Out),"")</f>
        <v/>
      </c>
      <c r="D28" s="33" t="str">
        <f>IF(ISTEXT(Calculations!F44),Calculations!F44,"")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IF(ISNUMBER(Calculations!A45),Calculations!A45,"")</f>
        <v/>
      </c>
      <c r="B29" s="33" t="str">
        <f>IF(ISNUMBER(A29),CONVERT(Calculations!T45,Units_In,Units_Out),"")</f>
        <v/>
      </c>
      <c r="C29" s="33" t="str">
        <f>IF(ISNUMBER(A29),CONVERT(Calculations!U45,Units_In,Units_Out),"")</f>
        <v/>
      </c>
      <c r="D29" s="33" t="str">
        <f>IF(ISTEXT(Calculations!F45),Calculations!F45,"")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IF(ISNUMBER(Calculations!A46),Calculations!A46,"")</f>
        <v/>
      </c>
      <c r="B30" s="33" t="str">
        <f>IF(ISNUMBER(A30),CONVERT(Calculations!T46,Units_In,Units_Out),"")</f>
        <v/>
      </c>
      <c r="C30" s="33" t="str">
        <f>IF(ISNUMBER(A30),CONVERT(Calculations!U46,Units_In,Units_Out),"")</f>
        <v/>
      </c>
      <c r="D30" s="33" t="str">
        <f>IF(ISTEXT(Calculations!F46),Calculations!F46,"")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IF(ISNUMBER(Calculations!A47),Calculations!A47,"")</f>
        <v/>
      </c>
      <c r="B31" s="33" t="str">
        <f>IF(ISNUMBER(A31),CONVERT(Calculations!T47,Units_In,Units_Out),"")</f>
        <v/>
      </c>
      <c r="C31" s="33" t="str">
        <f>IF(ISNUMBER(A31),CONVERT(Calculations!U47,Units_In,Units_Out),"")</f>
        <v/>
      </c>
      <c r="D31" s="33" t="str">
        <f>IF(ISTEXT(Calculations!F47),Calculations!F47,"")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IF(ISNUMBER(Calculations!A48),Calculations!A48,"")</f>
        <v/>
      </c>
      <c r="B32" s="33" t="str">
        <f>IF(ISNUMBER(A32),CONVERT(Calculations!T48,Units_In,Units_Out),"")</f>
        <v/>
      </c>
      <c r="C32" s="33" t="str">
        <f>IF(ISNUMBER(A32),CONVERT(Calculations!U48,Units_In,Units_Out),"")</f>
        <v/>
      </c>
      <c r="D32" s="33" t="str">
        <f>IF(ISTEXT(Calculations!F48),Calculations!F48,"")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IF(ISNUMBER(Calculations!A49),Calculations!A49,"")</f>
        <v/>
      </c>
      <c r="B33" s="33" t="str">
        <f>IF(ISNUMBER(A33),CONVERT(Calculations!T49,Units_In,Units_Out),"")</f>
        <v/>
      </c>
      <c r="C33" s="33" t="str">
        <f>IF(ISNUMBER(A33),CONVERT(Calculations!U49,Units_In,Units_Out),"")</f>
        <v/>
      </c>
      <c r="D33" s="33" t="str">
        <f>IF(ISTEXT(Calculations!F49),Calculations!F49,"")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IF(ISNUMBER(Calculations!A50),Calculations!A50,"")</f>
        <v/>
      </c>
      <c r="B34" s="33" t="str">
        <f>IF(ISNUMBER(A34),CONVERT(Calculations!T50,Units_In,Units_Out),"")</f>
        <v/>
      </c>
      <c r="C34" s="33" t="str">
        <f>IF(ISNUMBER(A34),CONVERT(Calculations!U50,Units_In,Units_Out),"")</f>
        <v/>
      </c>
      <c r="D34" s="33" t="str">
        <f>IF(ISTEXT(Calculations!F50),Calculations!F50,"")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IF(ISNUMBER(Calculations!A51),Calculations!A51,"")</f>
        <v/>
      </c>
      <c r="B35" s="33" t="str">
        <f>IF(ISNUMBER(A35),CONVERT(Calculations!T51,Units_In,Units_Out),"")</f>
        <v/>
      </c>
      <c r="C35" s="33" t="str">
        <f>IF(ISNUMBER(A35),CONVERT(Calculations!U51,Units_In,Units_Out),"")</f>
        <v/>
      </c>
      <c r="D35" s="33" t="str">
        <f>IF(ISTEXT(Calculations!F51),Calculations!F51,"")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IF(ISNUMBER(Calculations!A52),Calculations!A52,"")</f>
        <v/>
      </c>
      <c r="B36" s="33" t="str">
        <f>IF(ISNUMBER(A36),CONVERT(Calculations!U52,Units_In,Units_Out),"")</f>
        <v/>
      </c>
      <c r="C36" s="33" t="str">
        <f>IF(ISNUMBER(A36),CONVERT(Calculations!V52,Units_In,Units_Out),"")</f>
        <v/>
      </c>
      <c r="D36" s="33" t="str">
        <f>IF(ISTEXT(Calculations!F52),Calculations!F52,"")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IF(ISNUMBER(Calculations!A53),Calculations!A53,"")</f>
        <v/>
      </c>
      <c r="B37" s="33" t="str">
        <f>IF(ISNUMBER(A37),CONVERT(Calculations!U53,Units_In,Units_Out),"")</f>
        <v/>
      </c>
      <c r="C37" s="33" t="str">
        <f>IF(ISNUMBER(A37),CONVERT(Calculations!V53,Units_In,Units_Out),"")</f>
        <v/>
      </c>
      <c r="D37" s="33" t="str">
        <f>IF(ISTEXT(Calculations!F53),Calculations!F53,"")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Tschan</cp:lastModifiedBy>
  <dcterms:created xsi:type="dcterms:W3CDTF">2011-11-09T05:33:48Z</dcterms:created>
  <dcterms:modified xsi:type="dcterms:W3CDTF">2013-08-28T10:49:53Z</dcterms:modified>
</cp:coreProperties>
</file>