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G36" i="1" l="1"/>
  <c r="H36" i="1" s="1"/>
  <c r="I36" i="1"/>
  <c r="J36" i="1" s="1"/>
  <c r="N36" i="1"/>
  <c r="G37" i="1"/>
  <c r="H37" i="1" s="1"/>
  <c r="I37" i="1"/>
  <c r="J37" i="1" s="1"/>
  <c r="K37" i="1" l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6" i="1" l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7" i="1" l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36" i="1" l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36" i="1" l="1"/>
  <c r="X37" i="1"/>
  <c r="Y35" i="1"/>
  <c r="Y34" i="1"/>
  <c r="Y5" i="1"/>
  <c r="Y8" i="1" s="1"/>
  <c r="X9" i="1"/>
  <c r="Y9" i="1"/>
  <c r="Y37" i="1" l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7" i="1" l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Y28" i="1" l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6" i="1" l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36" i="1" l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Z29" i="1"/>
  <c r="AA29" i="1" s="1"/>
  <c r="Z33" i="1"/>
  <c r="AA33" i="1" s="1"/>
  <c r="Z27" i="1"/>
  <c r="AA27" i="1" s="1"/>
  <c r="Z26" i="1"/>
  <c r="AA26" i="1" s="1"/>
  <c r="Z30" i="1"/>
  <c r="AA30" i="1" s="1"/>
  <c r="AA31" i="1"/>
  <c r="AA36" i="1" l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6" i="1"/>
  <c r="AB24" i="1"/>
  <c r="AB31" i="1"/>
  <c r="AB25" i="1"/>
  <c r="AB30" i="1"/>
  <c r="AC36" i="1" l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26" i="1"/>
  <c r="AE26" i="1" s="1"/>
  <c r="AC32" i="1"/>
  <c r="AE32" i="1" s="1"/>
  <c r="AC29" i="1"/>
  <c r="AE29" i="1" s="1"/>
  <c r="AC30" i="1"/>
  <c r="AE30" i="1" s="1"/>
  <c r="AC28" i="1"/>
  <c r="AE28" i="1" s="1"/>
  <c r="AB23" i="1"/>
  <c r="AC9" i="1" s="1"/>
  <c r="AI34" i="1" l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<sst xmlns="http://schemas.openxmlformats.org/spreadsheetml/2006/main" count="103" uniqueCount="91">
  <si>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</si>
  <si>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</si>
  <si>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</si>
  <si>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</si>
  <si>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</si>
  <si>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</si>
  <si>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</si>
  <si>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</si>
  <si>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</si>
  <si>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</si>
  <si>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</si>
  <si>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</si>
  <si>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</si>
  <si>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</si>
  <si>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</si>
  <si>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</si>
  <si>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</si>
  <si>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</si>
  <si>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</si>
  <si>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</si>
  <si>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</si>
  <si>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</si>
  <si>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</si>
  <si>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</si>
  <si>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</si>
  <si>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</si>
  <si>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</si>
  <si>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</si>
  <si>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</si>
  <si>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</si>
  <si>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</si>
  <si>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</si>
  <si>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</si>
  <si>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</si>
  <si>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</si>
  <si>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</si>
  <si>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</si>
  <si>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</si>
  <si>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</si>
  <si>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</si>
  <si>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</si>
  <si>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</si>
  <si>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</si>
  <si>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</si>
  <si>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</si>
  <si>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</si>
  <si>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</si>
  <si>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</si>
  <si>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</si>
  <si>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</si>
  <si>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</si>
  <si>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</si>
  <si>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</si>
  <si>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</si>
  <si>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</si>
  <si>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</si>
  <si>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</si>
  <si>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</si>
  <si>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</si>
  <si>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</si>
  <si>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</si>
  <si>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</si>
  <si>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</si>
  <si>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</si>
  <si>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</si>
  <si>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</si>
  <si>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</si>
  <si>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</si>
  <si>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</si>
  <si>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</si>
  <si>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</si>
  <si>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</si>
  <si>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</si>
  <si>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</si>
  <si>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</si>
  <si>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</si>
  <si>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</si>
  <si>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</si>
  <si>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</si>
  <si>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</si>
  <si>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</si>
  <si>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</si>
  <si>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</si>
  <si>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</si>
  <si>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</si>
  <si>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</si>
  <si>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 xml:space="preserve">BS </t>
  </si>
  <si>
    <t>CSS23</t>
  </si>
  <si>
    <t>1,460665.953,1100269.313,1189.368,1189.368,</t>
  </si>
  <si>
    <t>2,460653.437,1100252.219,1191.348,1191.348,</t>
  </si>
  <si>
    <t>3,460682.117,1100230.479,1193.247,1193.247,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</si>
</sst>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10.57</c:v>
                </c:pt>
                <c:pt idx="2">
                  <c:v>15.58</c:v>
                </c:pt>
                <c:pt idx="3">
                  <c:v>17.760000000000002</c:v>
                </c:pt>
                <c:pt idx="4">
                  <c:v>20.43</c:v>
                </c:pt>
                <c:pt idx="5">
                  <c:v>92.53</c:v>
                </c:pt>
                <c:pt idx="6">
                  <c:v>120.69</c:v>
                </c:pt>
                <c:pt idx="7">
                  <c:v>127.76</c:v>
                </c:pt>
                <c:pt idx="8">
                  <c:v>131.6</c:v>
                </c:pt>
                <c:pt idx="9">
                  <c:v>147.69</c:v>
                </c:pt>
                <c:pt idx="10">
                  <c:v>181.73</c:v>
                </c:pt>
                <c:pt idx="11">
                  <c:v>259</c:v>
                </c:pt>
                <c:pt idx="12">
                  <c:v>264.08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2.87</c:v>
                </c:pt>
                <c:pt idx="1">
                  <c:v>3.43</c:v>
                </c:pt>
                <c:pt idx="2">
                  <c:v>1.91</c:v>
                </c:pt>
                <c:pt idx="3">
                  <c:v>0.88</c:v>
                </c:pt>
                <c:pt idx="4">
                  <c:v>0.31</c:v>
                </c:pt>
                <c:pt idx="5">
                  <c:v>0</c:v>
                </c:pt>
                <c:pt idx="6">
                  <c:v>0.26</c:v>
                </c:pt>
                <c:pt idx="7">
                  <c:v>1</c:v>
                </c:pt>
                <c:pt idx="8">
                  <c:v>3.68</c:v>
                </c:pt>
                <c:pt idx="9">
                  <c:v>7.68</c:v>
                </c:pt>
                <c:pt idx="10">
                  <c:v>8.56</c:v>
                </c:pt>
                <c:pt idx="11">
                  <c:v>10.02</c:v>
                </c:pt>
                <c:pt idx="12">
                  <c:v>8.98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Calculations!$R$23:$R$35</c:f>
              <c:numCache>
                <c:formatCode>0.00</c:formatCode>
                <c:ptCount val="13"/>
                <c:pt idx="0">
                  <c:v>4.6041909055959707</c:v>
                </c:pt>
                <c:pt idx="1">
                  <c:v>7.438591647305195</c:v>
                </c:pt>
                <c:pt idx="2">
                  <c:v>8.7312386747458266</c:v>
                </c:pt>
                <c:pt idx="3">
                  <c:v>9.2855201245988415</c:v>
                </c:pt>
                <c:pt idx="4">
                  <c:v>9.9638598328375192</c:v>
                </c:pt>
                <c:pt idx="5">
                  <c:v>29.197911415737455</c:v>
                </c:pt>
                <c:pt idx="6">
                  <c:v>36.810869230046293</c:v>
                </c:pt>
                <c:pt idx="7">
                  <c:v>38.535995460028573</c:v>
                </c:pt>
                <c:pt idx="8">
                  <c:v>39.567280309579751</c:v>
                </c:pt>
                <c:pt idx="9">
                  <c:v>43.936566226827871</c:v>
                </c:pt>
                <c:pt idx="10">
                  <c:v>52.924853932570485</c:v>
                </c:pt>
                <c:pt idx="11">
                  <c:v>-75.250978587609836</c:v>
                </c:pt>
                <c:pt idx="12">
                  <c:v>-76.129500994006449</c:v>
                </c:pt>
              </c:numCache>
            </c:numRef>
          </c:xVal>
          <c:yVal>
            <c:numRef>
              <c:f>Calculations!$S$23:$S$35</c:f>
              <c:numCache>
                <c:formatCode>0.00</c:formatCode>
                <c:ptCount val="13"/>
                <c:pt idx="0">
                  <c:v>2.9986895975935486</c:v>
                </c:pt>
                <c:pt idx="1">
                  <c:v>4.7690607331918837</c:v>
                </c:pt>
                <c:pt idx="2">
                  <c:v>5.7782703661369821</c:v>
                </c:pt>
                <c:pt idx="3">
                  <c:v>6.2482192969984736</c:v>
                </c:pt>
                <c:pt idx="4">
                  <c:v>6.8261361453659077</c:v>
                </c:pt>
                <c:pt idx="5">
                  <c:v>19.255255111440842</c:v>
                </c:pt>
                <c:pt idx="6">
                  <c:v>23.769156434250228</c:v>
                </c:pt>
                <c:pt idx="7">
                  <c:v>25.534017340061681</c:v>
                </c:pt>
                <c:pt idx="8">
                  <c:v>26.170170203191795</c:v>
                </c:pt>
                <c:pt idx="9">
                  <c:v>28.688254706729129</c:v>
                </c:pt>
                <c:pt idx="10">
                  <c:v>34.872735338476922</c:v>
                </c:pt>
                <c:pt idx="11">
                  <c:v>-5.3917419179745405</c:v>
                </c:pt>
                <c:pt idx="12">
                  <c:v>-7.8786655850015963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1100271.5681573574</c:v>
                </c:pt>
                <c:pt idx="3">
                  <c:v>1100274.6559955429</c:v>
                </c:pt>
                <c:pt idx="4">
                  <c:v>1100276.1192759471</c:v>
                </c:pt>
                <c:pt idx="5">
                  <c:v>1100276.7568726363</c:v>
                </c:pt>
                <c:pt idx="6">
                  <c:v>1100277.5379346749</c:v>
                </c:pt>
                <c:pt idx="7">
                  <c:v>1100298.6051337726</c:v>
                </c:pt>
                <c:pt idx="8">
                  <c:v>1100306.8330192997</c:v>
                </c:pt>
                <c:pt idx="9">
                  <c:v>1100308.8998878957</c:v>
                </c:pt>
                <c:pt idx="10">
                  <c:v>1100310.0212056246</c:v>
                </c:pt>
                <c:pt idx="11">
                  <c:v>1100314.7236208189</c:v>
                </c:pt>
                <c:pt idx="12">
                  <c:v>1100324.6711807824</c:v>
                </c:pt>
                <c:pt idx="13">
                  <c:v>1100195.8894406597</c:v>
                </c:pt>
                <c:pt idx="14">
                  <c:v>1100194.4036731678</c:v>
                </c:pt>
                <c:pt idx="15">
                  <c:v>#N/A</c:v>
                </c:pt>
                <c:pt idx="16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460676.86609424761</c:v>
                </c:pt>
                <c:pt idx="3">
                  <c:v>460677.78257954371</c:v>
                </c:pt>
                <c:pt idx="4">
                  <c:v>460678.21688823926</c:v>
                </c:pt>
                <c:pt idx="5">
                  <c:v>460678.40613001795</c:v>
                </c:pt>
                <c:pt idx="6">
                  <c:v>460678.63795300567</c:v>
                </c:pt>
                <c:pt idx="7">
                  <c:v>460684.89079950959</c:v>
                </c:pt>
                <c:pt idx="8">
                  <c:v>460687.33287569706</c:v>
                </c:pt>
                <c:pt idx="9">
                  <c:v>460687.94633228495</c:v>
                </c:pt>
                <c:pt idx="10">
                  <c:v>460688.27914480586</c:v>
                </c:pt>
                <c:pt idx="11">
                  <c:v>460689.67484436097</c:v>
                </c:pt>
                <c:pt idx="12">
                  <c:v>460692.62732823181</c:v>
                </c:pt>
                <c:pt idx="13">
                  <c:v>460654.40428539814</c:v>
                </c:pt>
                <c:pt idx="14">
                  <c:v>460653.96330242627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52"/>
        <c:axId val="148318464"/>
      </c:scatterChart>
      <c:valAx>
        <c:axId val="14832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18464"/>
        <c:crosses val="autoZero"/>
        <c:crossBetween val="midCat"/>
      </c:valAx>
      <c:valAx>
        <c:axId val="1483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711321</xdr:colOff>
      <xdr:row>42</xdr:row>
      <xdr:rowOff>179779</xdr:rowOff>
    </xdr:from>
    <xdr:to>
      <xdr:col>34</xdr:col>
      <xdr:colOff>279892</xdr:colOff>
      <xdr:row>57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78442</xdr:colOff>
      <xdr:row>43</xdr:row>
      <xdr:rowOff>65017</xdr:rowOff>
    </xdr:from>
    <xdr:to>
      <xdr:col>21</xdr:col>
      <xdr:colOff>26571</xdr:colOff>
      <xdr:row>57</xdr:row>
      <xdr:rowOff>141217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134470</xdr:colOff>
      <xdr:row>43</xdr:row>
      <xdr:rowOff>62753</xdr:rowOff>
    </xdr:from>
    <xdr:to>
      <xdr:col>27</xdr:col>
      <xdr:colOff>347382</xdr:colOff>
      <xdr:row>57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87</v>
      </c>
      <c r="B1" s="61"/>
      <c r="C1" s="51">
        <v>40826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1.397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0.29680483271360708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1100269.3130000001</v>
      </c>
      <c r="O4" s="20">
        <f>VALUE(MID(C10,FIND(",",C10,1)+1,FIND(",",C10,5)-FIND(",",C10,1)-1))</f>
        <v>460665.95299999998</v>
      </c>
      <c r="P4" s="20">
        <f>VALUE(MID(C10,FIND(",",C10,17)+1,FIND(",",C10,27)-FIND(",",C10,17)-1))</f>
        <v>1189.3679999999999</v>
      </c>
      <c r="Q4" s="23"/>
      <c r="R4" s="22"/>
      <c r="W4" s="27"/>
      <c r="X4" s="20">
        <f ca="1">VALUE(OFFSET($P$3,MATCH($O$10,$M$4:$M$6,0),0))</f>
        <v>1191.348</v>
      </c>
      <c r="Y4" s="20">
        <f ca="1">OFFSET($P$3,MATCH($Q$10,$M$4:$M$6,0),0)</f>
        <v>1193.2470000000001</v>
      </c>
      <c r="Z4" s="2"/>
      <c r="AA4" s="26" t="s">
        <v>41</v>
      </c>
      <c r="AB4" s="26" t="s">
        <v>54</v>
      </c>
      <c r="AC4" s="28">
        <f ca="1">INTERCEPT(yB,xB)</f>
        <v>134110.94736776501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1100252.219</v>
      </c>
      <c r="O5" s="20">
        <f t="shared" ref="O5:O6" si="1">VALUE(MID(C11,FIND(",",C11,1)+1,FIND(",",C11,5)-FIND(",",C11,1)-1))</f>
        <v>460653.43699999998</v>
      </c>
      <c r="P5" s="20">
        <f t="shared" ref="P5:P6" si="2">VALUE(MID(C11,FIND(",",C11,17)+1,FIND(",",C11,27)-FIND(",",C11,17)-1))</f>
        <v>1191.348</v>
      </c>
      <c r="Q5" s="24">
        <f>DEGREES(ATAN2(Old_Y1-Old_Y0,Old_X1-Old_X0))+IF(Old_X1-Old_X0&lt;0,360)</f>
        <v>233.78890662818802</v>
      </c>
      <c r="R5" s="22"/>
      <c r="W5" s="21"/>
      <c r="X5" s="20">
        <f ca="1">VALUE(OFFSET($V$20,MATCH($O11,$A$21:$A$51,0),0))</f>
        <v>1190.302977637408</v>
      </c>
      <c r="Y5" s="20">
        <f ca="1">OFFSET($V$20,MATCH($Q11,$A$21:$A$51,0),0)</f>
        <v>1190.1691250230272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1100230.4790000001</v>
      </c>
      <c r="O6" s="20">
        <f t="shared" si="1"/>
        <v>460682.11700000003</v>
      </c>
      <c r="P6" s="20">
        <f t="shared" si="2"/>
        <v>1193.2470000000001</v>
      </c>
      <c r="Q6" s="24">
        <f>DEGREES(ATAN2(Old_Y2-Old_Y0,Old_X2-Old_X0))+IF(Old_X2-Old_X0&lt;0,360)</f>
        <v>292.59869970611555</v>
      </c>
      <c r="R6" s="22"/>
      <c r="W6" s="21"/>
      <c r="X6" s="20">
        <f ca="1">VALUE(OFFSET($V$20,MATCH($O12,$A$21:$A$61,0),0))</f>
        <v>1190.2979419708317</v>
      </c>
      <c r="Y6" s="20">
        <f ca="1">VALUE(OFFSET($V$20,MATCH($O12,$A$21:$A$61,0),0))</f>
        <v>1190.2979419708317</v>
      </c>
      <c r="Z6" s="5"/>
      <c r="AA6" s="26" t="s">
        <v>42</v>
      </c>
      <c r="AB6" s="21" t="s">
        <v>55</v>
      </c>
      <c r="AC6" s="20">
        <f ca="1">-1/mA</f>
        <v>-3.3692173771473595</v>
      </c>
    </row>
    <row r="7" spans="1:29" x14ac:dyDescent="0.25">
      <c r="A7" s="62" t="s">
        <v>18</v>
      </c>
      <c r="B7" s="62"/>
      <c r="C7" s="38">
        <v>15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-1.0450223625919079</v>
      </c>
      <c r="Y8" s="20">
        <f ca="1">Y5-Y4</f>
        <v>-3.0778749769729075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-1.0500580291682127</v>
      </c>
      <c r="Y9" s="20">
        <f ca="1">Y6-Y4</f>
        <v>-2.9490580291683273</v>
      </c>
      <c r="AA9" s="31" t="s">
        <v>49</v>
      </c>
      <c r="AB9" s="31"/>
      <c r="AC9" s="20">
        <f ca="1">AVERAGE(DfromL)</f>
        <v>5.3799592845045456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233.78890662818802</v>
      </c>
      <c r="Q10" s="32">
        <v>2</v>
      </c>
      <c r="R10" s="20">
        <f ca="1">OFFSET($Q$3,MATCH($O$10,$M$4:$M$6,0),0)</f>
        <v>233.78890662818802</v>
      </c>
      <c r="W10" s="22"/>
      <c r="X10" s="22"/>
      <c r="Y10" s="22"/>
      <c r="AA10" s="31" t="s">
        <v>50</v>
      </c>
      <c r="AB10" s="31"/>
      <c r="AC10" s="20">
        <f ca="1">_xlfn.STDEV.P(DfromL)</f>
        <v>2.2666154417586664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58.869444444444454</v>
      </c>
      <c r="W11" s="21" t="s">
        <v>37</v>
      </c>
      <c r="X11" s="20">
        <f ca="1">AVERAGE(X8:Y9)</f>
        <v>-2.0305033494753388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F12" s="47"/>
      <c r="M12" s="55" t="s">
        <v>30</v>
      </c>
      <c r="N12" s="55"/>
      <c r="O12" s="32">
        <v>17</v>
      </c>
      <c r="P12" s="20">
        <f ca="1">OFFSET($N$20,MATCH($O12,$A$21:$A$61,0),0)</f>
        <v>359.92055555555555</v>
      </c>
      <c r="Q12" s="32">
        <v>16</v>
      </c>
      <c r="R12" s="20">
        <f ca="1">OFFSET($N$20,MATCH($Q12,$A$21:$A$51,0),0)</f>
        <v>58.866666666666674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1186.0148450093495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233.78918440596581</v>
      </c>
      <c r="Q14" s="20"/>
      <c r="R14" s="20">
        <f ca="1">R10-R11+IF(R11&gt;R10,360)</f>
        <v>174.91946218374358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233.86835107263246</v>
      </c>
      <c r="Q15" s="20"/>
      <c r="R15" s="20">
        <f ca="1">R10-R12+IF(R12&gt;R10,360)</f>
        <v>174.92223996152134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204.37480940596581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3.6348495370370366</v>
      </c>
      <c r="D21" s="44">
        <v>21.361999999999998</v>
      </c>
      <c r="E21" s="44">
        <v>1.492</v>
      </c>
      <c r="F21" s="49" t="s">
        <v>85</v>
      </c>
      <c r="G21" s="43">
        <f>C21*24</f>
        <v>87.236388888888882</v>
      </c>
      <c r="H21" s="43">
        <f>RADIANS(G21)</f>
        <v>1.5225622136613088</v>
      </c>
      <c r="I21" s="43">
        <f t="shared" ref="I21:I34" si="3">B21*24</f>
        <v>359.9997222222222</v>
      </c>
      <c r="J21" s="39">
        <f>RADIANS(I21)</f>
        <v>6.2831804590427751</v>
      </c>
      <c r="K21" s="39">
        <f>D21*SIN(H21)</f>
        <v>21.337155154013363</v>
      </c>
      <c r="L21" s="15">
        <f>D21*COS(H21)</f>
        <v>1.0299776374081893</v>
      </c>
      <c r="M21" s="13"/>
      <c r="N21" s="16">
        <f t="shared" ref="N21:N34" si="4">I21+M21</f>
        <v>359.9997222222222</v>
      </c>
      <c r="O21" s="16">
        <f ca="1">$O$17</f>
        <v>204.37480940596581</v>
      </c>
      <c r="P21" s="16">
        <f ca="1">SUM(N21,O21)</f>
        <v>564.37453162818804</v>
      </c>
      <c r="Q21" s="16">
        <f ca="1">RADIANS(P21)</f>
        <v>9.8501937913127549</v>
      </c>
      <c r="R21" s="16">
        <f t="shared" ref="R21:R34" ca="1" si="5">K21*SIN(Q21)</f>
        <v>-8.8058350518709503</v>
      </c>
      <c r="S21" s="16">
        <f t="shared" ref="S21:S34" ca="1" si="6">K21*COS(Q21)</f>
        <v>-19.435314741616097</v>
      </c>
      <c r="T21" s="13">
        <f t="shared" ref="T21:T34" ca="1" si="7">Old_X0+R21</f>
        <v>1100260.5071649482</v>
      </c>
      <c r="U21" s="13">
        <f t="shared" ref="U21:U34" ca="1" si="8">Old_Y0+S21</f>
        <v>460646.51768525835</v>
      </c>
      <c r="V21" s="16">
        <f t="shared" ref="V21:V34" si="9">Old_Z0+HI+L21-E21</f>
        <v>1190.302977637408</v>
      </c>
      <c r="W21" s="16">
        <f t="shared" ref="W21:W34" ca="1" si="10">IF(ISNUMBER(T21),V21+dZ,"")</f>
        <v>1188.2724742879327</v>
      </c>
      <c r="X21" s="16" t="str">
        <f>IF(AND(A21&gt;=CS_Start,A21&lt;=CS_End),IF(OR(LEFT(UPPER(F21))="D"),"",T21),"")</f>
        <v/>
      </c>
      <c r="Y21" s="16" t="str">
        <f>IF(ISNUMBER(X21),U21,"")</f>
        <v/>
      </c>
      <c r="Z21" s="16" t="e">
        <f>IF(X21="",NA(),VALUE((-mB*X21+Y21-bA)/(mA-mB)))</f>
        <v>#N/A</v>
      </c>
      <c r="AA21" s="16" t="e">
        <f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1">IF(ISNUMBER(Z21),SQRT(($Z21-OFFSET($Z$20,MATCH(CS_Start,$A$21:$A$51,0),0))^2+($AA21-OFFSET($AA$20,MATCH(CS_Start,$A$21:$A$51,0),0))^2),"")</f>
        <v/>
      </c>
      <c r="AD21" s="16" t="str">
        <f t="shared" ref="AD21:AD23" si="12">IF(ISNUMBER(X21),W21-Min_Z,"")</f>
        <v/>
      </c>
    </row>
    <row r="22" spans="1:36" x14ac:dyDescent="0.25">
      <c r="A22" s="44">
        <v>2</v>
      </c>
      <c r="B22" s="48">
        <v>2.4528935185185188</v>
      </c>
      <c r="C22" s="48">
        <v>3.7003009259259261</v>
      </c>
      <c r="D22" s="44">
        <v>43.048999999999999</v>
      </c>
      <c r="E22" s="44">
        <v>1.492</v>
      </c>
      <c r="F22" s="49" t="s">
        <v>86</v>
      </c>
      <c r="G22" s="43">
        <f t="shared" ref="G22:G34" si="13">C22*24</f>
        <v>88.807222222222222</v>
      </c>
      <c r="H22" s="43">
        <f t="shared" ref="H22:H34" si="14">RADIANS(G22)</f>
        <v>1.549978427328053</v>
      </c>
      <c r="I22" s="43">
        <f t="shared" si="3"/>
        <v>58.869444444444454</v>
      </c>
      <c r="J22" s="39">
        <f t="shared" ref="J22:J34" si="15">RADIANS(I22)</f>
        <v>1.0274656343754398</v>
      </c>
      <c r="K22" s="39">
        <f t="shared" ref="K22:K34" si="16">D22*SIN(H22)</f>
        <v>43.039671942791387</v>
      </c>
      <c r="L22" s="15">
        <f t="shared" ref="L22:L34" si="17">D22*COS(H22)</f>
        <v>0.89612502302730268</v>
      </c>
      <c r="M22" s="13"/>
      <c r="N22" s="16">
        <f t="shared" si="4"/>
        <v>58.869444444444454</v>
      </c>
      <c r="O22" s="16">
        <f t="shared" ref="O22:O44" ca="1" si="18">$O$17</f>
        <v>204.37480940596581</v>
      </c>
      <c r="P22" s="16">
        <f t="shared" ref="P22:P34" ca="1" si="19">SUM(N22,O22)</f>
        <v>263.24425385041025</v>
      </c>
      <c r="Q22" s="16">
        <f t="shared" ref="Q22:Q34" ca="1" si="20">RADIANS(P22)</f>
        <v>4.5944789666454193</v>
      </c>
      <c r="R22" s="16">
        <f t="shared" ca="1" si="5"/>
        <v>-42.74083304888088</v>
      </c>
      <c r="S22" s="16">
        <f t="shared" ca="1" si="6"/>
        <v>-5.063057498270779</v>
      </c>
      <c r="T22" s="13">
        <f t="shared" ca="1" si="7"/>
        <v>1100226.5721669511</v>
      </c>
      <c r="U22" s="13">
        <f t="shared" ca="1" si="8"/>
        <v>460660.88994250173</v>
      </c>
      <c r="V22" s="16">
        <f t="shared" si="9"/>
        <v>1190.1691250230272</v>
      </c>
      <c r="W22" s="16">
        <f t="shared" ca="1" si="10"/>
        <v>1188.1386216735518</v>
      </c>
      <c r="X22" s="47" t="str">
        <f>IF(AND(A22&gt;=CS_Start,A22&lt;=CS_End),IF(OR(LEFT(UPPER(F22))="D"),"",T22),"")</f>
        <v/>
      </c>
      <c r="Y22" s="47" t="str">
        <f t="shared" ref="Y22:Y37" si="21">IF(ISNUMBER(X22),U22,"")</f>
        <v/>
      </c>
      <c r="Z22" s="47" t="e">
        <f>IF(X22="",NA(),VALUE((-mB*X22+Y22-bA)/(mA-mB)))</f>
        <v>#N/A</v>
      </c>
      <c r="AA22" s="47" t="e">
        <f>IF(ISNA(Z22),NA(),VALUE(mA*Z22+bA))</f>
        <v>#N/A</v>
      </c>
      <c r="AB22" s="16" t="str">
        <f t="shared" ref="AB22:AB23" si="22">IF(ISNUMBER(X22),SQRT((X22-Z22)^2+(Y22-AA22)^2),"")</f>
        <v/>
      </c>
      <c r="AC22" s="16" t="str">
        <f t="shared" ca="1" si="11"/>
        <v/>
      </c>
      <c r="AD22" s="16" t="str">
        <f t="shared" si="12"/>
        <v/>
      </c>
    </row>
    <row r="23" spans="1:36" x14ac:dyDescent="0.25">
      <c r="A23" s="44">
        <v>3</v>
      </c>
      <c r="B23" s="48">
        <v>8.8562152777777783</v>
      </c>
      <c r="C23" s="48">
        <v>3.9035995370370369</v>
      </c>
      <c r="D23" s="44">
        <v>5.5060000000000002</v>
      </c>
      <c r="E23" s="44">
        <v>1.492</v>
      </c>
      <c r="F23" s="44"/>
      <c r="G23" s="43">
        <f t="shared" si="13"/>
        <v>93.686388888888885</v>
      </c>
      <c r="H23" s="43">
        <f t="shared" si="14"/>
        <v>1.635135950414943</v>
      </c>
      <c r="I23" s="43">
        <f t="shared" si="3"/>
        <v>212.54916666666668</v>
      </c>
      <c r="J23" s="39">
        <f t="shared" si="15"/>
        <v>3.7096827807035142</v>
      </c>
      <c r="K23" s="39">
        <f t="shared" si="16"/>
        <v>5.4946076473109891</v>
      </c>
      <c r="L23" s="15">
        <f t="shared" si="17"/>
        <v>-0.35400960737190101</v>
      </c>
      <c r="M23" s="13"/>
      <c r="N23" s="16">
        <f t="shared" si="4"/>
        <v>212.54916666666668</v>
      </c>
      <c r="O23" s="16">
        <f t="shared" ca="1" si="18"/>
        <v>204.37480940596581</v>
      </c>
      <c r="P23" s="16">
        <f t="shared" ca="1" si="19"/>
        <v>416.92397607263251</v>
      </c>
      <c r="Q23" s="16">
        <f t="shared" ca="1" si="20"/>
        <v>7.2766961129734948</v>
      </c>
      <c r="R23" s="16">
        <f t="shared" ca="1" si="5"/>
        <v>4.6041909055959707</v>
      </c>
      <c r="S23" s="16">
        <f t="shared" ca="1" si="6"/>
        <v>2.9986895975935486</v>
      </c>
      <c r="T23" s="13">
        <f t="shared" ca="1" si="7"/>
        <v>1100273.9171909057</v>
      </c>
      <c r="U23" s="13">
        <f t="shared" ca="1" si="8"/>
        <v>460668.95168959757</v>
      </c>
      <c r="V23" s="16">
        <f t="shared" si="9"/>
        <v>1188.9189903926281</v>
      </c>
      <c r="W23" s="16">
        <f t="shared" ca="1" si="10"/>
        <v>1186.8884870431527</v>
      </c>
      <c r="X23" s="47">
        <f ca="1">IF(AND(A23&gt;=CS_Start,A23&lt;=CS_End),IF(OR(LEFT(UPPER(F23))="D"),"",T23),"")</f>
        <v>1100273.9171909057</v>
      </c>
      <c r="Y23" s="47">
        <f t="shared" ca="1" si="21"/>
        <v>460668.95168959757</v>
      </c>
      <c r="Z23" s="47">
        <f ca="1">IF(X23="",NA(),VALUE((-mB*X23+Y23-bA)/(mA-mB)))</f>
        <v>1100271.5681573574</v>
      </c>
      <c r="AA23" s="47">
        <f ca="1">IF(ISNA(Z23),NA(),VALUE(mA*Z23+bA))</f>
        <v>460676.86609424761</v>
      </c>
      <c r="AB23" s="16">
        <f t="shared" ca="1" si="22"/>
        <v>8.2556501606784192</v>
      </c>
      <c r="AC23" s="16">
        <f t="shared" ca="1" si="11"/>
        <v>0</v>
      </c>
      <c r="AD23" s="16">
        <f t="shared" ca="1" si="12"/>
        <v>0.8736420338032076</v>
      </c>
      <c r="AE23" s="2">
        <f ca="1">ROUND(CONVERT(AC23,"m","ft"),2)</f>
        <v>0</v>
      </c>
      <c r="AF23" s="2">
        <f ca="1">ROUND(CONVERT(AD23,"m","ft"),2)</f>
        <v>2.87</v>
      </c>
      <c r="AH23" s="44">
        <v>0</v>
      </c>
      <c r="AI23" s="2">
        <f ca="1">OFFSET($AF$22,MATCH(AH23,$AE$23:$AE$59,0),0)</f>
        <v>2.87</v>
      </c>
      <c r="AJ23" s="2" t="str">
        <f t="shared" ref="AJ23:AJ31" ca="1" si="23">CONCATENATE(AH23,",",AI23)</f>
        <v>0,2.87</v>
      </c>
    </row>
    <row r="24" spans="1:36" x14ac:dyDescent="0.25">
      <c r="A24" s="44">
        <v>4</v>
      </c>
      <c r="B24" s="48">
        <v>8.8733449074074073</v>
      </c>
      <c r="C24" s="48">
        <v>3.7995601851851855</v>
      </c>
      <c r="D24" s="44">
        <v>8.8379999999999992</v>
      </c>
      <c r="E24" s="44">
        <v>1.492</v>
      </c>
      <c r="F24" s="44"/>
      <c r="G24" s="43">
        <f t="shared" si="13"/>
        <v>91.189444444444447</v>
      </c>
      <c r="H24" s="43">
        <f t="shared" si="14"/>
        <v>1.5915560486200069</v>
      </c>
      <c r="I24" s="43">
        <f t="shared" si="3"/>
        <v>212.96027777777778</v>
      </c>
      <c r="J24" s="39">
        <f t="shared" si="15"/>
        <v>3.7168580231839354</v>
      </c>
      <c r="K24" s="39">
        <f t="shared" si="16"/>
        <v>8.8360956294186472</v>
      </c>
      <c r="L24" s="15">
        <f t="shared" si="17"/>
        <v>-0.18346124323317131</v>
      </c>
      <c r="M24" s="13"/>
      <c r="N24" s="16">
        <f t="shared" si="4"/>
        <v>212.96027777777778</v>
      </c>
      <c r="O24" s="16">
        <f t="shared" ca="1" si="18"/>
        <v>204.37480940596581</v>
      </c>
      <c r="P24" s="16">
        <f t="shared" ca="1" si="19"/>
        <v>417.33508718374355</v>
      </c>
      <c r="Q24" s="16">
        <f t="shared" ca="1" si="20"/>
        <v>7.2838713554539147</v>
      </c>
      <c r="R24" s="16">
        <f t="shared" ca="1" si="5"/>
        <v>7.438591647305195</v>
      </c>
      <c r="S24" s="16">
        <f t="shared" ca="1" si="6"/>
        <v>4.7690607331918837</v>
      </c>
      <c r="T24" s="13">
        <f t="shared" ca="1" si="7"/>
        <v>1100276.7515916473</v>
      </c>
      <c r="U24" s="13">
        <f t="shared" ca="1" si="8"/>
        <v>460670.72206073318</v>
      </c>
      <c r="V24" s="16">
        <f t="shared" si="9"/>
        <v>1189.0895387567668</v>
      </c>
      <c r="W24" s="16">
        <f t="shared" ca="1" si="10"/>
        <v>1187.0590354072915</v>
      </c>
      <c r="X24" s="47">
        <f ca="1">IF(AND(A24&gt;=CS_Start,A24&lt;=CS_End),IF(OR(LEFT(UPPER(F24))="D"),"",T24),"")</f>
        <v>1100276.7515916473</v>
      </c>
      <c r="Y24" s="47">
        <f t="shared" ca="1" si="21"/>
        <v>460670.72206073318</v>
      </c>
      <c r="Z24" s="47">
        <f ca="1">IF(X24="",NA(),VALUE((-mB*X24+Y24-bA)/(mA-mB)))</f>
        <v>1100274.6559955429</v>
      </c>
      <c r="AA24" s="47">
        <f ca="1">IF(ISNA(Z24),NA(),VALUE(mA*Z24+bA))</f>
        <v>460677.78257954371</v>
      </c>
      <c r="AB24" s="47">
        <f t="shared" ref="AB24:AB34" ca="1" si="24">IF(ISNUMBER(X24),SQRT((X24-Z24)^2+(Y24-AA24)^2),"")</f>
        <v>7.3649473118644204</v>
      </c>
      <c r="AC24" s="47">
        <f t="shared" ref="AC24:AC34" ca="1" si="25">IF(ISNUMBER(Z24),SQRT(($Z24-OFFSET($Z$20,MATCH(CS_Start,$A$21:$A$51,0),0))^2+($AA24-OFFSET($AA$20,MATCH(CS_Start,$A$21:$A$51,0),0))^2),"")</f>
        <v>3.2209765534234274</v>
      </c>
      <c r="AD24" s="47">
        <f t="shared" ref="AD24:AD34" ca="1" si="26">IF(ISNUMBER(X24),W24-Min_Z,"")</f>
        <v>1.0441903979419749</v>
      </c>
      <c r="AE24" s="44">
        <f t="shared" ref="AE24:AE34" ca="1" si="27">ROUND(CONVERT(AC24,"m","ft"),2)</f>
        <v>10.57</v>
      </c>
      <c r="AF24" s="44">
        <f t="shared" ref="AF24:AF34" ca="1" si="28">ROUND(CONVERT(AD24,"m","ft"),2)</f>
        <v>3.43</v>
      </c>
      <c r="AH24" s="44">
        <v>10.57</v>
      </c>
      <c r="AI24" s="44">
        <f t="shared" ref="AI24:AI31" ca="1" si="29">OFFSET($AF$22,MATCH(AH24,$AE$23:$AE$59,0),0)</f>
        <v>3.43</v>
      </c>
      <c r="AJ24" s="2" t="str">
        <f t="shared" ca="1" si="23"/>
        <v>10.57,3.43</v>
      </c>
    </row>
    <row r="25" spans="1:36" x14ac:dyDescent="0.25">
      <c r="A25" s="44">
        <v>5</v>
      </c>
      <c r="B25" s="48">
        <v>8.838703703703704</v>
      </c>
      <c r="C25" s="48">
        <v>3.8970833333333332</v>
      </c>
      <c r="D25" s="44">
        <v>10.49</v>
      </c>
      <c r="E25" s="44">
        <v>1.492</v>
      </c>
      <c r="F25" s="44"/>
      <c r="G25" s="43">
        <f t="shared" si="13"/>
        <v>93.53</v>
      </c>
      <c r="H25" s="43">
        <f t="shared" si="14"/>
        <v>1.6324064493902966</v>
      </c>
      <c r="I25" s="43">
        <f t="shared" si="3"/>
        <v>212.12888888888889</v>
      </c>
      <c r="J25" s="39">
        <f t="shared" si="15"/>
        <v>3.7023475497083269</v>
      </c>
      <c r="K25" s="39">
        <f t="shared" si="16"/>
        <v>10.470097287969873</v>
      </c>
      <c r="L25" s="15">
        <f t="shared" si="17"/>
        <v>-0.64588139812655709</v>
      </c>
      <c r="M25" s="13"/>
      <c r="N25" s="16">
        <f t="shared" si="4"/>
        <v>212.12888888888889</v>
      </c>
      <c r="O25" s="16">
        <f t="shared" ca="1" si="18"/>
        <v>204.37480940596581</v>
      </c>
      <c r="P25" s="16">
        <f t="shared" ca="1" si="19"/>
        <v>416.5036982948547</v>
      </c>
      <c r="Q25" s="16">
        <f t="shared" ca="1" si="20"/>
        <v>7.2693608819783071</v>
      </c>
      <c r="R25" s="16">
        <f t="shared" ca="1" si="5"/>
        <v>8.7312386747458266</v>
      </c>
      <c r="S25" s="16">
        <f t="shared" ca="1" si="6"/>
        <v>5.7782703661369821</v>
      </c>
      <c r="T25" s="13">
        <f t="shared" ca="1" si="7"/>
        <v>1100278.0442386749</v>
      </c>
      <c r="U25" s="13">
        <f t="shared" ca="1" si="8"/>
        <v>460671.73127036612</v>
      </c>
      <c r="V25" s="16">
        <f t="shared" si="9"/>
        <v>1188.6271186018735</v>
      </c>
      <c r="W25" s="16">
        <f t="shared" ca="1" si="10"/>
        <v>1186.5966152523981</v>
      </c>
      <c r="X25" s="47">
        <f ca="1">IF(AND(A25&gt;=CS_Start,A25&lt;=CS_End),IF(OR(LEFT(UPPER(F25))="D"),"",T25),"")</f>
        <v>1100278.0442386749</v>
      </c>
      <c r="Y25" s="47">
        <f t="shared" ca="1" si="21"/>
        <v>460671.73127036612</v>
      </c>
      <c r="Z25" s="47">
        <f ca="1">IF(X25="",NA(),VALUE((-mB*X25+Y25-bA)/(mA-mB)))</f>
        <v>1100276.1192759471</v>
      </c>
      <c r="AA25" s="47">
        <f ca="1">IF(ISNA(Z25),NA(),VALUE(mA*Z25+bA))</f>
        <v>460678.21688823926</v>
      </c>
      <c r="AB25" s="47">
        <f t="shared" ca="1" si="24"/>
        <v>6.765258361653018</v>
      </c>
      <c r="AC25" s="47">
        <f t="shared" ca="1" si="25"/>
        <v>4.7473492419899177</v>
      </c>
      <c r="AD25" s="47">
        <f t="shared" ca="1" si="26"/>
        <v>0.58177024304859515</v>
      </c>
      <c r="AE25" s="44">
        <f t="shared" ca="1" si="27"/>
        <v>15.58</v>
      </c>
      <c r="AF25" s="44">
        <f t="shared" ca="1" si="28"/>
        <v>1.91</v>
      </c>
      <c r="AH25" s="44">
        <v>15.58</v>
      </c>
      <c r="AI25" s="44">
        <f t="shared" ca="1" si="29"/>
        <v>1.91</v>
      </c>
      <c r="AJ25" s="2" t="str">
        <f t="shared" ca="1" si="23"/>
        <v>15.58,1.91</v>
      </c>
    </row>
    <row r="26" spans="1:36" x14ac:dyDescent="0.25">
      <c r="A26" s="44">
        <v>6</v>
      </c>
      <c r="B26" s="48">
        <v>8.8203587962962953</v>
      </c>
      <c r="C26" s="48">
        <v>3.9540046296296296</v>
      </c>
      <c r="D26" s="44">
        <v>11.233000000000001</v>
      </c>
      <c r="E26" s="44">
        <v>1.492</v>
      </c>
      <c r="F26" s="49" t="s">
        <v>84</v>
      </c>
      <c r="G26" s="43">
        <f t="shared" si="13"/>
        <v>94.896111111111111</v>
      </c>
      <c r="H26" s="43">
        <f t="shared" si="14"/>
        <v>1.6562495862272635</v>
      </c>
      <c r="I26" s="43">
        <f t="shared" si="3"/>
        <v>211.68861111111107</v>
      </c>
      <c r="J26" s="39">
        <f t="shared" si="15"/>
        <v>3.6946632528627399</v>
      </c>
      <c r="K26" s="39">
        <f t="shared" si="16"/>
        <v>11.192011810559984</v>
      </c>
      <c r="L26" s="15">
        <f t="shared" si="17"/>
        <v>-0.95872865414871522</v>
      </c>
      <c r="M26" s="13"/>
      <c r="N26" s="16">
        <f t="shared" si="4"/>
        <v>211.68861111111107</v>
      </c>
      <c r="O26" s="16">
        <f t="shared" ca="1" si="18"/>
        <v>204.37480940596581</v>
      </c>
      <c r="P26" s="16">
        <f t="shared" ca="1" si="19"/>
        <v>416.06342051707691</v>
      </c>
      <c r="Q26" s="16">
        <f t="shared" ca="1" si="20"/>
        <v>7.2616765851327205</v>
      </c>
      <c r="R26" s="16">
        <f t="shared" ca="1" si="5"/>
        <v>9.2855201245988415</v>
      </c>
      <c r="S26" s="16">
        <f t="shared" ca="1" si="6"/>
        <v>6.2482192969984736</v>
      </c>
      <c r="T26" s="13">
        <f t="shared" ca="1" si="7"/>
        <v>1100278.5985201248</v>
      </c>
      <c r="U26" s="13">
        <f t="shared" ca="1" si="8"/>
        <v>460672.20121929696</v>
      </c>
      <c r="V26" s="16">
        <f t="shared" si="9"/>
        <v>1188.3142713458512</v>
      </c>
      <c r="W26" s="16">
        <f t="shared" ca="1" si="10"/>
        <v>1186.2837679963759</v>
      </c>
      <c r="X26" s="47">
        <f ca="1">IF(AND(A26&gt;=CS_Start,A26&lt;=CS_End),IF(OR(LEFT(UPPER(F26))="D"),"",T26),"")</f>
        <v>1100278.5985201248</v>
      </c>
      <c r="Y26" s="47">
        <f t="shared" ca="1" si="21"/>
        <v>460672.20121929696</v>
      </c>
      <c r="Z26" s="47">
        <f ca="1">IF(X26="",NA(),VALUE((-mB*X26+Y26-bA)/(mA-mB)))</f>
        <v>1100276.7568726363</v>
      </c>
      <c r="AA26" s="47">
        <f ca="1">IF(ISNA(Z26),NA(),VALUE(mA*Z26+bA))</f>
        <v>460678.40613001795</v>
      </c>
      <c r="AB26" s="47">
        <f t="shared" ca="1" si="24"/>
        <v>6.4724479547898168</v>
      </c>
      <c r="AC26" s="47">
        <f t="shared" ca="1" si="25"/>
        <v>5.4124371977029542</v>
      </c>
      <c r="AD26" s="47">
        <f t="shared" ca="1" si="26"/>
        <v>0.26892298702637163</v>
      </c>
      <c r="AE26" s="44">
        <f t="shared" ca="1" si="27"/>
        <v>17.760000000000002</v>
      </c>
      <c r="AF26" s="44">
        <f t="shared" ca="1" si="28"/>
        <v>0.88</v>
      </c>
      <c r="AH26" s="44">
        <v>17.760000000000002</v>
      </c>
      <c r="AI26" s="44">
        <f t="shared" ca="1" si="29"/>
        <v>0.88</v>
      </c>
      <c r="AJ26" s="2" t="str">
        <f t="shared" ca="1" si="23"/>
        <v>17.76,0.88</v>
      </c>
    </row>
    <row r="27" spans="1:36" x14ac:dyDescent="0.25">
      <c r="A27" s="44">
        <v>7</v>
      </c>
      <c r="B27" s="48">
        <v>8.8004398148148137</v>
      </c>
      <c r="C27" s="48">
        <v>3.9735416666666663</v>
      </c>
      <c r="D27" s="44">
        <v>12.131</v>
      </c>
      <c r="E27" s="44">
        <v>1.492</v>
      </c>
      <c r="F27" s="44"/>
      <c r="G27" s="43">
        <f t="shared" si="13"/>
        <v>95.364999999999995</v>
      </c>
      <c r="H27" s="43">
        <f t="shared" si="14"/>
        <v>1.6644332411643923</v>
      </c>
      <c r="I27" s="43">
        <f t="shared" si="3"/>
        <v>211.21055555555552</v>
      </c>
      <c r="J27" s="39">
        <f t="shared" si="15"/>
        <v>3.686319609410845</v>
      </c>
      <c r="K27" s="39">
        <f t="shared" si="16"/>
        <v>12.077857320050764</v>
      </c>
      <c r="L27" s="15">
        <f t="shared" si="17"/>
        <v>-1.1342502177633387</v>
      </c>
      <c r="M27" s="13"/>
      <c r="N27" s="16">
        <f t="shared" si="4"/>
        <v>211.21055555555552</v>
      </c>
      <c r="O27" s="16">
        <f t="shared" ca="1" si="18"/>
        <v>204.37480940596581</v>
      </c>
      <c r="P27" s="16">
        <f t="shared" ca="1" si="19"/>
        <v>415.58536496152135</v>
      </c>
      <c r="Q27" s="16">
        <f t="shared" ca="1" si="20"/>
        <v>7.2533329416808252</v>
      </c>
      <c r="R27" s="16">
        <f t="shared" ca="1" si="5"/>
        <v>9.9638598328375192</v>
      </c>
      <c r="S27" s="16">
        <f t="shared" ca="1" si="6"/>
        <v>6.8261361453659077</v>
      </c>
      <c r="T27" s="13">
        <f t="shared" ca="1" si="7"/>
        <v>1100279.2768598329</v>
      </c>
      <c r="U27" s="13">
        <f t="shared" ca="1" si="8"/>
        <v>460672.77913614537</v>
      </c>
      <c r="V27" s="16">
        <f t="shared" si="9"/>
        <v>1188.1387497822366</v>
      </c>
      <c r="W27" s="16">
        <f t="shared" ca="1" si="10"/>
        <v>1186.1082464327612</v>
      </c>
      <c r="X27" s="47">
        <f ca="1">IF(AND(A27&gt;=CS_Start,A27&lt;=CS_End),IF(OR(LEFT(UPPER(F27))="D"),"",T27),"")</f>
        <v>1100279.2768598329</v>
      </c>
      <c r="Y27" s="47">
        <f t="shared" ca="1" si="21"/>
        <v>460672.77913614537</v>
      </c>
      <c r="Z27" s="47">
        <f ca="1">IF(X27="",NA(),VALUE((-mB*X27+Y27-bA)/(mA-mB)))</f>
        <v>1100277.5379346749</v>
      </c>
      <c r="AA27" s="47">
        <f ca="1">IF(ISNA(Z27),NA(),VALUE(mA*Z27+bA))</f>
        <v>460678.63795300567</v>
      </c>
      <c r="AB27" s="47">
        <f t="shared" ca="1" si="24"/>
        <v>6.1114315596138029</v>
      </c>
      <c r="AC27" s="47">
        <f t="shared" ca="1" si="25"/>
        <v>6.2271763006093979</v>
      </c>
      <c r="AD27" s="47">
        <f t="shared" ca="1" si="26"/>
        <v>9.3401423411705764E-2</v>
      </c>
      <c r="AE27" s="44">
        <f t="shared" ca="1" si="27"/>
        <v>20.43</v>
      </c>
      <c r="AF27" s="44">
        <f t="shared" ca="1" si="28"/>
        <v>0.31</v>
      </c>
      <c r="AH27" s="44">
        <v>20.43</v>
      </c>
      <c r="AI27" s="44">
        <f t="shared" ca="1" si="29"/>
        <v>0.31</v>
      </c>
      <c r="AJ27" s="2" t="str">
        <f t="shared" ca="1" si="23"/>
        <v>20.43,0.31</v>
      </c>
    </row>
    <row r="28" spans="1:36" x14ac:dyDescent="0.25">
      <c r="A28" s="44">
        <v>8</v>
      </c>
      <c r="B28" s="48">
        <v>8.8425578703703707</v>
      </c>
      <c r="C28" s="48">
        <v>3.833761574074074</v>
      </c>
      <c r="D28" s="44">
        <v>34.997</v>
      </c>
      <c r="E28" s="44">
        <v>1.492</v>
      </c>
      <c r="F28" s="44"/>
      <c r="G28" s="43">
        <f t="shared" si="13"/>
        <v>92.010277777777773</v>
      </c>
      <c r="H28" s="43">
        <f t="shared" si="14"/>
        <v>1.6058822928967937</v>
      </c>
      <c r="I28" s="43">
        <f t="shared" si="3"/>
        <v>212.2213888888889</v>
      </c>
      <c r="J28" s="39">
        <f t="shared" si="15"/>
        <v>3.7039619792664218</v>
      </c>
      <c r="K28" s="39">
        <f t="shared" si="16"/>
        <v>34.975461118445892</v>
      </c>
      <c r="L28" s="15">
        <f t="shared" si="17"/>
        <v>-1.227651641174935</v>
      </c>
      <c r="M28" s="13"/>
      <c r="N28" s="16">
        <f t="shared" si="4"/>
        <v>212.2213888888889</v>
      </c>
      <c r="O28" s="16">
        <f t="shared" ca="1" si="18"/>
        <v>204.37480940596581</v>
      </c>
      <c r="P28" s="16">
        <f t="shared" ca="1" si="19"/>
        <v>416.59619829485473</v>
      </c>
      <c r="Q28" s="16">
        <f t="shared" ca="1" si="20"/>
        <v>7.270975311536402</v>
      </c>
      <c r="R28" s="16">
        <f t="shared" ca="1" si="5"/>
        <v>29.197911415737455</v>
      </c>
      <c r="S28" s="16">
        <f t="shared" ca="1" si="6"/>
        <v>19.255255111440842</v>
      </c>
      <c r="T28" s="13">
        <f t="shared" ca="1" si="7"/>
        <v>1100298.5109114158</v>
      </c>
      <c r="U28" s="13">
        <f t="shared" ca="1" si="8"/>
        <v>460685.20825511141</v>
      </c>
      <c r="V28" s="16">
        <f t="shared" si="9"/>
        <v>1188.0453483588249</v>
      </c>
      <c r="W28" s="16">
        <f t="shared" ca="1" si="10"/>
        <v>1186.0148450093495</v>
      </c>
      <c r="X28" s="47">
        <f ca="1">IF(AND(A28&gt;=CS_Start,A28&lt;=CS_End),IF(OR(LEFT(UPPER(F28))="D"),"",T28),"")</f>
        <v>1100298.5109114158</v>
      </c>
      <c r="Y28" s="47">
        <f t="shared" ca="1" si="21"/>
        <v>460685.20825511141</v>
      </c>
      <c r="Z28" s="47">
        <f ca="1">IF(X28="",NA(),VALUE((-mB*X28+Y28-bA)/(mA-mB)))</f>
        <v>1100298.6051337726</v>
      </c>
      <c r="AA28" s="47">
        <f ca="1">IF(ISNA(Z28),NA(),VALUE(mA*Z28+bA))</f>
        <v>460684.89079950959</v>
      </c>
      <c r="AB28" s="47">
        <f t="shared" ca="1" si="24"/>
        <v>0.33114334003216023</v>
      </c>
      <c r="AC28" s="47">
        <f t="shared" ca="1" si="25"/>
        <v>28.202730155388569</v>
      </c>
      <c r="AD28" s="47">
        <f t="shared" ca="1" si="26"/>
        <v>0</v>
      </c>
      <c r="AE28" s="44">
        <f t="shared" ca="1" si="27"/>
        <v>92.53</v>
      </c>
      <c r="AF28" s="44">
        <f t="shared" ca="1" si="28"/>
        <v>0</v>
      </c>
      <c r="AH28" s="44">
        <v>92.53</v>
      </c>
      <c r="AI28" s="44">
        <f t="shared" ca="1" si="29"/>
        <v>0</v>
      </c>
      <c r="AJ28" s="2" t="str">
        <f t="shared" ca="1" si="23"/>
        <v>92.53,0</v>
      </c>
    </row>
    <row r="29" spans="1:36" x14ac:dyDescent="0.25">
      <c r="A29" s="44">
        <v>9</v>
      </c>
      <c r="B29" s="48">
        <v>8.8656018518518511</v>
      </c>
      <c r="C29" s="48">
        <v>3.81255787037037</v>
      </c>
      <c r="D29" s="44">
        <v>43.832999999999998</v>
      </c>
      <c r="E29" s="44">
        <v>1.492</v>
      </c>
      <c r="F29" s="44"/>
      <c r="G29" s="43">
        <f t="shared" si="13"/>
        <v>91.501388888888883</v>
      </c>
      <c r="H29" s="43">
        <f t="shared" si="14"/>
        <v>1.5970005062588668</v>
      </c>
      <c r="I29" s="43">
        <f t="shared" si="3"/>
        <v>212.77444444444444</v>
      </c>
      <c r="J29" s="39">
        <f t="shared" si="15"/>
        <v>3.7136146196573123</v>
      </c>
      <c r="K29" s="39">
        <f t="shared" si="16"/>
        <v>43.817951698675145</v>
      </c>
      <c r="L29" s="15">
        <f t="shared" si="17"/>
        <v>-1.1484763526394037</v>
      </c>
      <c r="M29" s="13"/>
      <c r="N29" s="16">
        <f t="shared" si="4"/>
        <v>212.77444444444444</v>
      </c>
      <c r="O29" s="16">
        <f t="shared" ca="1" si="18"/>
        <v>204.37480940596581</v>
      </c>
      <c r="P29" s="16">
        <f t="shared" ca="1" si="19"/>
        <v>417.14925385041022</v>
      </c>
      <c r="Q29" s="16">
        <f t="shared" ca="1" si="20"/>
        <v>7.2806279519272916</v>
      </c>
      <c r="R29" s="16">
        <f t="shared" ca="1" si="5"/>
        <v>36.810869230046293</v>
      </c>
      <c r="S29" s="16">
        <f t="shared" ca="1" si="6"/>
        <v>23.769156434250228</v>
      </c>
      <c r="T29" s="13">
        <f t="shared" ca="1" si="7"/>
        <v>1100306.12386923</v>
      </c>
      <c r="U29" s="13">
        <f t="shared" ca="1" si="8"/>
        <v>460689.7221564342</v>
      </c>
      <c r="V29" s="16">
        <f t="shared" si="9"/>
        <v>1188.1245236473605</v>
      </c>
      <c r="W29" s="16">
        <f t="shared" ca="1" si="10"/>
        <v>1186.0940202978852</v>
      </c>
      <c r="X29" s="47">
        <f ca="1">IF(AND(A29&gt;=CS_Start,A29&lt;=CS_End),IF(OR(LEFT(UPPER(F29))="D"),"",T29),"")</f>
        <v>1100306.12386923</v>
      </c>
      <c r="Y29" s="47">
        <f t="shared" ca="1" si="21"/>
        <v>460689.7221564342</v>
      </c>
      <c r="Z29" s="47">
        <f ca="1">IF(X29="",NA(),VALUE((-mB*X29+Y29-bA)/(mA-mB)))</f>
        <v>1100306.8330192997</v>
      </c>
      <c r="AA29" s="47">
        <f ca="1">IF(ISNA(Z29),NA(),VALUE(mA*Z29+bA))</f>
        <v>460687.33287569706</v>
      </c>
      <c r="AB29" s="47">
        <f t="shared" ca="1" si="24"/>
        <v>2.4922993925574382</v>
      </c>
      <c r="AC29" s="47">
        <f t="shared" ca="1" si="25"/>
        <v>36.785377553013547</v>
      </c>
      <c r="AD29" s="47">
        <f t="shared" ca="1" si="26"/>
        <v>7.9175288535680011E-2</v>
      </c>
      <c r="AE29" s="44">
        <f t="shared" ca="1" si="27"/>
        <v>120.69</v>
      </c>
      <c r="AF29" s="44">
        <f t="shared" ca="1" si="28"/>
        <v>0.26</v>
      </c>
      <c r="AH29" s="44">
        <v>120.69</v>
      </c>
      <c r="AI29" s="44">
        <f t="shared" ca="1" si="29"/>
        <v>0.26</v>
      </c>
      <c r="AJ29" s="2" t="str">
        <f t="shared" ca="1" si="23"/>
        <v>120.69,0.26</v>
      </c>
    </row>
    <row r="30" spans="1:36" x14ac:dyDescent="0.25">
      <c r="A30" s="44">
        <v>10</v>
      </c>
      <c r="B30" s="48">
        <v>8.837361111111111</v>
      </c>
      <c r="C30" s="48">
        <v>3.7976388888888888</v>
      </c>
      <c r="D30" s="44">
        <v>46.237000000000002</v>
      </c>
      <c r="E30" s="44">
        <v>1.492</v>
      </c>
      <c r="F30" s="49" t="s">
        <v>84</v>
      </c>
      <c r="G30" s="43">
        <f t="shared" si="13"/>
        <v>91.143333333333331</v>
      </c>
      <c r="H30" s="43">
        <f t="shared" si="14"/>
        <v>1.590751257909365</v>
      </c>
      <c r="I30" s="43">
        <f t="shared" si="3"/>
        <v>212.09666666666666</v>
      </c>
      <c r="J30" s="39">
        <f t="shared" si="15"/>
        <v>3.7017851658382397</v>
      </c>
      <c r="K30" s="39">
        <f t="shared" si="16"/>
        <v>46.227794535516331</v>
      </c>
      <c r="L30" s="15">
        <f t="shared" si="17"/>
        <v>-0.92259491765703616</v>
      </c>
      <c r="M30" s="13"/>
      <c r="N30" s="16">
        <f t="shared" si="4"/>
        <v>212.09666666666666</v>
      </c>
      <c r="O30" s="16">
        <f t="shared" ca="1" si="18"/>
        <v>204.37480940596581</v>
      </c>
      <c r="P30" s="16">
        <f t="shared" ca="1" si="19"/>
        <v>416.47147607263247</v>
      </c>
      <c r="Q30" s="16">
        <f t="shared" ca="1" si="20"/>
        <v>7.2687984981082199</v>
      </c>
      <c r="R30" s="16">
        <f t="shared" ca="1" si="5"/>
        <v>38.535995460028573</v>
      </c>
      <c r="S30" s="16">
        <f t="shared" ca="1" si="6"/>
        <v>25.534017340061681</v>
      </c>
      <c r="T30" s="13">
        <f t="shared" ca="1" si="7"/>
        <v>1100307.8489954602</v>
      </c>
      <c r="U30" s="13">
        <f t="shared" ca="1" si="8"/>
        <v>460691.48701734003</v>
      </c>
      <c r="V30" s="16">
        <f t="shared" si="9"/>
        <v>1188.3504050823428</v>
      </c>
      <c r="W30" s="16">
        <f t="shared" ca="1" si="10"/>
        <v>1186.3199017328675</v>
      </c>
      <c r="X30" s="47">
        <f ca="1">IF(AND(A30&gt;=CS_Start,A30&lt;=CS_End),IF(OR(LEFT(UPPER(F30))="D"),"",T30),"")</f>
        <v>1100307.8489954602</v>
      </c>
      <c r="Y30" s="47">
        <f t="shared" ca="1" si="21"/>
        <v>460691.48701734003</v>
      </c>
      <c r="Z30" s="47">
        <f ca="1">IF(X30="",NA(),VALUE((-mB*X30+Y30-bA)/(mA-mB)))</f>
        <v>1100308.8998878957</v>
      </c>
      <c r="AA30" s="47">
        <f ca="1">IF(ISNA(Z30),NA(),VALUE(mA*Z30+bA))</f>
        <v>460687.94633228495</v>
      </c>
      <c r="AB30" s="47">
        <f t="shared" ca="1" si="24"/>
        <v>3.6933488286659628</v>
      </c>
      <c r="AC30" s="47">
        <f t="shared" ca="1" si="25"/>
        <v>38.941363355008626</v>
      </c>
      <c r="AD30" s="47">
        <f t="shared" ca="1" si="26"/>
        <v>0.3050567235179642</v>
      </c>
      <c r="AE30" s="44">
        <f t="shared" ca="1" si="27"/>
        <v>127.76</v>
      </c>
      <c r="AF30" s="44">
        <f t="shared" ca="1" si="28"/>
        <v>1</v>
      </c>
      <c r="AH30" s="44">
        <v>127.76</v>
      </c>
      <c r="AI30" s="44">
        <f t="shared" ca="1" si="29"/>
        <v>1</v>
      </c>
      <c r="AJ30" s="2" t="str">
        <f t="shared" ca="1" si="23"/>
        <v>127.76,1</v>
      </c>
    </row>
    <row r="31" spans="1:36" x14ac:dyDescent="0.25">
      <c r="A31" s="44">
        <v>11</v>
      </c>
      <c r="B31" s="48">
        <v>8.8393402777777776</v>
      </c>
      <c r="C31" s="48">
        <v>3.7553356481481486</v>
      </c>
      <c r="D31" s="44">
        <v>47.439</v>
      </c>
      <c r="E31" s="44">
        <v>1.492</v>
      </c>
      <c r="F31" s="44"/>
      <c r="G31" s="43">
        <f t="shared" si="13"/>
        <v>90.128055555555562</v>
      </c>
      <c r="H31" s="43">
        <f t="shared" si="14"/>
        <v>1.5730313178648117</v>
      </c>
      <c r="I31" s="43">
        <f t="shared" si="3"/>
        <v>212.14416666666665</v>
      </c>
      <c r="J31" s="39">
        <f t="shared" si="15"/>
        <v>3.7026141972329367</v>
      </c>
      <c r="K31" s="39">
        <f t="shared" si="16"/>
        <v>47.438881516756751</v>
      </c>
      <c r="L31" s="15">
        <f t="shared" si="17"/>
        <v>-0.10602565309602098</v>
      </c>
      <c r="M31" s="13"/>
      <c r="N31" s="16">
        <f t="shared" si="4"/>
        <v>212.14416666666665</v>
      </c>
      <c r="O31" s="16">
        <f t="shared" ca="1" si="18"/>
        <v>204.37480940596581</v>
      </c>
      <c r="P31" s="16">
        <f t="shared" ca="1" si="19"/>
        <v>416.51897607263243</v>
      </c>
      <c r="Q31" s="16">
        <f t="shared" ca="1" si="20"/>
        <v>7.269627529502916</v>
      </c>
      <c r="R31" s="16">
        <f t="shared" ca="1" si="5"/>
        <v>39.567280309579751</v>
      </c>
      <c r="S31" s="16">
        <f t="shared" ca="1" si="6"/>
        <v>26.170170203191795</v>
      </c>
      <c r="T31" s="13">
        <f t="shared" ca="1" si="7"/>
        <v>1100308.8802803096</v>
      </c>
      <c r="U31" s="13">
        <f t="shared" ca="1" si="8"/>
        <v>460692.12317020318</v>
      </c>
      <c r="V31" s="16">
        <f t="shared" si="9"/>
        <v>1189.166974346904</v>
      </c>
      <c r="W31" s="16">
        <f t="shared" ca="1" si="10"/>
        <v>1187.1364709974287</v>
      </c>
      <c r="X31" s="47">
        <f ca="1">IF(AND(A31&gt;=CS_Start,A31&lt;=CS_End),IF(OR(LEFT(UPPER(F31))="D"),"",T31),"")</f>
        <v>1100308.8802803096</v>
      </c>
      <c r="Y31" s="47">
        <f t="shared" ca="1" si="21"/>
        <v>460692.12317020318</v>
      </c>
      <c r="Z31" s="47">
        <f ca="1">IF(X31="",NA(),VALUE((-mB*X31+Y31-bA)/(mA-mB)))</f>
        <v>1100310.0212056246</v>
      </c>
      <c r="AA31" s="47">
        <f ca="1">IF(ISNA(Z31),NA(),VALUE(mA*Z31+bA))</f>
        <v>460688.27914480586</v>
      </c>
      <c r="AB31" s="47">
        <f t="shared" ca="1" si="24"/>
        <v>4.0097683012394647</v>
      </c>
      <c r="AC31" s="47">
        <f t="shared" ca="1" si="25"/>
        <v>40.11102895815867</v>
      </c>
      <c r="AD31" s="47">
        <f t="shared" ca="1" si="26"/>
        <v>1.1216259880791313</v>
      </c>
      <c r="AE31" s="44">
        <f t="shared" ca="1" si="27"/>
        <v>131.6</v>
      </c>
      <c r="AF31" s="44">
        <f t="shared" ca="1" si="28"/>
        <v>3.68</v>
      </c>
      <c r="AH31" s="44">
        <v>131.6</v>
      </c>
      <c r="AI31" s="44">
        <f t="shared" ca="1" si="29"/>
        <v>3.68</v>
      </c>
      <c r="AJ31" s="2" t="str">
        <f t="shared" ca="1" si="23"/>
        <v>131.6,3.68</v>
      </c>
    </row>
    <row r="32" spans="1:36" x14ac:dyDescent="0.25">
      <c r="A32" s="44">
        <v>12</v>
      </c>
      <c r="B32" s="48">
        <v>8.8534490740740743</v>
      </c>
      <c r="C32" s="48">
        <v>3.6993981481481484</v>
      </c>
      <c r="D32" s="44">
        <v>52.484999999999999</v>
      </c>
      <c r="E32" s="44">
        <v>1.492</v>
      </c>
      <c r="F32" s="44"/>
      <c r="G32" s="43">
        <f t="shared" si="13"/>
        <v>88.785555555555561</v>
      </c>
      <c r="H32" s="43">
        <f t="shared" si="14"/>
        <v>1.5496002726567877</v>
      </c>
      <c r="I32" s="43">
        <f t="shared" si="3"/>
        <v>212.48277777777778</v>
      </c>
      <c r="J32" s="39">
        <f t="shared" si="15"/>
        <v>3.7085240760056624</v>
      </c>
      <c r="K32" s="39">
        <f t="shared" si="16"/>
        <v>52.473210402286206</v>
      </c>
      <c r="L32" s="15">
        <f t="shared" si="17"/>
        <v>1.1123916025407128</v>
      </c>
      <c r="M32" s="13"/>
      <c r="N32" s="16">
        <f t="shared" si="4"/>
        <v>212.48277777777778</v>
      </c>
      <c r="O32" s="16">
        <f t="shared" ca="1" si="18"/>
        <v>204.37480940596581</v>
      </c>
      <c r="P32" s="16">
        <f t="shared" ca="1" si="19"/>
        <v>416.85758718374359</v>
      </c>
      <c r="Q32" s="16">
        <f t="shared" ca="1" si="20"/>
        <v>7.2755374082756425</v>
      </c>
      <c r="R32" s="16">
        <f t="shared" ca="1" si="5"/>
        <v>43.936566226827871</v>
      </c>
      <c r="S32" s="16">
        <f t="shared" ca="1" si="6"/>
        <v>28.688254706729129</v>
      </c>
      <c r="T32" s="13">
        <f t="shared" ca="1" si="7"/>
        <v>1100313.249566227</v>
      </c>
      <c r="U32" s="13">
        <f t="shared" ca="1" si="8"/>
        <v>460694.64125470672</v>
      </c>
      <c r="V32" s="16">
        <f t="shared" si="9"/>
        <v>1190.3853916025407</v>
      </c>
      <c r="W32" s="16">
        <f t="shared" ca="1" si="10"/>
        <v>1188.3548882530654</v>
      </c>
      <c r="X32" s="47">
        <f ca="1">IF(AND(A32&gt;=CS_Start,A32&lt;=CS_End),IF(OR(LEFT(UPPER(F32))="D"),"",T32),"")</f>
        <v>1100313.249566227</v>
      </c>
      <c r="Y32" s="47">
        <f t="shared" ca="1" si="21"/>
        <v>460694.64125470672</v>
      </c>
      <c r="Z32" s="47">
        <f ca="1">IF(X32="",NA(),VALUE((-mB*X32+Y32-bA)/(mA-mB)))</f>
        <v>1100314.7236208189</v>
      </c>
      <c r="AA32" s="47">
        <f ca="1">IF(ISNA(Z32),NA(),VALUE(mA*Z32+bA))</f>
        <v>460689.67484436097</v>
      </c>
      <c r="AB32" s="47">
        <f t="shared" ca="1" si="24"/>
        <v>5.1805471392924884</v>
      </c>
      <c r="AC32" s="47">
        <f t="shared" ca="1" si="25"/>
        <v>45.016198262913775</v>
      </c>
      <c r="AD32" s="47">
        <f t="shared" ca="1" si="26"/>
        <v>2.3400432437158543</v>
      </c>
      <c r="AE32" s="44">
        <f t="shared" ca="1" si="27"/>
        <v>147.69</v>
      </c>
      <c r="AF32" s="44">
        <f t="shared" ca="1" si="28"/>
        <v>7.68</v>
      </c>
      <c r="AH32" s="44">
        <v>147.69</v>
      </c>
      <c r="AI32" s="44">
        <f t="shared" ref="AI32:AI35" ca="1" si="30">OFFSET($AF$22,MATCH(AH32,$AE$23:$AE$59,0),0)</f>
        <v>7.68</v>
      </c>
      <c r="AJ32" s="44" t="str">
        <f t="shared" ref="AJ32:AJ35" ca="1" si="31">CONCATENATE(AH32,",",AI32)</f>
        <v>147.69,7.68</v>
      </c>
    </row>
    <row r="33" spans="1:36" x14ac:dyDescent="0.25">
      <c r="A33" s="44">
        <v>13</v>
      </c>
      <c r="B33" s="48">
        <v>8.8434953703703698</v>
      </c>
      <c r="C33" s="48">
        <v>3.6980208333333331</v>
      </c>
      <c r="D33" s="44">
        <v>63.396000000000001</v>
      </c>
      <c r="E33" s="44">
        <v>1.492</v>
      </c>
      <c r="F33" s="44"/>
      <c r="G33" s="43">
        <f t="shared" si="13"/>
        <v>88.752499999999998</v>
      </c>
      <c r="H33" s="43">
        <f t="shared" si="14"/>
        <v>1.5490233443762673</v>
      </c>
      <c r="I33" s="43">
        <f t="shared" si="3"/>
        <v>212.24388888888888</v>
      </c>
      <c r="J33" s="39">
        <f t="shared" si="15"/>
        <v>3.7043546783481203</v>
      </c>
      <c r="K33" s="39">
        <f t="shared" si="16"/>
        <v>63.380973752155143</v>
      </c>
      <c r="L33" s="15">
        <f t="shared" si="17"/>
        <v>1.3802109362780424</v>
      </c>
      <c r="M33" s="13"/>
      <c r="N33" s="16">
        <f t="shared" si="4"/>
        <v>212.24388888888888</v>
      </c>
      <c r="O33" s="16">
        <f t="shared" ca="1" si="18"/>
        <v>204.37480940596581</v>
      </c>
      <c r="P33" s="16">
        <f t="shared" ca="1" si="19"/>
        <v>416.61869829485465</v>
      </c>
      <c r="Q33" s="16">
        <f t="shared" ca="1" si="20"/>
        <v>7.2713680106180991</v>
      </c>
      <c r="R33" s="16">
        <f t="shared" ca="1" si="5"/>
        <v>52.924853932570485</v>
      </c>
      <c r="S33" s="16">
        <f t="shared" ca="1" si="6"/>
        <v>34.872735338476922</v>
      </c>
      <c r="T33" s="13">
        <f t="shared" ca="1" si="7"/>
        <v>1100322.2378539327</v>
      </c>
      <c r="U33" s="13">
        <f t="shared" ca="1" si="8"/>
        <v>460700.82573533844</v>
      </c>
      <c r="V33" s="16">
        <f t="shared" si="9"/>
        <v>1190.6532109362779</v>
      </c>
      <c r="W33" s="16">
        <f t="shared" ca="1" si="10"/>
        <v>1188.6227075868026</v>
      </c>
      <c r="X33" s="47">
        <f ca="1">IF(AND(A33&gt;=CS_Start,A33&lt;=CS_End),IF(OR(LEFT(UPPER(F33))="D"),"",T33),"")</f>
        <v>1100322.2378539327</v>
      </c>
      <c r="Y33" s="47">
        <f t="shared" ca="1" si="21"/>
        <v>460700.82573533844</v>
      </c>
      <c r="Z33" s="47">
        <f ca="1">IF(X33="",NA(),VALUE((-mB*X33+Y33-bA)/(mA-mB)))</f>
        <v>1100324.6711807824</v>
      </c>
      <c r="AA33" s="47">
        <f ca="1">IF(ISNA(Z33),NA(),VALUE(mA*Z33+bA))</f>
        <v>460692.62732823181</v>
      </c>
      <c r="AB33" s="47">
        <f t="shared" ca="1" si="24"/>
        <v>8.5518979556297463</v>
      </c>
      <c r="AC33" s="47">
        <f t="shared" ca="1" si="25"/>
        <v>55.392667326808308</v>
      </c>
      <c r="AD33" s="47">
        <f t="shared" ca="1" si="26"/>
        <v>2.6078625774530337</v>
      </c>
      <c r="AE33" s="44">
        <f t="shared" ca="1" si="27"/>
        <v>181.73</v>
      </c>
      <c r="AF33" s="44">
        <f t="shared" ca="1" si="28"/>
        <v>8.56</v>
      </c>
      <c r="AH33" s="44">
        <v>181.73</v>
      </c>
      <c r="AI33" s="44">
        <f t="shared" ca="1" si="30"/>
        <v>8.56</v>
      </c>
      <c r="AJ33" s="44" t="str">
        <f t="shared" ca="1" si="31"/>
        <v>181.73,8.56</v>
      </c>
    </row>
    <row r="34" spans="1:36" x14ac:dyDescent="0.25">
      <c r="A34" s="44">
        <v>14</v>
      </c>
      <c r="B34" s="48">
        <v>2.5636226851851851</v>
      </c>
      <c r="C34" s="48">
        <v>3.6922106481481483</v>
      </c>
      <c r="D34" s="44">
        <v>75.465999999999994</v>
      </c>
      <c r="E34" s="44">
        <v>1.492</v>
      </c>
      <c r="F34" s="44"/>
      <c r="G34" s="43">
        <f t="shared" ref="G34:G37" si="32">C34*24</f>
        <v>88.613055555555562</v>
      </c>
      <c r="H34" s="43">
        <f t="shared" ref="H34:H37" si="33">RADIANS(G34)</f>
        <v>1.5465895796970976</v>
      </c>
      <c r="I34" s="43">
        <f t="shared" ref="I34:I37" si="34">B34*24</f>
        <v>61.526944444444439</v>
      </c>
      <c r="J34" s="49">
        <f t="shared" ref="J34:J37" si="35">RADIANS(I34)</f>
        <v>1.0738477592471889</v>
      </c>
      <c r="K34" s="49">
        <f t="shared" ref="K34:K37" si="36">D34*SIN(H34)</f>
        <v>75.443890801727335</v>
      </c>
      <c r="L34" s="46">
        <f t="shared" ref="L34:L37" si="37">D34*COS(H34)</f>
        <v>1.8266079757408891</v>
      </c>
      <c r="M34" s="45"/>
      <c r="N34" s="47">
        <f t="shared" ref="N34:N37" si="38">I34+M34</f>
        <v>61.526944444444439</v>
      </c>
      <c r="O34" s="47">
        <f t="shared" ca="1" si="18"/>
        <v>204.37480940596581</v>
      </c>
      <c r="P34" s="47">
        <f t="shared" ref="P34:P37" ca="1" si="39">SUM(N34,O34)</f>
        <v>265.90175385041027</v>
      </c>
      <c r="Q34" s="47">
        <f t="shared" ref="Q34:Q37" ca="1" si="40">RADIANS(P34)</f>
        <v>4.6408610915171691</v>
      </c>
      <c r="R34" s="47">
        <f t="shared" ref="R34:R37" ca="1" si="41">K34*SIN(Q34)</f>
        <v>-75.250978587609836</v>
      </c>
      <c r="S34" s="47">
        <f t="shared" ref="S34:S37" ca="1" si="42">K34*COS(Q34)</f>
        <v>-5.3917419179745405</v>
      </c>
      <c r="T34" s="45">
        <f t="shared" ref="T34:T37" ca="1" si="43">Old_X0+R34</f>
        <v>1100194.0620214124</v>
      </c>
      <c r="U34" s="45">
        <f t="shared" ref="U34:U37" ca="1" si="44">Old_Y0+S34</f>
        <v>460660.56125808199</v>
      </c>
      <c r="V34" s="47">
        <f t="shared" ref="V34:V37" si="45">Old_Z0+HI+L34-E34</f>
        <v>1191.0996079757408</v>
      </c>
      <c r="W34" s="47">
        <f t="shared" ref="W34:W37" ca="1" si="46">IF(ISNUMBER(T34),V34+dZ,"")</f>
        <v>1189.0691046262655</v>
      </c>
      <c r="X34" s="47">
        <f ca="1">IF(AND(A34&gt;=CS_Start,A34&lt;=CS_End),IF(OR(LEFT(UPPER(F34))="D"),"",T34),"")</f>
        <v>1100194.0620214124</v>
      </c>
      <c r="Y34" s="47">
        <f t="shared" ca="1" si="21"/>
        <v>460660.56125808199</v>
      </c>
      <c r="Z34" s="47">
        <f ca="1">IF(X34="",NA(),VALUE((-mB*X34+Y34-bA)/(mA-mB)))</f>
        <v>1100195.8894406597</v>
      </c>
      <c r="AA34" s="47">
        <f ca="1">IF(ISNA(Z34),NA(),VALUE(mA*Z34+bA))</f>
        <v>460654.40428539814</v>
      </c>
      <c r="AB34" s="47">
        <f t="shared" ref="AB34:AB37" ca="1" si="47">IF(ISNUMBER(X34),SQRT((X34-Z34)^2+(Y34-AA34)^2),"")</f>
        <v>6.4224429724891232</v>
      </c>
      <c r="AC34" s="47">
        <f t="shared" ref="AC34:AC37" ca="1" si="48">IF(ISNUMBER(Z34),SQRT(($Z34-OFFSET($Z$20,MATCH(CS_Start,$A$21:$A$51,0),0))^2+($AA34-OFFSET($AA$20,MATCH(CS_Start,$A$21:$A$51,0),0))^2),"")</f>
        <v>78.941757123880038</v>
      </c>
      <c r="AD34" s="47">
        <f t="shared" ref="AD34:AD37" ca="1" si="49">IF(ISNUMBER(X34),W34-Min_Z,"")</f>
        <v>3.0542596169159424</v>
      </c>
      <c r="AE34" s="44">
        <f t="shared" ref="AE34:AE37" ca="1" si="50">ROUND(CONVERT(AC34,"m","ft"),2)</f>
        <v>259</v>
      </c>
      <c r="AF34" s="44">
        <f t="shared" ref="AF34:AF37" ca="1" si="51">ROUND(CONVERT(AD34,"m","ft"),2)</f>
        <v>10.02</v>
      </c>
      <c r="AH34" s="44">
        <v>259</v>
      </c>
      <c r="AI34" s="44">
        <f t="shared" ref="AI34:AI37" ca="1" si="52">OFFSET($AF$22,MATCH(AH34,$AE$23:$AE$59,0),0)</f>
        <v>10.02</v>
      </c>
      <c r="AJ34" s="44" t="str">
        <f t="shared" ref="AJ34:AJ37" ca="1" si="53">CONCATENATE(AH34,",",AI34)</f>
        <v>259,10.02</v>
      </c>
    </row>
    <row r="35" spans="1:36" x14ac:dyDescent="0.25">
      <c r="A35" s="44">
        <v>15</v>
      </c>
      <c r="B35" s="48">
        <v>2.4881944444444444</v>
      </c>
      <c r="C35" s="48">
        <v>3.7028935185185183</v>
      </c>
      <c r="D35" s="44">
        <v>76.551000000000002</v>
      </c>
      <c r="E35" s="44">
        <v>1.492</v>
      </c>
      <c r="F35" s="44"/>
      <c r="G35" s="43">
        <f t="shared" si="32"/>
        <v>88.86944444444444</v>
      </c>
      <c r="H35" s="43">
        <f t="shared" si="33"/>
        <v>1.5510644099737385</v>
      </c>
      <c r="I35" s="43">
        <f t="shared" si="34"/>
        <v>59.716666666666669</v>
      </c>
      <c r="J35" s="49">
        <f t="shared" si="35"/>
        <v>1.0422524516492806</v>
      </c>
      <c r="K35" s="49">
        <f t="shared" si="36"/>
        <v>76.536097973418507</v>
      </c>
      <c r="L35" s="46">
        <f t="shared" si="37"/>
        <v>1.5103999481213968</v>
      </c>
      <c r="M35" s="45"/>
      <c r="N35" s="47">
        <f t="shared" si="38"/>
        <v>59.716666666666669</v>
      </c>
      <c r="O35" s="47">
        <f t="shared" ca="1" si="18"/>
        <v>204.37480940596581</v>
      </c>
      <c r="P35" s="47">
        <f t="shared" ca="1" si="39"/>
        <v>264.09147607263247</v>
      </c>
      <c r="Q35" s="47">
        <f t="shared" ca="1" si="40"/>
        <v>4.6092657839192599</v>
      </c>
      <c r="R35" s="47">
        <f t="shared" ca="1" si="41"/>
        <v>-76.129500994006449</v>
      </c>
      <c r="S35" s="47">
        <f t="shared" ca="1" si="42"/>
        <v>-7.8786655850015963</v>
      </c>
      <c r="T35" s="45">
        <f t="shared" ca="1" si="43"/>
        <v>1100193.1834990061</v>
      </c>
      <c r="U35" s="45">
        <f t="shared" ca="1" si="44"/>
        <v>460658.07433441497</v>
      </c>
      <c r="V35" s="47">
        <f t="shared" si="45"/>
        <v>1190.7833999481213</v>
      </c>
      <c r="W35" s="47">
        <f t="shared" ca="1" si="46"/>
        <v>1188.752896598646</v>
      </c>
      <c r="X35" s="47">
        <f ca="1">IF(AND(A35&gt;=CS_Start,A35&lt;=CS_End),IF(OR(LEFT(UPPER(F35))="D"),"",T35),"")</f>
        <v>1100193.1834990061</v>
      </c>
      <c r="Y35" s="47">
        <f t="shared" ca="1" si="21"/>
        <v>460658.07433441497</v>
      </c>
      <c r="Z35" s="47">
        <f ca="1">IF(X35="",NA(),VALUE((-mB*X35+Y35-bA)/(mA-mB)))</f>
        <v>1100194.4036731678</v>
      </c>
      <c r="AA35" s="47">
        <f ca="1">IF(ISNA(Z35),NA(),VALUE(mA*Z35+bA))</f>
        <v>460653.96330242627</v>
      </c>
      <c r="AB35" s="47">
        <f t="shared" ca="1" si="47"/>
        <v>4.2882874200532264</v>
      </c>
      <c r="AC35" s="47">
        <f t="shared" ca="1" si="48"/>
        <v>80.491586476209889</v>
      </c>
      <c r="AD35" s="47">
        <f t="shared" ca="1" si="49"/>
        <v>2.7380515892964468</v>
      </c>
      <c r="AE35" s="44">
        <f t="shared" ca="1" si="50"/>
        <v>264.08</v>
      </c>
      <c r="AF35" s="44">
        <f t="shared" ca="1" si="51"/>
        <v>8.98</v>
      </c>
      <c r="AH35" s="44">
        <v>264.08</v>
      </c>
      <c r="AI35" s="44">
        <f t="shared" ca="1" si="52"/>
        <v>8.98</v>
      </c>
      <c r="AJ35" s="44" t="str">
        <f t="shared" ca="1" si="53"/>
        <v>264.08,8.98</v>
      </c>
    </row>
    <row r="36" spans="1:36" x14ac:dyDescent="0.25">
      <c r="A36" s="44">
        <v>16</v>
      </c>
      <c r="B36" s="48">
        <v>2.4527777777777779</v>
      </c>
      <c r="C36" s="48">
        <v>3.7004861111111111</v>
      </c>
      <c r="D36" s="44">
        <v>43.057000000000002</v>
      </c>
      <c r="E36" s="44">
        <v>1.492</v>
      </c>
      <c r="F36" s="49" t="s">
        <v>70</v>
      </c>
      <c r="G36" s="43">
        <f t="shared" ref="G36:G40" si="54">C36*24</f>
        <v>88.811666666666667</v>
      </c>
      <c r="H36" s="43">
        <f t="shared" ref="H36:H40" si="55">RADIANS(G36)</f>
        <v>1.5500559975170307</v>
      </c>
      <c r="I36" s="43">
        <f t="shared" ref="I36:I40" si="56">B36*24</f>
        <v>58.866666666666674</v>
      </c>
      <c r="J36" s="49">
        <f t="shared" ref="J36:J40" si="57">RADIANS(I36)</f>
        <v>1.0274171530073288</v>
      </c>
      <c r="K36" s="49">
        <f t="shared" ref="K36:K40" si="58">D36*SIN(H36)</f>
        <v>43.047739605307605</v>
      </c>
      <c r="L36" s="46">
        <f t="shared" ref="L36:L40" si="59">D36*COS(H36)</f>
        <v>0.89295233558735554</v>
      </c>
      <c r="M36" s="45"/>
      <c r="N36" s="47">
        <f t="shared" ref="N36:N40" si="60">I36+M36</f>
        <v>58.866666666666674</v>
      </c>
      <c r="O36" s="47">
        <f t="shared" ca="1" si="18"/>
        <v>204.37480940596581</v>
      </c>
      <c r="P36" s="47">
        <f t="shared" ref="P36:P40" ca="1" si="61">SUM(N36,O36)</f>
        <v>263.24147607263251</v>
      </c>
      <c r="Q36" s="47">
        <f t="shared" ref="Q36:Q40" ca="1" si="62">RADIANS(P36)</f>
        <v>4.594430485277309</v>
      </c>
      <c r="R36" s="47">
        <f t="shared" ref="R36:R40" ca="1" si="63">K36*SIN(Q36)</f>
        <v>-42.748599134702225</v>
      </c>
      <c r="S36" s="47">
        <f t="shared" ref="S36:S40" ca="1" si="64">K36*COS(Q36)</f>
        <v>-5.0660790703368859</v>
      </c>
      <c r="T36" s="45">
        <f t="shared" ref="T36:T40" ca="1" si="65">Old_X0+R36</f>
        <v>1100226.5644008655</v>
      </c>
      <c r="U36" s="45">
        <f t="shared" ref="U36:U40" ca="1" si="66">Old_Y0+S36</f>
        <v>460660.88692092965</v>
      </c>
      <c r="V36" s="47">
        <f t="shared" ref="V36:V40" si="67">Old_Z0+HI+L36-E36</f>
        <v>1190.1659523355872</v>
      </c>
      <c r="W36" s="47">
        <f t="shared" ref="W36:W40" ca="1" si="68">IF(ISNUMBER(T36),V36+dZ,"")</f>
        <v>1188.1354489861119</v>
      </c>
      <c r="X36" s="47" t="str">
        <f>IF(AND(A36&gt;=CS_Start,A36&lt;=CS_End),IF(OR(LEFT(UPPER(F36))="D"),"",T36),"")</f>
        <v/>
      </c>
      <c r="Y36" s="47" t="str">
        <f t="shared" ref="Y36:Y40" si="69">IF(ISNUMBER(X36),U36,"")</f>
        <v/>
      </c>
      <c r="Z36" s="47" t="e">
        <f>IF(X36="",NA(),VALUE((-mB*X36+Y36-bA)/(mA-mB)))</f>
        <v>#N/A</v>
      </c>
      <c r="AA36" s="47" t="e">
        <f>IF(ISNA(Z36),NA(),VALUE(mA*Z36+bA))</f>
        <v>#N/A</v>
      </c>
      <c r="AB36" s="47" t="str">
        <f t="shared" ref="AB36:AB40" si="70">IF(ISNUMBER(X36),SQRT((X36-Z36)^2+(Y36-AA36)^2),"")</f>
        <v/>
      </c>
      <c r="AC36" s="47" t="str">
        <f t="shared" ref="AC36:AC40" ca="1" si="71">IF(ISNUMBER(Z36),SQRT(($Z36-OFFSET($Z$20,MATCH(CS_Start,$A$21:$A$51,0),0))^2+($AA36-OFFSET($AA$20,MATCH(CS_Start,$A$21:$A$51,0),0))^2),"")</f>
        <v/>
      </c>
      <c r="AD36" s="47" t="str">
        <f t="shared" ref="AD36:AD40" si="72">IF(ISNUMBER(X36),W36-Min_Z,"")</f>
        <v/>
      </c>
      <c r="AE36" s="44" t="e">
        <f t="shared" ref="AE36:AE40" ca="1" si="73">ROUND(CONVERT(AC36,"m","ft"),2)</f>
        <v>#VALUE!</v>
      </c>
      <c r="AF36" s="44" t="e">
        <f t="shared" ref="AF36:AF40" si="74">ROUND(CONVERT(AD36,"m","ft"),2)</f>
        <v>#VALUE!</v>
      </c>
      <c r="AH36" s="44"/>
      <c r="AI36" s="44"/>
      <c r="AJ36" s="44"/>
    </row>
    <row r="37" spans="1:36" x14ac:dyDescent="0.25">
      <c r="A37" s="44">
        <v>17</v>
      </c>
      <c r="B37" s="48">
        <v>14.996689814814815</v>
      </c>
      <c r="C37" s="48">
        <v>3.6352893518518514</v>
      </c>
      <c r="D37" s="44">
        <v>21.338999999999999</v>
      </c>
      <c r="E37" s="44">
        <v>1.492</v>
      </c>
      <c r="F37" s="49" t="s">
        <v>69</v>
      </c>
      <c r="G37" s="43">
        <f t="shared" si="54"/>
        <v>87.246944444444438</v>
      </c>
      <c r="H37" s="43">
        <f t="shared" si="55"/>
        <v>1.5227464428601303</v>
      </c>
      <c r="I37" s="43">
        <f t="shared" si="56"/>
        <v>359.92055555555555</v>
      </c>
      <c r="J37" s="49">
        <f t="shared" si="57"/>
        <v>6.2817987400516131</v>
      </c>
      <c r="K37" s="49">
        <f t="shared" si="58"/>
        <v>21.314371089863929</v>
      </c>
      <c r="L37" s="46">
        <f t="shared" si="59"/>
        <v>1.0249419708318577</v>
      </c>
      <c r="M37" s="45"/>
      <c r="N37" s="47">
        <f t="shared" si="60"/>
        <v>359.92055555555555</v>
      </c>
      <c r="O37" s="47">
        <f t="shared" ca="1" si="18"/>
        <v>204.37480940596581</v>
      </c>
      <c r="P37" s="47">
        <f t="shared" ca="1" si="61"/>
        <v>564.29536496152139</v>
      </c>
      <c r="Q37" s="47">
        <f t="shared" ca="1" si="62"/>
        <v>9.8488120723215928</v>
      </c>
      <c r="R37" s="47">
        <f t="shared" ca="1" si="63"/>
        <v>-8.769598221464415</v>
      </c>
      <c r="S37" s="47">
        <f t="shared" ca="1" si="64"/>
        <v>-19.426697145694</v>
      </c>
      <c r="T37" s="45">
        <f t="shared" ca="1" si="65"/>
        <v>1100260.5434017787</v>
      </c>
      <c r="U37" s="45">
        <f t="shared" ca="1" si="66"/>
        <v>460646.5263028543</v>
      </c>
      <c r="V37" s="47">
        <f t="shared" si="67"/>
        <v>1190.2979419708317</v>
      </c>
      <c r="W37" s="47">
        <f t="shared" ca="1" si="68"/>
        <v>1188.2674386213564</v>
      </c>
      <c r="X37" s="47" t="str">
        <f>IF(AND(A37&gt;=CS_Start,A37&lt;=CS_End),IF(OR(LEFT(UPPER(F37))="D"),"",T37),"")</f>
        <v/>
      </c>
      <c r="Y37" s="47" t="str">
        <f t="shared" si="69"/>
        <v/>
      </c>
      <c r="Z37" s="47" t="e">
        <f>IF(X37="",NA(),VALUE((-mB*X37+Y37-bA)/(mA-mB)))</f>
        <v>#N/A</v>
      </c>
      <c r="AA37" s="47" t="e">
        <f>IF(ISNA(Z37),NA(),VALUE(mA*Z37+bA))</f>
        <v>#N/A</v>
      </c>
      <c r="AB37" s="47" t="str">
        <f t="shared" si="70"/>
        <v/>
      </c>
      <c r="AC37" s="47" t="str">
        <f t="shared" ca="1" si="71"/>
        <v/>
      </c>
      <c r="AD37" s="47" t="str">
        <f t="shared" si="72"/>
        <v/>
      </c>
      <c r="AE37" s="44" t="e">
        <f t="shared" ca="1" si="73"/>
        <v>#VALUE!</v>
      </c>
      <c r="AF37" s="44" t="e">
        <f t="shared" si="74"/>
        <v>#VALUE!</v>
      </c>
      <c r="AH37" s="44"/>
      <c r="AI37" s="44"/>
      <c r="AJ37" s="44"/>
    </row>
    <row r="38" spans="1:36" x14ac:dyDescent="0.25">
      <c r="A38" s="44"/>
      <c r="B38" s="48"/>
      <c r="C38" s="48"/>
      <c r="D38" s="44"/>
      <c r="E38" s="44"/>
      <c r="F38" s="44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/>
      <c r="X38" s="47"/>
      <c r="Y38" s="47"/>
      <c r="Z38" s="47"/>
      <c r="AA38" s="47"/>
      <c r="AB38" s="47"/>
      <c r="AC38" s="47"/>
      <c r="AD38" s="47"/>
      <c r="AE38" s="44"/>
      <c r="AF38" s="44"/>
      <c r="AH38" s="44"/>
      <c r="AI38" s="44"/>
      <c r="AJ38" s="44"/>
    </row>
    <row r="39" spans="1:36" x14ac:dyDescent="0.25">
      <c r="A39" s="44"/>
      <c r="B39" s="48"/>
      <c r="C39" s="48"/>
      <c r="D39" s="44"/>
      <c r="E39" s="44"/>
      <c r="F39" s="49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4"/>
      <c r="AF39" s="44"/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  <c r="AI41" s="44"/>
      <c r="AJ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  <c r="AI42" s="44"/>
      <c r="AJ42" s="44"/>
    </row>
    <row r="43" spans="1:36" x14ac:dyDescent="0.25">
      <c r="A43" s="44"/>
      <c r="B43" s="48"/>
      <c r="C43" s="48"/>
      <c r="D43" s="44"/>
      <c r="E43" s="44"/>
      <c r="F43" s="49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  <c r="AI43" s="44"/>
      <c r="AJ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  <c r="AI44" s="44"/>
      <c r="AJ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5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3609807.4573490815</v>
      </c>
      <c r="C2" s="33">
        <f>IF(ISNUMBER(Calculations!O4),CONVERT(Calculations!O4,Units_In,Units_Out),"")</f>
        <v>1511371.2368766405</v>
      </c>
      <c r="D2" s="33" t="s">
        <v>60</v>
      </c>
      <c r="E2" s="10" t="str">
        <f>CONCATENATE("0503 ",B2,"EUSft ",C2,"NUSft")</f>
        <v>0503 3609807.45734908EUSft 1511371.23687664NUSft</v>
      </c>
      <c r="F2" s="34">
        <v>98</v>
      </c>
      <c r="G2" s="10" t="str">
        <f>IF(F2=98,"Lime",IF(F2=94,"Yellow",""))</f>
        <v>Lime</v>
      </c>
      <c r="H2" s="10" t="str">
        <f>Calculations!$A$1</f>
        <v>CSS23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3609751.374671916</v>
      </c>
      <c r="C3" s="33">
        <f>IF(ISNUMBER(Calculations!O5),CONVERT(Calculations!O5,Units_In,Units_Out),"")</f>
        <v>1511330.1738845145</v>
      </c>
      <c r="D3" s="33" t="s">
        <v>60</v>
      </c>
      <c r="E3" s="10" t="str">
        <f t="shared" ref="E3:E4" si="0">CONCATENATE("0503 ",B3,"EUSft ",C3,"NUSft")</f>
        <v>0503 3609751.37467192EUSft 1511330.17388451NUSft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CSS23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3609680.0492125982</v>
      </c>
      <c r="C4" s="33">
        <f>IF(ISNUMBER(Calculations!O6),CONVERT(Calculations!O6,Units_In,Units_Out),"")</f>
        <v>1511424.2683727033</v>
      </c>
      <c r="D4" s="33" t="s">
        <v>60</v>
      </c>
      <c r="E4" s="10" t="str">
        <f t="shared" si="0"/>
        <v>0503 3609680.0492126EUSft 1511424.2683727NUSft</v>
      </c>
      <c r="F4" s="34">
        <v>98</v>
      </c>
      <c r="G4" s="10" t="str">
        <f t="shared" si="1"/>
        <v>Lime</v>
      </c>
      <c r="H4" s="10" t="str">
        <f>Calculations!$A$1</f>
        <v>CSS23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3609778.5668141344</v>
      </c>
      <c r="C5" s="33">
        <f ca="1">IF(ISNUMBER(A5),CONVERT(Calculations!U21,Units_In,Units_Out),"")</f>
        <v>1511307.472720664</v>
      </c>
      <c r="D5" s="33" t="str">
        <f>IF(ISTEXT(Calculations!F21),Calculations!F21,"")</f>
        <v>BS/ZERO</v>
      </c>
      <c r="E5" t="str">
        <f ca="1">IF(ISNUMBER(A5),CONCATENATE("0503 ",B5,"EUSft ",C5,"NUSft"),"")</f>
        <v>0503 3609778.56681413EUSft 1511307.47272066NUSft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CSS23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3609667.2315188688</v>
      </c>
      <c r="C6" s="33">
        <f ca="1">IF(ISNUMBER(A6),CONVERT(Calculations!U22,Units_In,Units_Out),"")</f>
        <v>1511354.6257956093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3609667.23151887EUSft 1511354.62579561NUSft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CSS23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3609822.5629622885</v>
      </c>
      <c r="C7" s="33">
        <f ca="1">IF(ISNUMBER(A7),CONVERT(Calculations!U23,Units_In,Units_Out),"")</f>
        <v>1511381.075097105</v>
      </c>
      <c r="D7" s="33" t="str">
        <f>IF(ISTEXT(Calculations!F23),Calculations!F23,"")</f>
        <v/>
      </c>
      <c r="E7" s="10" t="str">
        <f t="shared" ca="1" si="2"/>
        <v>0503 3609822.56296229EUSft 1511381.0750971NUSft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CSS23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3609831.8621773203</v>
      </c>
      <c r="C8" s="33">
        <f ca="1">IF(ISNUMBER(A8),CONVERT(Calculations!U24,Units_In,Units_Out),"")</f>
        <v>1511386.8834013557</v>
      </c>
      <c r="D8" s="33" t="str">
        <f>IF(ISTEXT(Calculations!F24),Calculations!F24,"")</f>
        <v/>
      </c>
      <c r="E8" s="10" t="str">
        <f t="shared" ca="1" si="2"/>
        <v>0503 3609831.86217732EUSft 1511386.88340136NUSft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CSS23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3609836.103145259</v>
      </c>
      <c r="C9" s="33">
        <f ca="1">IF(ISNUMBER(A9),CONVERT(Calculations!U25,Units_In,Units_Out),"")</f>
        <v>1511390.1944565817</v>
      </c>
      <c r="D9" s="33" t="str">
        <f>IF(ISTEXT(Calculations!F25),Calculations!F25,"")</f>
        <v/>
      </c>
      <c r="E9" s="10" t="str">
        <f t="shared" ca="1" si="2"/>
        <v>0503 3609836.10314526EUSft 1511390.19445658NUSft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CSS23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3609837.9216539529</v>
      </c>
      <c r="C10" s="33">
        <f ca="1">IF(ISNUMBER(A10),CONVERT(Calculations!U26,Units_In,Units_Out),"")</f>
        <v>1511391.7362837829</v>
      </c>
      <c r="D10" s="33" t="str">
        <f>IF(ISTEXT(Calculations!F26),Calculations!F26,"")</f>
        <v>WS</v>
      </c>
      <c r="E10" s="10" t="str">
        <f t="shared" ca="1" si="2"/>
        <v>0503 3609837.92165395EUSft 1511391.73628378NUSft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CSS23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3609840.14717793</v>
      </c>
      <c r="C11" s="33">
        <f ca="1">IF(ISNUMBER(A11),CONVERT(Calculations!U27,Units_In,Units_Out),"")</f>
        <v>1511393.6323364351</v>
      </c>
      <c r="D11" s="33" t="str">
        <f>IF(ISTEXT(Calculations!F27),Calculations!F27,"")</f>
        <v/>
      </c>
      <c r="E11" s="10" t="str">
        <f t="shared" ca="1" si="2"/>
        <v>0503 3609840.14717793EUSft 1511393.63233644NUSft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CSS23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3609903.2510217056</v>
      </c>
      <c r="C12" s="33">
        <f ca="1">IF(ISNUMBER(A12),CONVERT(Calculations!U28,Units_In,Units_Out),"")</f>
        <v>1511434.4102857986</v>
      </c>
      <c r="D12" s="33" t="str">
        <f>IF(ISTEXT(Calculations!F28),Calculations!F28,"")</f>
        <v/>
      </c>
      <c r="E12" s="10" t="str">
        <f t="shared" ca="1" si="2"/>
        <v>0503 3609903.25102171EUSft 1511434.4102858NUSft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CSS23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3609928.2279174211</v>
      </c>
      <c r="C13" s="33">
        <f ca="1">IF(ISNUMBER(A13),CONVERT(Calculations!U29,Units_In,Units_Out),"")</f>
        <v>1511449.2196733404</v>
      </c>
      <c r="D13" s="33" t="str">
        <f>IF(ISTEXT(Calculations!F29),Calculations!F29,"")</f>
        <v/>
      </c>
      <c r="E13" s="10" t="str">
        <f t="shared" ca="1" si="2"/>
        <v>0503 3609928.22791742EUSft 1511449.21967334NUSft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CSS23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3609933.8877803814</v>
      </c>
      <c r="C14" s="33">
        <f ca="1">IF(ISNUMBER(A14),CONVERT(Calculations!U30,Units_In,Units_Out),"")</f>
        <v>1511455.0098994095</v>
      </c>
      <c r="D14" s="33" t="str">
        <f>IF(ISTEXT(Calculations!F30),Calculations!F30,"")</f>
        <v>WS</v>
      </c>
      <c r="E14" s="10" t="str">
        <f t="shared" ca="1" si="2"/>
        <v>0503 3609933.88778038EUSft 1511455.00989941NUSft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CSS23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3609937.271260858</v>
      </c>
      <c r="C15" s="33">
        <f ca="1">IF(ISNUMBER(A15),CONVERT(Calculations!U31,Units_In,Units_Out),"")</f>
        <v>1511457.0970151024</v>
      </c>
      <c r="D15" s="33" t="str">
        <f>IF(ISTEXT(Calculations!F31),Calculations!F31,"")</f>
        <v/>
      </c>
      <c r="E15" s="10" t="str">
        <f t="shared" ca="1" si="2"/>
        <v>0503 3609937.27126086EUSft 1511457.0970151NUSft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CSS23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3609951.6061884086</v>
      </c>
      <c r="C16" s="33">
        <f ca="1">IF(ISNUMBER(A16),CONVERT(Calculations!U32,Units_In,Units_Out),"")</f>
        <v>1511465.3584472004</v>
      </c>
      <c r="D16" s="33" t="str">
        <f>IF(ISTEXT(Calculations!F32),Calculations!F32,"")</f>
        <v/>
      </c>
      <c r="E16" s="10" t="str">
        <f t="shared" ca="1" si="2"/>
        <v>0503 3609951.60618841EUSft 1511465.3584472NUSft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CSS23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3609981.0953213014</v>
      </c>
      <c r="C17" s="33">
        <f ca="1">IF(ISNUMBER(A17),CONVERT(Calculations!U33,Units_In,Units_Out),"")</f>
        <v>1511485.6487379868</v>
      </c>
      <c r="D17" s="33" t="str">
        <f>IF(ISTEXT(Calculations!F33),Calculations!F33,"")</f>
        <v/>
      </c>
      <c r="E17" s="10" t="str">
        <f t="shared" ca="1" si="2"/>
        <v>0503 3609981.0953213EUSft 1511485.64873799NUSft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CSS23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3609560.5709363925</v>
      </c>
      <c r="C18" s="33">
        <f ca="1">IF(ISNUMBER(A18),CONVERT(Calculations!U34,Units_In,Units_Out),"")</f>
        <v>1511353.5474346522</v>
      </c>
      <c r="D18" s="33" t="str">
        <f>IF(ISTEXT(Calculations!F34),Calculations!F34,"")</f>
        <v/>
      </c>
      <c r="E18" s="10" t="str">
        <f t="shared" ca="1" si="2"/>
        <v>0503 3609560.57093639EUSft 1511353.54743465NUSft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CSS23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3609557.6886450327</v>
      </c>
      <c r="C19" s="33">
        <f ca="1">IF(ISNUMBER(A19),CONVERT(Calculations!U35,Units_In,Units_Out),"")</f>
        <v>1511345.3882362696</v>
      </c>
      <c r="D19" s="33" t="str">
        <f>IF(ISTEXT(Calculations!F35),Calculations!F35,"")</f>
        <v/>
      </c>
      <c r="E19" s="10" t="str">
        <f t="shared" ca="1" si="2"/>
        <v>0503 3609557.68864503EUSft 1511345.38823627NUSft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CSS23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3609667.2060395847</v>
      </c>
      <c r="C20" s="33">
        <f ca="1">IF(ISNUMBER(A20),CONVERT(Calculations!U36,Units_In,Units_Out),"")</f>
        <v>1511354.6158823152</v>
      </c>
      <c r="D20" s="33" t="str">
        <f>IF(ISTEXT(Calculations!F36),Calculations!F36,"")</f>
        <v>PT2</v>
      </c>
      <c r="E20" s="10" t="str">
        <f t="shared" ca="1" si="2"/>
        <v>0503 3609667.20603958EUSft 1511354.61588232NUSft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CSS23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3609778.6857013735</v>
      </c>
      <c r="C21" s="33">
        <f ca="1">IF(ISNUMBER(A21),CONVERT(Calculations!U37,Units_In,Units_Out),"")</f>
        <v>1511307.5009936164</v>
      </c>
      <c r="D21" s="33" t="str">
        <f>IF(ISTEXT(Calculations!F37),Calculations!F37,"")</f>
        <v>PT1</v>
      </c>
      <c r="E21" s="10" t="str">
        <f t="shared" ca="1" si="2"/>
        <v>0503 3609778.68570137EUSft 1511307.50099362NUSft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CSS23</v>
      </c>
    </row>
    <row r="22" spans="1:8" x14ac:dyDescent="0.25">
      <c r="A22" s="10" t="str">
        <f>IF(ISNUMBER(Calculations!A38),Calculations!A38,"")</f>
        <v/>
      </c>
      <c r="B22" s="33" t="str">
        <f>IF(ISNUMBER(A22),CONVERT(Calculations!T38,Units_In,Units_Out),"")</f>
        <v/>
      </c>
      <c r="C22" s="33" t="str">
        <f>IF(ISNUMBER(A22),CONVERT(Calculations!U38,Units_In,Units_Out),"")</f>
        <v/>
      </c>
      <c r="D22" s="33" t="str">
        <f>IF(ISTEXT(Calculations!F38),Calculations!F38,"")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IF(ISNUMBER(Calculations!A39),Calculations!A39,"")</f>
        <v/>
      </c>
      <c r="B23" s="33" t="str">
        <f>IF(ISNUMBER(A23),CONVERT(Calculations!T39,Units_In,Units_Out),"")</f>
        <v/>
      </c>
      <c r="C23" s="33" t="str">
        <f>IF(ISNUMBER(A23),CONVERT(Calculations!U39,Units_In,Units_Out),"")</f>
        <v/>
      </c>
      <c r="D23" s="33" t="str">
        <f>IF(ISTEXT(Calculations!F39),Calculations!F39,"")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2013-08-28T10:52:55Z</dcterms:modified>
</cp:coreProperties>
</file>