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X41" i="1" l="1"/>
  <c r="AD41" i="1" s="1"/>
  <c r="AF41" i="1" s="1"/>
  <c r="I41" i="1"/>
  <c r="J41" i="1" s="1"/>
  <c r="G41" i="1"/>
  <c r="H41" i="1" s="1"/>
  <c r="X40" i="1"/>
  <c r="AD40" i="1" s="1"/>
  <c r="AF40" i="1" s="1"/>
  <c r="I40" i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L41" i="1" l="1"/>
  <c r="V41" i="1" s="1"/>
  <c r="K41" i="1"/>
  <c r="N41" i="1"/>
  <c r="Y41" i="1"/>
  <c r="Z41" i="1"/>
  <c r="AB41" i="1"/>
  <c r="L40" i="1"/>
  <c r="V40" i="1" s="1"/>
  <c r="K40" i="1"/>
  <c r="N40" i="1"/>
  <c r="Y40" i="1"/>
  <c r="Z40" i="1"/>
  <c r="AB40" i="1"/>
  <c r="L39" i="1"/>
  <c r="V39" i="1" s="1"/>
  <c r="K39" i="1"/>
  <c r="N39" i="1"/>
  <c r="L38" i="1"/>
  <c r="V38" i="1" s="1"/>
  <c r="K38" i="1"/>
  <c r="N38" i="1"/>
  <c r="G36" i="1"/>
  <c r="H36" i="1" s="1"/>
  <c r="I36" i="1"/>
  <c r="J36" i="1" s="1"/>
  <c r="N36" i="1"/>
  <c r="G37" i="1"/>
  <c r="H37" i="1" s="1"/>
  <c r="I37" i="1"/>
  <c r="J37" i="1" s="1"/>
  <c r="AC41" i="1" l="1"/>
  <c r="AE41" i="1" s="1"/>
  <c r="AA41" i="1"/>
  <c r="AC40" i="1"/>
  <c r="AE40" i="1" s="1"/>
  <c r="AA40" i="1"/>
  <c r="K37" i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6" i="1" l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0" i="1" l="1"/>
  <c r="P40" i="1" s="1"/>
  <c r="Q40" i="1" s="1"/>
  <c r="S40" i="1" s="1"/>
  <c r="U40" i="1" s="1"/>
  <c r="O41" i="1"/>
  <c r="P41" i="1" s="1"/>
  <c r="Q41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40" i="1" l="1"/>
  <c r="T40" i="1" s="1"/>
  <c r="R41" i="1"/>
  <c r="T41" i="1" s="1"/>
  <c r="S41" i="1"/>
  <c r="U41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39" i="1" l="1"/>
  <c r="Y38" i="1"/>
  <c r="Y36" i="1"/>
  <c r="X37" i="1"/>
  <c r="Y35" i="1"/>
  <c r="Y34" i="1"/>
  <c r="Y5" i="1"/>
  <c r="Y8" i="1" s="1"/>
  <c r="X9" i="1"/>
  <c r="Y9" i="1"/>
  <c r="Y39" i="1" l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0" i="1" l="1"/>
  <c r="W41" i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8" i="1" l="1"/>
  <c r="AF38" i="1" s="1"/>
  <c r="AD39" i="1"/>
  <c r="AF39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39" i="1" l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A39" i="1" l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38" i="1" l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I38" i="1" l="1"/>
  <c r="AJ38" i="1" s="1"/>
  <c r="AI39" i="1"/>
  <c r="AJ39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<sst xmlns="http://schemas.openxmlformats.org/spreadsheetml/2006/main" count="103" uniqueCount="91">
  <si>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</si>
  <si>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</si>
  <si>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</si>
  <si>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</si>
  <si>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</si>
  <si>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</si>
  <si>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</si>
  <si>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</si>
  <si>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</si>
  <si>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</si>
  <si>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</si>
  <si>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</si>
  <si>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</si>
  <si>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</si>
  <si>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</si>
  <si>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</si>
  <si>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</si>
  <si>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</si>
  <si>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</si>
  <si>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</si>
  <si>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</si>
  <si>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</si>
  <si>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</si>
  <si>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</si>
  <si>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</si>
  <si>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</si>
  <si>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</si>
  <si>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</si>
  <si>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</si>
  <si>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</si>
  <si>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</si>
  <si>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</si>
  <si>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</si>
  <si>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</si>
  <si>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</si>
  <si>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</si>
  <si>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</si>
  <si>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</si>
  <si>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</si>
  <si>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</si>
  <si>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</si>
  <si>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</si>
  <si>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</si>
  <si>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</si>
  <si>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</si>
  <si>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</si>
  <si>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</si>
  <si>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</si>
  <si>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</si>
  <si>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</si>
  <si>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</si>
  <si>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</si>
  <si>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</si>
  <si>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</si>
  <si>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</si>
  <si>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</si>
  <si>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</si>
  <si>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</si>
  <si>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</si>
  <si>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</si>
  <si>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</si>
  <si>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</si>
  <si>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</si>
  <si>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</si>
  <si>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</si>
  <si>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</si>
  <si>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</si>
  <si>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</si>
  <si>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</si>
  <si>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</si>
  <si>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</si>
  <si>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</si>
  <si>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</si>
  <si>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</si>
  <si>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</si>
  <si>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</si>
  <si>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</si>
  <si>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</si>
  <si>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</si>
  <si>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</si>
  <si>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</si>
  <si>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</si>
  <si>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</si>
  <si>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</si>
  <si>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</si>
  <si>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</si>
  <si>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</si>
  <si>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CSS26</t>
  </si>
  <si>
    <t>1,462935.731,1106269.403,1177.761,1177.761,</t>
  </si>
  <si>
    <t>2,462946.612,1106254.716,1174.575,1174.575,</t>
  </si>
  <si>
    <t>3,462949.561,1106276.594,1174.884,1174.884,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</si>
</sst>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3.32</c:v>
                </c:pt>
                <c:pt idx="2">
                  <c:v>6.64</c:v>
                </c:pt>
                <c:pt idx="3">
                  <c:v>10.26</c:v>
                </c:pt>
                <c:pt idx="4">
                  <c:v>11.88</c:v>
                </c:pt>
                <c:pt idx="5">
                  <c:v>16.010000000000002</c:v>
                </c:pt>
                <c:pt idx="6">
                  <c:v>40.380000000000003</c:v>
                </c:pt>
                <c:pt idx="7">
                  <c:v>56.79</c:v>
                </c:pt>
                <c:pt idx="8">
                  <c:v>61.31</c:v>
                </c:pt>
                <c:pt idx="9">
                  <c:v>76</c:v>
                </c:pt>
                <c:pt idx="10">
                  <c:v>96.89</c:v>
                </c:pt>
                <c:pt idx="11">
                  <c:v>105.45</c:v>
                </c:pt>
                <c:pt idx="12">
                  <c:v>122.42</c:v>
                </c:pt>
                <c:pt idx="13">
                  <c:v>130.99</c:v>
                </c:pt>
                <c:pt idx="14">
                  <c:v>147.19</c:v>
                </c:pt>
                <c:pt idx="15">
                  <c:v>149.72</c:v>
                </c:pt>
                <c:pt idx="16">
                  <c:v>151.41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9.77</c:v>
                </c:pt>
                <c:pt idx="1">
                  <c:v>6.14</c:v>
                </c:pt>
                <c:pt idx="2">
                  <c:v>4.4800000000000004</c:v>
                </c:pt>
                <c:pt idx="3">
                  <c:v>2.15</c:v>
                </c:pt>
                <c:pt idx="4">
                  <c:v>1.21</c:v>
                </c:pt>
                <c:pt idx="5">
                  <c:v>0</c:v>
                </c:pt>
                <c:pt idx="6">
                  <c:v>0.06</c:v>
                </c:pt>
                <c:pt idx="7">
                  <c:v>0.35</c:v>
                </c:pt>
                <c:pt idx="8">
                  <c:v>1.35</c:v>
                </c:pt>
                <c:pt idx="9">
                  <c:v>2.2400000000000002</c:v>
                </c:pt>
                <c:pt idx="10">
                  <c:v>1.51</c:v>
                </c:pt>
                <c:pt idx="11">
                  <c:v>4.05</c:v>
                </c:pt>
                <c:pt idx="12">
                  <c:v>4.67</c:v>
                </c:pt>
                <c:pt idx="13">
                  <c:v>2.99</c:v>
                </c:pt>
                <c:pt idx="14">
                  <c:v>2.87</c:v>
                </c:pt>
                <c:pt idx="15">
                  <c:v>5.81</c:v>
                </c:pt>
                <c:pt idx="16">
                  <c:v>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Calculations!$R$23:$R$39</c:f>
              <c:numCache>
                <c:formatCode>0.00</c:formatCode>
                <c:ptCount val="17"/>
                <c:pt idx="0">
                  <c:v>3.5616969634465931</c:v>
                </c:pt>
                <c:pt idx="1">
                  <c:v>4.4802069556605009</c:v>
                </c:pt>
                <c:pt idx="2">
                  <c:v>5.66949824723691</c:v>
                </c:pt>
                <c:pt idx="3">
                  <c:v>6.7113838486838686</c:v>
                </c:pt>
                <c:pt idx="4">
                  <c:v>7.1455915958496403</c:v>
                </c:pt>
                <c:pt idx="5">
                  <c:v>8.167541222746733</c:v>
                </c:pt>
                <c:pt idx="6">
                  <c:v>13.689098354192513</c:v>
                </c:pt>
                <c:pt idx="7">
                  <c:v>17.771583346967994</c:v>
                </c:pt>
                <c:pt idx="8">
                  <c:v>18.895769383906192</c:v>
                </c:pt>
                <c:pt idx="9">
                  <c:v>22.547754354278009</c:v>
                </c:pt>
                <c:pt idx="10">
                  <c:v>28.256167666652853</c:v>
                </c:pt>
                <c:pt idx="11">
                  <c:v>30.373635448451051</c:v>
                </c:pt>
                <c:pt idx="12">
                  <c:v>35.351315898764298</c:v>
                </c:pt>
                <c:pt idx="13">
                  <c:v>37.683784408755706</c:v>
                </c:pt>
                <c:pt idx="14">
                  <c:v>41.84713012575142</c:v>
                </c:pt>
                <c:pt idx="15">
                  <c:v>42.206624915527684</c:v>
                </c:pt>
                <c:pt idx="16">
                  <c:v>42.741748471685611</c:v>
                </c:pt>
              </c:numCache>
            </c:numRef>
          </c:xVal>
          <c:yVal>
            <c:numRef>
              <c:f>Calculations!$S$23:$S$39</c:f>
              <c:numCache>
                <c:formatCode>0.00</c:formatCode>
                <c:ptCount val="17"/>
                <c:pt idx="0">
                  <c:v>0.48088929288825732</c:v>
                </c:pt>
                <c:pt idx="1">
                  <c:v>3.7508888010982573E-2</c:v>
                </c:pt>
                <c:pt idx="2">
                  <c:v>2.0308105536005643E-2</c:v>
                </c:pt>
                <c:pt idx="3">
                  <c:v>-0.39311906191615464</c:v>
                </c:pt>
                <c:pt idx="4">
                  <c:v>-0.63151772665099992</c:v>
                </c:pt>
                <c:pt idx="5">
                  <c:v>-1.3690232757341567</c:v>
                </c:pt>
                <c:pt idx="6">
                  <c:v>-6.5288895520790877</c:v>
                </c:pt>
                <c:pt idx="7">
                  <c:v>-9.4300047371635003</c:v>
                </c:pt>
                <c:pt idx="8">
                  <c:v>-10.229121449968964</c:v>
                </c:pt>
                <c:pt idx="9">
                  <c:v>-12.832799463060562</c:v>
                </c:pt>
                <c:pt idx="10">
                  <c:v>-15.717702226095248</c:v>
                </c:pt>
                <c:pt idx="11">
                  <c:v>-17.253879265548324</c:v>
                </c:pt>
                <c:pt idx="12">
                  <c:v>-19.066827068794517</c:v>
                </c:pt>
                <c:pt idx="13">
                  <c:v>-20.265692499439616</c:v>
                </c:pt>
                <c:pt idx="14">
                  <c:v>-22.921226571307038</c:v>
                </c:pt>
                <c:pt idx="15">
                  <c:v>-23.790882796563629</c:v>
                </c:pt>
                <c:pt idx="16">
                  <c:v>-23.910992884431774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1106273.0524577505</c:v>
                </c:pt>
                <c:pt idx="3">
                  <c:v>1106273.9067583184</c:v>
                </c:pt>
                <c:pt idx="4">
                  <c:v>1106274.7605671994</c:v>
                </c:pt>
                <c:pt idx="5">
                  <c:v>1106275.6890595753</c:v>
                </c:pt>
                <c:pt idx="6">
                  <c:v>1106276.1059633445</c:v>
                </c:pt>
                <c:pt idx="7">
                  <c:v>1106277.1671236947</c:v>
                </c:pt>
                <c:pt idx="8">
                  <c:v>1106283.4330308009</c:v>
                </c:pt>
                <c:pt idx="9">
                  <c:v>1106287.6517311439</c:v>
                </c:pt>
                <c:pt idx="10">
                  <c:v>1106288.813536291</c:v>
                </c:pt>
                <c:pt idx="11">
                  <c:v>1106292.5912182746</c:v>
                </c:pt>
                <c:pt idx="12">
                  <c:v>1106297.9591932506</c:v>
                </c:pt>
                <c:pt idx="13">
                  <c:v>1106300.1615638088</c:v>
                </c:pt>
                <c:pt idx="14">
                  <c:v>1106304.5239894385</c:v>
                </c:pt>
                <c:pt idx="15">
                  <c:v>1106306.7264569853</c:v>
                </c:pt>
                <c:pt idx="16">
                  <c:v>1106310.8913982736</c:v>
                </c:pt>
                <c:pt idx="17">
                  <c:v>1106311.5411959433</c:v>
                </c:pt>
                <c:pt idx="18">
                  <c:v>1106311.9762871165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462936.34966332279</c:v>
                </c:pt>
                <c:pt idx="3">
                  <c:v>462935.8054817348</c:v>
                </c:pt>
                <c:pt idx="4">
                  <c:v>462935.26161334687</c:v>
                </c:pt>
                <c:pt idx="5">
                  <c:v>462934.67017226096</c:v>
                </c:pt>
                <c:pt idx="6">
                  <c:v>462934.4046084024</c:v>
                </c:pt>
                <c:pt idx="7">
                  <c:v>462933.72865903971</c:v>
                </c:pt>
                <c:pt idx="8">
                  <c:v>462929.73733396351</c:v>
                </c:pt>
                <c:pt idx="9">
                  <c:v>462927.05006072717</c:v>
                </c:pt>
                <c:pt idx="10">
                  <c:v>462926.31000155641</c:v>
                </c:pt>
                <c:pt idx="11">
                  <c:v>462923.90365295042</c:v>
                </c:pt>
                <c:pt idx="12">
                  <c:v>462920.48430236534</c:v>
                </c:pt>
                <c:pt idx="13">
                  <c:v>462919.08141261816</c:v>
                </c:pt>
                <c:pt idx="14">
                  <c:v>462916.30258769891</c:v>
                </c:pt>
                <c:pt idx="15">
                  <c:v>462914.89963617094</c:v>
                </c:pt>
                <c:pt idx="16">
                  <c:v>462912.24660695693</c:v>
                </c:pt>
                <c:pt idx="17">
                  <c:v>462911.83269183035</c:v>
                </c:pt>
                <c:pt idx="18">
                  <c:v>462911.55554276309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711321</xdr:colOff>
      <xdr:row>42</xdr:row>
      <xdr:rowOff>179779</xdr:rowOff>
    </xdr:from>
    <xdr:to>
      <xdr:col>34</xdr:col>
      <xdr:colOff>279892</xdr:colOff>
      <xdr:row>57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78442</xdr:colOff>
      <xdr:row>43</xdr:row>
      <xdr:rowOff>65017</xdr:rowOff>
    </xdr:from>
    <xdr:to>
      <xdr:col>21</xdr:col>
      <xdr:colOff>26571</xdr:colOff>
      <xdr:row>57</xdr:row>
      <xdr:rowOff>141217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134470</xdr:colOff>
      <xdr:row>43</xdr:row>
      <xdr:rowOff>62753</xdr:rowOff>
    </xdr:from>
    <xdr:to>
      <xdr:col>27</xdr:col>
      <xdr:colOff>347382</xdr:colOff>
      <xdr:row>57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87</v>
      </c>
      <c r="B1" s="61"/>
      <c r="C1" s="51">
        <v>40826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1.403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-0.63699078337273962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1106269.4029999999</v>
      </c>
      <c r="O4" s="20">
        <f>VALUE(MID(C10,FIND(",",C10,1)+1,FIND(",",C10,5)-FIND(",",C10,1)-1))</f>
        <v>462935.73100000003</v>
      </c>
      <c r="P4" s="20">
        <f>VALUE(MID(C10,FIND(",",C10,17)+1,FIND(",",C10,27)-FIND(",",C10,17)-1))</f>
        <v>1177.761</v>
      </c>
      <c r="Q4" s="23"/>
      <c r="R4" s="22"/>
      <c r="W4" s="27"/>
      <c r="X4" s="20">
        <f ca="1">VALUE(OFFSET($P$3,MATCH($O$10,$M$4:$M$6,0),0))</f>
        <v>1174.575</v>
      </c>
      <c r="Y4" s="20">
        <f ca="1">OFFSET($P$3,MATCH($Q$10,$M$4:$M$6,0),0)</f>
        <v>1174.884</v>
      </c>
      <c r="Z4" s="2"/>
      <c r="AA4" s="26" t="s">
        <v>41</v>
      </c>
      <c r="AB4" s="26" t="s">
        <v>54</v>
      </c>
      <c r="AC4" s="28">
        <f ca="1">INTERCEPT(yB,xB)</f>
        <v>1167622.0879725371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1106254.716</v>
      </c>
      <c r="O5" s="20">
        <f t="shared" ref="O5:O6" si="1">VALUE(MID(C11,FIND(",",C11,1)+1,FIND(",",C11,5)-FIND(",",C11,1)-1))</f>
        <v>462946.61200000002</v>
      </c>
      <c r="P5" s="20">
        <f t="shared" ref="P5:P6" si="2">VALUE(MID(C11,FIND(",",C11,17)+1,FIND(",",C11,27)-FIND(",",C11,17)-1))</f>
        <v>1174.575</v>
      </c>
      <c r="Q5" s="24">
        <f>DEGREES(ATAN2(Old_Y1-Old_Y0,Old_X1-Old_X0))+IF(Old_X1-Old_X0&lt;0,360)</f>
        <v>306.53323999355604</v>
      </c>
      <c r="R5" s="22"/>
      <c r="W5" s="21"/>
      <c r="X5" s="20">
        <f ca="1">VALUE(OFFSET($V$20,MATCH($O11,$A$21:$A$51,0),0))</f>
        <v>1177.354941111651</v>
      </c>
      <c r="Y5" s="20">
        <f ca="1">OFFSET($V$20,MATCH($Q11,$A$21:$A$51,0),0)</f>
        <v>1177.1425321930499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1106276.594</v>
      </c>
      <c r="O6" s="20">
        <f t="shared" si="1"/>
        <v>462949.56099999999</v>
      </c>
      <c r="P6" s="20">
        <f t="shared" si="2"/>
        <v>1174.884</v>
      </c>
      <c r="Q6" s="24">
        <f>DEGREES(ATAN2(Old_Y2-Old_Y0,Old_X2-Old_X0))+IF(Old_X2-Old_X0&lt;0,360)</f>
        <v>27.472474950648483</v>
      </c>
      <c r="R6" s="22"/>
      <c r="W6" s="21"/>
      <c r="X6" s="20">
        <f ca="1">VALUE(OFFSET($V$20,MATCH($O12,$A$21:$A$61,0),0))</f>
        <v>1177.354670973064</v>
      </c>
      <c r="Y6" s="20">
        <f ca="1">VALUE(OFFSET($V$20,MATCH($O12,$A$21:$A$61,0),0))</f>
        <v>1177.354670973064</v>
      </c>
      <c r="Z6" s="5"/>
      <c r="AA6" s="26" t="s">
        <v>42</v>
      </c>
      <c r="AB6" s="21" t="s">
        <v>55</v>
      </c>
      <c r="AC6" s="20">
        <f ca="1">-1/mA</f>
        <v>1.5698814270203387</v>
      </c>
    </row>
    <row r="7" spans="1:29" x14ac:dyDescent="0.25">
      <c r="A7" s="62" t="s">
        <v>18</v>
      </c>
      <c r="B7" s="62"/>
      <c r="C7" s="38">
        <v>19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2.7799411116509418</v>
      </c>
      <c r="Y8" s="20">
        <f ca="1">Y5-Y4</f>
        <v>2.2585321930498594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2.7796709730639577</v>
      </c>
      <c r="Y9" s="20">
        <f ca="1">Y6-Y4</f>
        <v>2.4706709730639886</v>
      </c>
      <c r="AA9" s="31" t="s">
        <v>49</v>
      </c>
      <c r="AB9" s="31"/>
      <c r="AC9" s="20">
        <f ca="1">AVERAGE(DfromL)</f>
        <v>0.60648011041175887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306.53323999355604</v>
      </c>
      <c r="Q10" s="32">
        <v>2</v>
      </c>
      <c r="R10" s="20">
        <f ca="1">OFFSET($Q$3,MATCH($O$10,$M$4:$M$6,0),0)</f>
        <v>306.53323999355604</v>
      </c>
      <c r="W10" s="22"/>
      <c r="X10" s="22"/>
      <c r="Y10" s="22"/>
      <c r="AA10" s="31" t="s">
        <v>50</v>
      </c>
      <c r="AB10" s="31"/>
      <c r="AC10" s="20">
        <f ca="1">_xlfn.STDEV.P(DfromL)</f>
        <v>0.30019478123967902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73.283333333333331</v>
      </c>
      <c r="W11" s="21" t="s">
        <v>37</v>
      </c>
      <c r="X11" s="20">
        <f ca="1">AVERAGE(X8:Y9)</f>
        <v>2.5722038127071869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5" t="s">
        <v>30</v>
      </c>
      <c r="N12" s="55"/>
      <c r="O12" s="32">
        <v>20</v>
      </c>
      <c r="P12" s="20">
        <f ca="1">OFFSET($N$20,MATCH($O12,$A$21:$A$61,0),0)</f>
        <v>1.5833333333333331E-2</v>
      </c>
      <c r="Q12" s="32">
        <v>21</v>
      </c>
      <c r="R12" s="20">
        <f ca="1">OFFSET($N$20,MATCH($Q12,$A$21:$A$51,0),0)</f>
        <v>73.308333333333337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1177.6644128046541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306.53351777133383</v>
      </c>
      <c r="Q14" s="20"/>
      <c r="R14" s="20">
        <f ca="1">R10-R11+IF(R11&gt;R10,360)</f>
        <v>233.24990666022271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306.51740666022272</v>
      </c>
      <c r="Q15" s="20"/>
      <c r="R15" s="20">
        <f ca="1">R10-R12+IF(R12&gt;R10,360)</f>
        <v>233.2249066602227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269.8814344380005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3.7889120370370368</v>
      </c>
      <c r="D21" s="44">
        <v>19.452999999999999</v>
      </c>
      <c r="E21" s="44">
        <v>1.492</v>
      </c>
      <c r="F21" s="49" t="s">
        <v>85</v>
      </c>
      <c r="G21" s="43">
        <f>C21*24</f>
        <v>90.933888888888887</v>
      </c>
      <c r="H21" s="43">
        <f>RADIANS(G21)</f>
        <v>1.5870957627537992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19.45041600226892</v>
      </c>
      <c r="L21" s="15">
        <f>D21*COS(H21)</f>
        <v>-0.31705888834902374</v>
      </c>
      <c r="M21" s="13"/>
      <c r="N21" s="16">
        <f t="shared" ref="N21:N34" si="4">I21+M21</f>
        <v>359.9997222222222</v>
      </c>
      <c r="O21" s="16">
        <f ca="1">$O$17</f>
        <v>269.8814344380005</v>
      </c>
      <c r="P21" s="16">
        <f ca="1">SUM(N21,O21)</f>
        <v>629.8811566602227</v>
      </c>
      <c r="Q21" s="16">
        <f ca="1">RADIANS(P21)</f>
        <v>10.993500079991096</v>
      </c>
      <c r="R21" s="16">
        <f t="shared" ref="R21:R34" ca="1" si="5">K21*SIN(Q21)</f>
        <v>-19.450374161161154</v>
      </c>
      <c r="S21" s="16">
        <f t="shared" ref="S21:S34" ca="1" si="6">K21*COS(Q21)</f>
        <v>-4.0344171244370751E-2</v>
      </c>
      <c r="T21" s="13">
        <f t="shared" ref="T21:T34" ca="1" si="7">Old_X0+R21</f>
        <v>1106249.9526258388</v>
      </c>
      <c r="U21" s="13">
        <f t="shared" ref="U21:U34" ca="1" si="8">Old_Y0+S21</f>
        <v>462935.6906558288</v>
      </c>
      <c r="V21" s="16">
        <f t="shared" ref="V21:V34" si="9">Old_Z0+HI+L21-E21</f>
        <v>1177.354941111651</v>
      </c>
      <c r="W21" s="16">
        <f t="shared" ref="W21:W34" ca="1" si="10">IF(ISNUMBER(T21),V21+dZ,"")</f>
        <v>1179.9271449243581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3.0534722222222221</v>
      </c>
      <c r="C22" s="48">
        <v>3.8235648148148145</v>
      </c>
      <c r="D22" s="44">
        <v>17.184999999999999</v>
      </c>
      <c r="E22" s="44">
        <v>1.492</v>
      </c>
      <c r="F22" s="49" t="s">
        <v>86</v>
      </c>
      <c r="G22" s="43">
        <f t="shared" ref="G22:G34" si="13">C22*24</f>
        <v>91.765555555555551</v>
      </c>
      <c r="H22" s="43">
        <f t="shared" ref="H22:H34" si="14">RADIANS(G22)</f>
        <v>1.6016110843662186</v>
      </c>
      <c r="I22" s="43">
        <f t="shared" si="3"/>
        <v>73.283333333333331</v>
      </c>
      <c r="J22" s="39">
        <f t="shared" ref="J22:J34" si="15">RADIANS(I22)</f>
        <v>1.2790354535031778</v>
      </c>
      <c r="K22" s="39">
        <f t="shared" ref="K22:K34" si="16">D22*SIN(H22)</f>
        <v>17.176841643369812</v>
      </c>
      <c r="L22" s="15">
        <f t="shared" ref="L22:L34" si="17">D22*COS(H22)</f>
        <v>-0.52946780695011375</v>
      </c>
      <c r="M22" s="13"/>
      <c r="N22" s="16">
        <f t="shared" si="4"/>
        <v>73.283333333333331</v>
      </c>
      <c r="O22" s="16">
        <f t="shared" ref="O22:O44" ca="1" si="18">$O$17</f>
        <v>269.8814344380005</v>
      </c>
      <c r="P22" s="16">
        <f t="shared" ref="P22:P34" ca="1" si="19">SUM(N22,O22)</f>
        <v>343.1647677713338</v>
      </c>
      <c r="Q22" s="16">
        <f t="shared" ref="Q22:Q34" ca="1" si="20">RADIANS(P22)</f>
        <v>5.9893550744514981</v>
      </c>
      <c r="R22" s="16">
        <f t="shared" ca="1" si="5"/>
        <v>-4.9747640159532072</v>
      </c>
      <c r="S22" s="16">
        <f t="shared" ca="1" si="6"/>
        <v>16.440669445827943</v>
      </c>
      <c r="T22" s="13">
        <f t="shared" ca="1" si="7"/>
        <v>1106264.4282359839</v>
      </c>
      <c r="U22" s="13">
        <f t="shared" ca="1" si="8"/>
        <v>462952.17166944587</v>
      </c>
      <c r="V22" s="16">
        <f t="shared" si="9"/>
        <v>1177.1425321930499</v>
      </c>
      <c r="W22" s="16">
        <f t="shared" ca="1" si="10"/>
        <v>1179.714736005757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7.1845486111111114</v>
      </c>
      <c r="C23" s="48">
        <v>3.4866087962962964</v>
      </c>
      <c r="D23" s="44">
        <v>3.6160000000000001</v>
      </c>
      <c r="E23" s="44">
        <v>1.492</v>
      </c>
      <c r="F23" s="44"/>
      <c r="G23" s="43">
        <f t="shared" si="13"/>
        <v>83.67861111111111</v>
      </c>
      <c r="H23" s="43">
        <f t="shared" si="14"/>
        <v>1.4604672773847995</v>
      </c>
      <c r="I23" s="43">
        <f t="shared" si="3"/>
        <v>172.42916666666667</v>
      </c>
      <c r="J23" s="39">
        <f t="shared" si="15"/>
        <v>3.0094566848033892</v>
      </c>
      <c r="K23" s="39">
        <f t="shared" si="16"/>
        <v>3.5940144367321691</v>
      </c>
      <c r="L23" s="15">
        <f t="shared" si="17"/>
        <v>0.39814096569023094</v>
      </c>
      <c r="M23" s="13"/>
      <c r="N23" s="16">
        <f t="shared" si="4"/>
        <v>172.42916666666667</v>
      </c>
      <c r="O23" s="16">
        <f t="shared" ca="1" si="18"/>
        <v>269.8814344380005</v>
      </c>
      <c r="P23" s="16">
        <f t="shared" ca="1" si="19"/>
        <v>442.31060110466717</v>
      </c>
      <c r="Q23" s="16">
        <f t="shared" ca="1" si="20"/>
        <v>7.7197763057517106</v>
      </c>
      <c r="R23" s="16">
        <f t="shared" ca="1" si="5"/>
        <v>3.5616969634465931</v>
      </c>
      <c r="S23" s="16">
        <f t="shared" ca="1" si="6"/>
        <v>0.48088929288825732</v>
      </c>
      <c r="T23" s="13">
        <f t="shared" ca="1" si="7"/>
        <v>1106272.9646969633</v>
      </c>
      <c r="U23" s="13">
        <f t="shared" ca="1" si="8"/>
        <v>462936.21188929293</v>
      </c>
      <c r="V23" s="16">
        <f t="shared" si="9"/>
        <v>1178.0701409656901</v>
      </c>
      <c r="W23" s="16">
        <f t="shared" ca="1" si="10"/>
        <v>1180.6423447783973</v>
      </c>
      <c r="X23" s="47">
        <f ca="1">IF(AND(A23&gt;=CS_Start,A23&lt;=CS_End),IF(OR(LEFT(UPPER(F23))="D"),"",T23),"")</f>
        <v>1106272.9646969633</v>
      </c>
      <c r="Y23" s="47">
        <f t="shared" ca="1" si="21"/>
        <v>462936.21188929293</v>
      </c>
      <c r="Z23" s="47">
        <f ca="1">IF(X23="",NA(),VALUE((-mB*X23+Y23-bA)/(mA-mB)))</f>
        <v>1106273.0524577505</v>
      </c>
      <c r="AA23" s="47">
        <f ca="1">IF(ISNA(Z23),NA(),VALUE(mA*Z23+bA))</f>
        <v>462936.34966332279</v>
      </c>
      <c r="AB23" s="16">
        <f t="shared" ca="1" si="22"/>
        <v>0.16335127510660932</v>
      </c>
      <c r="AC23" s="16">
        <f t="shared" ca="1" si="11"/>
        <v>0</v>
      </c>
      <c r="AD23" s="16">
        <f t="shared" ca="1" si="12"/>
        <v>2.9779319737431251</v>
      </c>
      <c r="AE23" s="2">
        <f ca="1">ROUND(CONVERT(AC23,"m","ft"),2)</f>
        <v>0</v>
      </c>
      <c r="AF23" s="2">
        <f ca="1">ROUND(CONVERT(AD23,"m","ft"),2)</f>
        <v>9.77</v>
      </c>
      <c r="AH23" s="44">
        <v>0</v>
      </c>
      <c r="AI23" s="2">
        <f ca="1">OFFSET($AF$22,MATCH(AH23,$AE$23:$AE$59,0),0)</f>
        <v>9.77</v>
      </c>
      <c r="AJ23" s="2" t="str">
        <f t="shared" ref="AJ23:AJ31" ca="1" si="23">CONCATENATE(AH23,",",AI23)</f>
        <v>0,9.77</v>
      </c>
    </row>
    <row r="24" spans="1:36" x14ac:dyDescent="0.25">
      <c r="A24" s="44">
        <v>4</v>
      </c>
      <c r="B24" s="48">
        <v>7.4849537037037033</v>
      </c>
      <c r="C24" s="48">
        <v>4.1242939814814816</v>
      </c>
      <c r="D24" s="44">
        <v>4.5359999999999996</v>
      </c>
      <c r="E24" s="44">
        <v>1.492</v>
      </c>
      <c r="F24" s="44"/>
      <c r="G24" s="43">
        <f t="shared" si="13"/>
        <v>98.983055555555552</v>
      </c>
      <c r="H24" s="43">
        <f t="shared" si="14"/>
        <v>1.7275802231289095</v>
      </c>
      <c r="I24" s="43">
        <f t="shared" si="3"/>
        <v>179.63888888888889</v>
      </c>
      <c r="J24" s="39">
        <f t="shared" si="15"/>
        <v>3.135290075735369</v>
      </c>
      <c r="K24" s="39">
        <f t="shared" si="16"/>
        <v>4.4803639676067117</v>
      </c>
      <c r="L24" s="15">
        <f t="shared" si="17"/>
        <v>-0.70826175794789681</v>
      </c>
      <c r="M24" s="13"/>
      <c r="N24" s="16">
        <f t="shared" si="4"/>
        <v>179.63888888888889</v>
      </c>
      <c r="O24" s="16">
        <f t="shared" ca="1" si="18"/>
        <v>269.8814344380005</v>
      </c>
      <c r="P24" s="16">
        <f t="shared" ca="1" si="19"/>
        <v>449.52032332688941</v>
      </c>
      <c r="Q24" s="16">
        <f t="shared" ca="1" si="20"/>
        <v>7.8456096966836908</v>
      </c>
      <c r="R24" s="16">
        <f t="shared" ca="1" si="5"/>
        <v>4.4802069556605009</v>
      </c>
      <c r="S24" s="16">
        <f t="shared" ca="1" si="6"/>
        <v>3.7508888010982573E-2</v>
      </c>
      <c r="T24" s="13">
        <f t="shared" ca="1" si="7"/>
        <v>1106273.8832069556</v>
      </c>
      <c r="U24" s="13">
        <f t="shared" ca="1" si="8"/>
        <v>462935.76850888802</v>
      </c>
      <c r="V24" s="16">
        <f t="shared" si="9"/>
        <v>1176.9637382420522</v>
      </c>
      <c r="W24" s="16">
        <f t="shared" ca="1" si="10"/>
        <v>1179.5359420547593</v>
      </c>
      <c r="X24" s="47">
        <f ca="1">IF(AND(A24&gt;=CS_Start,A24&lt;=CS_End),IF(OR(LEFT(UPPER(F24))="D"),"",T24),"")</f>
        <v>1106273.8832069556</v>
      </c>
      <c r="Y24" s="47">
        <f t="shared" ca="1" si="21"/>
        <v>462935.76850888802</v>
      </c>
      <c r="Z24" s="47">
        <f ca="1">IF(X24="",NA(),VALUE((-mB*X24+Y24-bA)/(mA-mB)))</f>
        <v>1106273.9067583184</v>
      </c>
      <c r="AA24" s="47">
        <f ca="1">IF(ISNA(Z24),NA(),VALUE(mA*Z24+bA))</f>
        <v>462935.8054817348</v>
      </c>
      <c r="AB24" s="47">
        <f t="shared" ref="AB24:AB34" ca="1" si="24">IF(ISNUMBER(X24),SQRT((X24-Z24)^2+(Y24-AA24)^2),"")</f>
        <v>4.3836720777858114E-2</v>
      </c>
      <c r="AC24" s="47">
        <f t="shared" ref="AC24:AC34" ca="1" si="25">IF(ISNUMBER(Z24),SQRT(($Z24-OFFSET($Z$20,MATCH(CS_Start,$A$21:$A$51,0),0))^2+($AA24-OFFSET($AA$20,MATCH(CS_Start,$A$21:$A$51,0),0))^2),"")</f>
        <v>1.012898346818311</v>
      </c>
      <c r="AD24" s="47">
        <f t="shared" ref="AD24:AD34" ca="1" si="26">IF(ISNUMBER(X24),W24-Min_Z,"")</f>
        <v>1.8715292501051408</v>
      </c>
      <c r="AE24" s="44">
        <f t="shared" ref="AE24:AE34" ca="1" si="27">ROUND(CONVERT(AC24,"m","ft"),2)</f>
        <v>3.32</v>
      </c>
      <c r="AF24" s="44">
        <f t="shared" ref="AF24:AF34" ca="1" si="28">ROUND(CONVERT(AD24,"m","ft"),2)</f>
        <v>6.14</v>
      </c>
      <c r="AH24" s="44">
        <v>3.32</v>
      </c>
      <c r="AI24" s="44">
        <f t="shared" ref="AI24:AI31" ca="1" si="29">OFFSET($AF$22,MATCH(AH24,$AE$23:$AE$59,0),0)</f>
        <v>6.14</v>
      </c>
      <c r="AJ24" s="2" t="str">
        <f t="shared" ca="1" si="23"/>
        <v>3.32,6.14</v>
      </c>
    </row>
    <row r="25" spans="1:36" x14ac:dyDescent="0.25">
      <c r="A25" s="44">
        <v>5</v>
      </c>
      <c r="B25" s="48">
        <v>7.4963888888888883</v>
      </c>
      <c r="C25" s="48">
        <v>4.2534837962962966</v>
      </c>
      <c r="D25" s="44">
        <v>5.798</v>
      </c>
      <c r="E25" s="44">
        <v>1.492</v>
      </c>
      <c r="F25" s="44"/>
      <c r="G25" s="43">
        <f t="shared" si="13"/>
        <v>102.08361111111111</v>
      </c>
      <c r="H25" s="43">
        <f t="shared" si="14"/>
        <v>1.7816951262143559</v>
      </c>
      <c r="I25" s="43">
        <f t="shared" si="3"/>
        <v>179.91333333333333</v>
      </c>
      <c r="J25" s="39">
        <f t="shared" si="15"/>
        <v>3.1400800349047313</v>
      </c>
      <c r="K25" s="39">
        <f t="shared" si="16"/>
        <v>5.6695346188706583</v>
      </c>
      <c r="L25" s="15">
        <f t="shared" si="17"/>
        <v>-1.2137467633024352</v>
      </c>
      <c r="M25" s="13"/>
      <c r="N25" s="16">
        <f t="shared" si="4"/>
        <v>179.91333333333333</v>
      </c>
      <c r="O25" s="16">
        <f t="shared" ca="1" si="18"/>
        <v>269.8814344380005</v>
      </c>
      <c r="P25" s="16">
        <f t="shared" ca="1" si="19"/>
        <v>449.7947677713338</v>
      </c>
      <c r="Q25" s="16">
        <f t="shared" ca="1" si="20"/>
        <v>7.8503996558530522</v>
      </c>
      <c r="R25" s="16">
        <f t="shared" ca="1" si="5"/>
        <v>5.66949824723691</v>
      </c>
      <c r="S25" s="16">
        <f t="shared" ca="1" si="6"/>
        <v>2.0308105536005643E-2</v>
      </c>
      <c r="T25" s="13">
        <f t="shared" ca="1" si="7"/>
        <v>1106275.0724982473</v>
      </c>
      <c r="U25" s="13">
        <f t="shared" ca="1" si="8"/>
        <v>462935.75130810554</v>
      </c>
      <c r="V25" s="16">
        <f t="shared" si="9"/>
        <v>1176.4582532366976</v>
      </c>
      <c r="W25" s="16">
        <f t="shared" ca="1" si="10"/>
        <v>1179.0304570494047</v>
      </c>
      <c r="X25" s="47">
        <f ca="1">IF(AND(A25&gt;=CS_Start,A25&lt;=CS_End),IF(OR(LEFT(UPPER(F25))="D"),"",T25),"")</f>
        <v>1106275.0724982473</v>
      </c>
      <c r="Y25" s="47">
        <f t="shared" ca="1" si="21"/>
        <v>462935.75130810554</v>
      </c>
      <c r="Z25" s="47">
        <f ca="1">IF(X25="",NA(),VALUE((-mB*X25+Y25-bA)/(mA-mB)))</f>
        <v>1106274.7605671994</v>
      </c>
      <c r="AA25" s="47">
        <f ca="1">IF(ISNA(Z25),NA(),VALUE(mA*Z25+bA))</f>
        <v>462935.26161334687</v>
      </c>
      <c r="AB25" s="47">
        <f t="shared" ca="1" si="24"/>
        <v>0.58060480127320402</v>
      </c>
      <c r="AC25" s="47">
        <f t="shared" ca="1" si="25"/>
        <v>2.0252137268730048</v>
      </c>
      <c r="AD25" s="47">
        <f t="shared" ca="1" si="26"/>
        <v>1.3660442447505829</v>
      </c>
      <c r="AE25" s="44">
        <f t="shared" ca="1" si="27"/>
        <v>6.64</v>
      </c>
      <c r="AF25" s="44">
        <f t="shared" ca="1" si="28"/>
        <v>4.4800000000000004</v>
      </c>
      <c r="AH25" s="44">
        <v>6.64</v>
      </c>
      <c r="AI25" s="44">
        <f t="shared" ca="1" si="29"/>
        <v>4.4800000000000004</v>
      </c>
      <c r="AJ25" s="2" t="str">
        <f t="shared" ca="1" si="23"/>
        <v>6.64,4.48</v>
      </c>
    </row>
    <row r="26" spans="1:36" x14ac:dyDescent="0.25">
      <c r="A26" s="44">
        <v>6</v>
      </c>
      <c r="B26" s="48">
        <v>7.6446180555555552</v>
      </c>
      <c r="C26" s="48">
        <v>4.415694444444445</v>
      </c>
      <c r="D26" s="44">
        <v>6.9930000000000003</v>
      </c>
      <c r="E26" s="44">
        <v>1.492</v>
      </c>
      <c r="F26" s="44"/>
      <c r="G26" s="43">
        <f t="shared" si="13"/>
        <v>105.97666666666669</v>
      </c>
      <c r="H26" s="43">
        <f t="shared" si="14"/>
        <v>1.8496417636218576</v>
      </c>
      <c r="I26" s="43">
        <f t="shared" si="3"/>
        <v>183.47083333333333</v>
      </c>
      <c r="J26" s="39">
        <f t="shared" si="15"/>
        <v>3.2021701230444295</v>
      </c>
      <c r="K26" s="39">
        <f t="shared" si="16"/>
        <v>6.7228874571285608</v>
      </c>
      <c r="L26" s="15">
        <f t="shared" si="17"/>
        <v>-1.9247943367496363</v>
      </c>
      <c r="M26" s="13"/>
      <c r="N26" s="16">
        <f t="shared" si="4"/>
        <v>183.47083333333333</v>
      </c>
      <c r="O26" s="16">
        <f t="shared" ca="1" si="18"/>
        <v>269.8814344380005</v>
      </c>
      <c r="P26" s="16">
        <f t="shared" ca="1" si="19"/>
        <v>453.3522677713338</v>
      </c>
      <c r="Q26" s="16">
        <f t="shared" ca="1" si="20"/>
        <v>7.91248974399275</v>
      </c>
      <c r="R26" s="16">
        <f t="shared" ca="1" si="5"/>
        <v>6.7113838486838686</v>
      </c>
      <c r="S26" s="16">
        <f t="shared" ca="1" si="6"/>
        <v>-0.39311906191615464</v>
      </c>
      <c r="T26" s="13">
        <f t="shared" ca="1" si="7"/>
        <v>1106276.1143838486</v>
      </c>
      <c r="U26" s="13">
        <f t="shared" ca="1" si="8"/>
        <v>462935.33788093814</v>
      </c>
      <c r="V26" s="16">
        <f t="shared" si="9"/>
        <v>1175.7472056632505</v>
      </c>
      <c r="W26" s="16">
        <f t="shared" ca="1" si="10"/>
        <v>1178.3194094759576</v>
      </c>
      <c r="X26" s="47">
        <f ca="1">IF(AND(A26&gt;=CS_Start,A26&lt;=CS_End),IF(OR(LEFT(UPPER(F26))="D"),"",T26),"")</f>
        <v>1106276.1143838486</v>
      </c>
      <c r="Y26" s="47">
        <f t="shared" ca="1" si="21"/>
        <v>462935.33788093814</v>
      </c>
      <c r="Z26" s="47">
        <f ca="1">IF(X26="",NA(),VALUE((-mB*X26+Y26-bA)/(mA-mB)))</f>
        <v>1106275.6890595753</v>
      </c>
      <c r="AA26" s="47">
        <f ca="1">IF(ISNA(Z26),NA(),VALUE(mA*Z26+bA))</f>
        <v>462934.67017226096</v>
      </c>
      <c r="AB26" s="47">
        <f t="shared" ca="1" si="24"/>
        <v>0.79166635335726854</v>
      </c>
      <c r="AC26" s="47">
        <f t="shared" ca="1" si="25"/>
        <v>3.1260773197743421</v>
      </c>
      <c r="AD26" s="47">
        <f t="shared" ca="1" si="26"/>
        <v>0.65499667130347916</v>
      </c>
      <c r="AE26" s="44">
        <f t="shared" ca="1" si="27"/>
        <v>10.26</v>
      </c>
      <c r="AF26" s="44">
        <f t="shared" ca="1" si="28"/>
        <v>2.15</v>
      </c>
      <c r="AH26" s="44">
        <v>10.26</v>
      </c>
      <c r="AI26" s="44">
        <f t="shared" ca="1" si="29"/>
        <v>2.15</v>
      </c>
      <c r="AJ26" s="2" t="str">
        <f t="shared" ca="1" si="23"/>
        <v>10.26,2.15</v>
      </c>
    </row>
    <row r="27" spans="1:36" x14ac:dyDescent="0.25">
      <c r="A27" s="44">
        <v>7</v>
      </c>
      <c r="B27" s="48">
        <v>7.7153819444444443</v>
      </c>
      <c r="C27" s="48">
        <v>4.463298611111111</v>
      </c>
      <c r="D27" s="44">
        <v>7.5060000000000002</v>
      </c>
      <c r="E27" s="44">
        <v>1.492</v>
      </c>
      <c r="F27" s="49" t="s">
        <v>84</v>
      </c>
      <c r="G27" s="43">
        <f t="shared" si="13"/>
        <v>107.11916666666667</v>
      </c>
      <c r="H27" s="43">
        <f t="shared" si="14"/>
        <v>1.8695821503258927</v>
      </c>
      <c r="I27" s="43">
        <f t="shared" si="3"/>
        <v>185.16916666666665</v>
      </c>
      <c r="J27" s="39">
        <f t="shared" si="15"/>
        <v>3.2318116315074668</v>
      </c>
      <c r="K27" s="39">
        <f t="shared" si="16"/>
        <v>7.1734436565537649</v>
      </c>
      <c r="L27" s="15">
        <f t="shared" si="17"/>
        <v>-2.2094664754751441</v>
      </c>
      <c r="M27" s="13"/>
      <c r="N27" s="16">
        <f t="shared" si="4"/>
        <v>185.16916666666665</v>
      </c>
      <c r="O27" s="16">
        <f t="shared" ca="1" si="18"/>
        <v>269.8814344380005</v>
      </c>
      <c r="P27" s="16">
        <f t="shared" ca="1" si="19"/>
        <v>455.05060110466718</v>
      </c>
      <c r="Q27" s="16">
        <f t="shared" ca="1" si="20"/>
        <v>7.9421312524557877</v>
      </c>
      <c r="R27" s="16">
        <f t="shared" ca="1" si="5"/>
        <v>7.1455915958496403</v>
      </c>
      <c r="S27" s="16">
        <f t="shared" ca="1" si="6"/>
        <v>-0.63151772665099992</v>
      </c>
      <c r="T27" s="13">
        <f t="shared" ca="1" si="7"/>
        <v>1106276.5485915958</v>
      </c>
      <c r="U27" s="13">
        <f t="shared" ca="1" si="8"/>
        <v>462935.09948227339</v>
      </c>
      <c r="V27" s="16">
        <f t="shared" si="9"/>
        <v>1175.4625335245248</v>
      </c>
      <c r="W27" s="16">
        <f t="shared" ca="1" si="10"/>
        <v>1178.0347373372319</v>
      </c>
      <c r="X27" s="47">
        <f ca="1">IF(AND(A27&gt;=CS_Start,A27&lt;=CS_End),IF(OR(LEFT(UPPER(F27))="D"),"",T27),"")</f>
        <v>1106276.5485915958</v>
      </c>
      <c r="Y27" s="47">
        <f t="shared" ca="1" si="21"/>
        <v>462935.09948227339</v>
      </c>
      <c r="Z27" s="47">
        <f ca="1">IF(X27="",NA(),VALUE((-mB*X27+Y27-bA)/(mA-mB)))</f>
        <v>1106276.1059633445</v>
      </c>
      <c r="AA27" s="47">
        <f ca="1">IF(ISNA(Z27),NA(),VALUE(mA*Z27+bA))</f>
        <v>462934.4046084024</v>
      </c>
      <c r="AB27" s="47">
        <f t="shared" ca="1" si="24"/>
        <v>0.82387466614345983</v>
      </c>
      <c r="AC27" s="47">
        <f t="shared" ca="1" si="25"/>
        <v>3.6203777503706633</v>
      </c>
      <c r="AD27" s="47">
        <f t="shared" ca="1" si="26"/>
        <v>0.37032453257779707</v>
      </c>
      <c r="AE27" s="44">
        <f t="shared" ca="1" si="27"/>
        <v>11.88</v>
      </c>
      <c r="AF27" s="44">
        <f t="shared" ca="1" si="28"/>
        <v>1.21</v>
      </c>
      <c r="AH27" s="44">
        <v>11.88</v>
      </c>
      <c r="AI27" s="44">
        <f t="shared" ca="1" si="29"/>
        <v>1.21</v>
      </c>
      <c r="AJ27" s="2" t="str">
        <f t="shared" ca="1" si="23"/>
        <v>11.88,1.21</v>
      </c>
    </row>
    <row r="28" spans="1:36" x14ac:dyDescent="0.25">
      <c r="A28" s="44">
        <v>8</v>
      </c>
      <c r="B28" s="48">
        <v>7.9014120370370371</v>
      </c>
      <c r="C28" s="48">
        <v>4.4709374999999998</v>
      </c>
      <c r="D28" s="44">
        <v>8.6739999999999995</v>
      </c>
      <c r="E28" s="44">
        <v>1.492</v>
      </c>
      <c r="F28" s="44"/>
      <c r="G28" s="43">
        <f t="shared" si="13"/>
        <v>107.30249999999999</v>
      </c>
      <c r="H28" s="43">
        <f t="shared" si="14"/>
        <v>1.8727819206212153</v>
      </c>
      <c r="I28" s="43">
        <f t="shared" si="3"/>
        <v>189.63388888888889</v>
      </c>
      <c r="J28" s="39">
        <f t="shared" si="15"/>
        <v>3.3097357344722025</v>
      </c>
      <c r="K28" s="39">
        <f t="shared" si="16"/>
        <v>8.2814826181529284</v>
      </c>
      <c r="L28" s="15">
        <f t="shared" si="17"/>
        <v>-2.5797910080529616</v>
      </c>
      <c r="M28" s="13"/>
      <c r="N28" s="16">
        <f t="shared" si="4"/>
        <v>189.63388888888889</v>
      </c>
      <c r="O28" s="16">
        <f t="shared" ca="1" si="18"/>
        <v>269.8814344380005</v>
      </c>
      <c r="P28" s="16">
        <f t="shared" ca="1" si="19"/>
        <v>459.51532332688942</v>
      </c>
      <c r="Q28" s="16">
        <f t="shared" ca="1" si="20"/>
        <v>8.0200553554205243</v>
      </c>
      <c r="R28" s="16">
        <f t="shared" ca="1" si="5"/>
        <v>8.167541222746733</v>
      </c>
      <c r="S28" s="16">
        <f t="shared" ca="1" si="6"/>
        <v>-1.3690232757341567</v>
      </c>
      <c r="T28" s="13">
        <f t="shared" ca="1" si="7"/>
        <v>1106277.5705412226</v>
      </c>
      <c r="U28" s="13">
        <f t="shared" ca="1" si="8"/>
        <v>462934.36197672429</v>
      </c>
      <c r="V28" s="16">
        <f t="shared" si="9"/>
        <v>1175.092208991947</v>
      </c>
      <c r="W28" s="16">
        <f t="shared" ca="1" si="10"/>
        <v>1177.6644128046541</v>
      </c>
      <c r="X28" s="47">
        <f ca="1">IF(AND(A28&gt;=CS_Start,A28&lt;=CS_End),IF(OR(LEFT(UPPER(F28))="D"),"",T28),"")</f>
        <v>1106277.5705412226</v>
      </c>
      <c r="Y28" s="47">
        <f t="shared" ca="1" si="21"/>
        <v>462934.36197672429</v>
      </c>
      <c r="Z28" s="47">
        <f ca="1">IF(X28="",NA(),VALUE((-mB*X28+Y28-bA)/(mA-mB)))</f>
        <v>1106277.1671236947</v>
      </c>
      <c r="AA28" s="47">
        <f ca="1">IF(ISNA(Z28),NA(),VALUE(mA*Z28+bA))</f>
        <v>462933.72865903971</v>
      </c>
      <c r="AB28" s="47">
        <f t="shared" ca="1" si="24"/>
        <v>0.75089079860235308</v>
      </c>
      <c r="AC28" s="47">
        <f t="shared" ca="1" si="25"/>
        <v>4.8785386422262818</v>
      </c>
      <c r="AD28" s="47">
        <f t="shared" ca="1" si="26"/>
        <v>0</v>
      </c>
      <c r="AE28" s="44">
        <f t="shared" ca="1" si="27"/>
        <v>16.010000000000002</v>
      </c>
      <c r="AF28" s="44">
        <f t="shared" ca="1" si="28"/>
        <v>0</v>
      </c>
      <c r="AH28" s="44">
        <v>16.010000000000002</v>
      </c>
      <c r="AI28" s="44">
        <f t="shared" ca="1" si="29"/>
        <v>0</v>
      </c>
      <c r="AJ28" s="2" t="str">
        <f t="shared" ca="1" si="23"/>
        <v>16.01,0</v>
      </c>
    </row>
    <row r="29" spans="1:36" x14ac:dyDescent="0.25">
      <c r="A29" s="44">
        <v>9</v>
      </c>
      <c r="B29" s="48">
        <v>8.5673726851851857</v>
      </c>
      <c r="C29" s="48">
        <v>4.1493171296296296</v>
      </c>
      <c r="D29" s="44">
        <v>15.381</v>
      </c>
      <c r="E29" s="44">
        <v>1.492</v>
      </c>
      <c r="F29" s="44"/>
      <c r="G29" s="43">
        <f t="shared" si="13"/>
        <v>99.583611111111111</v>
      </c>
      <c r="H29" s="43">
        <f t="shared" si="14"/>
        <v>1.7380618949144977</v>
      </c>
      <c r="I29" s="43">
        <f t="shared" si="3"/>
        <v>205.61694444444447</v>
      </c>
      <c r="J29" s="39">
        <f t="shared" si="15"/>
        <v>3.5886926784458186</v>
      </c>
      <c r="K29" s="39">
        <f t="shared" si="16"/>
        <v>15.166338138588484</v>
      </c>
      <c r="L29" s="15">
        <f t="shared" si="17"/>
        <v>-2.5607320176067612</v>
      </c>
      <c r="M29" s="13"/>
      <c r="N29" s="16">
        <f t="shared" si="4"/>
        <v>205.61694444444447</v>
      </c>
      <c r="O29" s="16">
        <f t="shared" ca="1" si="18"/>
        <v>269.8814344380005</v>
      </c>
      <c r="P29" s="16">
        <f t="shared" ca="1" si="19"/>
        <v>475.49837888244497</v>
      </c>
      <c r="Q29" s="16">
        <f t="shared" ca="1" si="20"/>
        <v>8.2990122993941391</v>
      </c>
      <c r="R29" s="16">
        <f t="shared" ca="1" si="5"/>
        <v>13.689098354192513</v>
      </c>
      <c r="S29" s="16">
        <f t="shared" ca="1" si="6"/>
        <v>-6.5288895520790877</v>
      </c>
      <c r="T29" s="13">
        <f t="shared" ca="1" si="7"/>
        <v>1106283.0920983541</v>
      </c>
      <c r="U29" s="13">
        <f t="shared" ca="1" si="8"/>
        <v>462929.20211044792</v>
      </c>
      <c r="V29" s="16">
        <f t="shared" si="9"/>
        <v>1175.1112679823932</v>
      </c>
      <c r="W29" s="16">
        <f t="shared" ca="1" si="10"/>
        <v>1177.6834717951003</v>
      </c>
      <c r="X29" s="47">
        <f ca="1">IF(AND(A29&gt;=CS_Start,A29&lt;=CS_End),IF(OR(LEFT(UPPER(F29))="D"),"",T29),"")</f>
        <v>1106283.0920983541</v>
      </c>
      <c r="Y29" s="47">
        <f t="shared" ca="1" si="21"/>
        <v>462929.20211044792</v>
      </c>
      <c r="Z29" s="47">
        <f ca="1">IF(X29="",NA(),VALUE((-mB*X29+Y29-bA)/(mA-mB)))</f>
        <v>1106283.4330308009</v>
      </c>
      <c r="AA29" s="47">
        <f ca="1">IF(ISNA(Z29),NA(),VALUE(mA*Z29+bA))</f>
        <v>462929.73733396351</v>
      </c>
      <c r="AB29" s="47">
        <f t="shared" ca="1" si="24"/>
        <v>0.63458580577826351</v>
      </c>
      <c r="AC29" s="47">
        <f t="shared" ca="1" si="25"/>
        <v>12.307688507974307</v>
      </c>
      <c r="AD29" s="47">
        <f t="shared" ca="1" si="26"/>
        <v>1.9058990446183088E-2</v>
      </c>
      <c r="AE29" s="44">
        <f t="shared" ca="1" si="27"/>
        <v>40.380000000000003</v>
      </c>
      <c r="AF29" s="44">
        <f t="shared" ca="1" si="28"/>
        <v>0.06</v>
      </c>
      <c r="AH29" s="44">
        <v>40.380000000000003</v>
      </c>
      <c r="AI29" s="44">
        <f t="shared" ca="1" si="29"/>
        <v>0.06</v>
      </c>
      <c r="AJ29" s="2" t="str">
        <f t="shared" ca="1" si="23"/>
        <v>40.38,0.06</v>
      </c>
    </row>
    <row r="30" spans="1:36" x14ac:dyDescent="0.25">
      <c r="A30" s="44">
        <v>10</v>
      </c>
      <c r="B30" s="48">
        <v>8.6695833333333336</v>
      </c>
      <c r="C30" s="48">
        <v>4.0420601851851847</v>
      </c>
      <c r="D30" s="44">
        <v>20.27</v>
      </c>
      <c r="E30" s="44">
        <v>1.492</v>
      </c>
      <c r="F30" s="44"/>
      <c r="G30" s="43">
        <f t="shared" si="13"/>
        <v>97.009444444444426</v>
      </c>
      <c r="H30" s="43">
        <f t="shared" si="14"/>
        <v>1.6931342110860765</v>
      </c>
      <c r="I30" s="43">
        <f t="shared" si="3"/>
        <v>208.07</v>
      </c>
      <c r="J30" s="39">
        <f t="shared" si="15"/>
        <v>3.6315065746246016</v>
      </c>
      <c r="K30" s="39">
        <f t="shared" si="16"/>
        <v>20.118503025850512</v>
      </c>
      <c r="L30" s="15">
        <f t="shared" si="17"/>
        <v>-2.4736078910861918</v>
      </c>
      <c r="M30" s="13"/>
      <c r="N30" s="16">
        <f t="shared" si="4"/>
        <v>208.07</v>
      </c>
      <c r="O30" s="16">
        <f t="shared" ca="1" si="18"/>
        <v>269.8814344380005</v>
      </c>
      <c r="P30" s="16">
        <f t="shared" ca="1" si="19"/>
        <v>477.95143443800049</v>
      </c>
      <c r="Q30" s="16">
        <f t="shared" ca="1" si="20"/>
        <v>8.3418261955729225</v>
      </c>
      <c r="R30" s="16">
        <f t="shared" ca="1" si="5"/>
        <v>17.771583346967994</v>
      </c>
      <c r="S30" s="16">
        <f t="shared" ca="1" si="6"/>
        <v>-9.4300047371635003</v>
      </c>
      <c r="T30" s="13">
        <f t="shared" ca="1" si="7"/>
        <v>1106287.1745833468</v>
      </c>
      <c r="U30" s="13">
        <f t="shared" ca="1" si="8"/>
        <v>462926.30099526286</v>
      </c>
      <c r="V30" s="16">
        <f t="shared" si="9"/>
        <v>1175.1983921089138</v>
      </c>
      <c r="W30" s="16">
        <f t="shared" ca="1" si="10"/>
        <v>1177.770595921621</v>
      </c>
      <c r="X30" s="47">
        <f ca="1">IF(AND(A30&gt;=CS_Start,A30&lt;=CS_End),IF(OR(LEFT(UPPER(F30))="D"),"",T30),"")</f>
        <v>1106287.1745833468</v>
      </c>
      <c r="Y30" s="47">
        <f t="shared" ca="1" si="21"/>
        <v>462926.30099526286</v>
      </c>
      <c r="Z30" s="47">
        <f ca="1">IF(X30="",NA(),VALUE((-mB*X30+Y30-bA)/(mA-mB)))</f>
        <v>1106287.6517311439</v>
      </c>
      <c r="AA30" s="47">
        <f ca="1">IF(ISNA(Z30),NA(),VALUE(mA*Z30+bA))</f>
        <v>462927.05006072717</v>
      </c>
      <c r="AB30" s="47">
        <f t="shared" ca="1" si="24"/>
        <v>0.88812673088493166</v>
      </c>
      <c r="AC30" s="47">
        <f t="shared" ca="1" si="25"/>
        <v>17.309575155146288</v>
      </c>
      <c r="AD30" s="47">
        <f t="shared" ca="1" si="26"/>
        <v>0.10618311696680394</v>
      </c>
      <c r="AE30" s="44">
        <f t="shared" ca="1" si="27"/>
        <v>56.79</v>
      </c>
      <c r="AF30" s="44">
        <f t="shared" ca="1" si="28"/>
        <v>0.35</v>
      </c>
      <c r="AH30" s="44">
        <v>56.79</v>
      </c>
      <c r="AI30" s="44">
        <f t="shared" ca="1" si="29"/>
        <v>0.35</v>
      </c>
      <c r="AJ30" s="2" t="str">
        <f t="shared" ca="1" si="23"/>
        <v>56.79,0.35</v>
      </c>
    </row>
    <row r="31" spans="1:36" x14ac:dyDescent="0.25">
      <c r="A31" s="44">
        <v>11</v>
      </c>
      <c r="B31" s="48">
        <v>8.6894675925925924</v>
      </c>
      <c r="C31" s="48">
        <v>3.9901157407407406</v>
      </c>
      <c r="D31" s="44">
        <v>21.596</v>
      </c>
      <c r="E31" s="44">
        <v>1.492</v>
      </c>
      <c r="F31" s="49" t="s">
        <v>84</v>
      </c>
      <c r="G31" s="43">
        <f t="shared" si="13"/>
        <v>95.762777777777771</v>
      </c>
      <c r="H31" s="43">
        <f t="shared" si="14"/>
        <v>1.6713757730778809</v>
      </c>
      <c r="I31" s="43">
        <f t="shared" si="3"/>
        <v>208.54722222222222</v>
      </c>
      <c r="J31" s="39">
        <f t="shared" si="15"/>
        <v>3.6398356736660631</v>
      </c>
      <c r="K31" s="39">
        <f t="shared" si="16"/>
        <v>21.486857058396925</v>
      </c>
      <c r="L31" s="15">
        <f t="shared" si="17"/>
        <v>-2.1684533087014355</v>
      </c>
      <c r="M31" s="13"/>
      <c r="N31" s="16">
        <f t="shared" si="4"/>
        <v>208.54722222222222</v>
      </c>
      <c r="O31" s="16">
        <f t="shared" ca="1" si="18"/>
        <v>269.8814344380005</v>
      </c>
      <c r="P31" s="16">
        <f t="shared" ca="1" si="19"/>
        <v>478.42865666022271</v>
      </c>
      <c r="Q31" s="16">
        <f t="shared" ca="1" si="20"/>
        <v>8.3501552946143835</v>
      </c>
      <c r="R31" s="16">
        <f t="shared" ca="1" si="5"/>
        <v>18.895769383906192</v>
      </c>
      <c r="S31" s="16">
        <f t="shared" ca="1" si="6"/>
        <v>-10.229121449968964</v>
      </c>
      <c r="T31" s="13">
        <f t="shared" ca="1" si="7"/>
        <v>1106288.2987693839</v>
      </c>
      <c r="U31" s="13">
        <f t="shared" ca="1" si="8"/>
        <v>462925.50187855004</v>
      </c>
      <c r="V31" s="16">
        <f t="shared" si="9"/>
        <v>1175.5035466912987</v>
      </c>
      <c r="W31" s="16">
        <f t="shared" ca="1" si="10"/>
        <v>1178.0757505040058</v>
      </c>
      <c r="X31" s="47">
        <f ca="1">IF(AND(A31&gt;=CS_Start,A31&lt;=CS_End),IF(OR(LEFT(UPPER(F31))="D"),"",T31),"")</f>
        <v>1106288.2987693839</v>
      </c>
      <c r="Y31" s="47">
        <f t="shared" ca="1" si="21"/>
        <v>462925.50187855004</v>
      </c>
      <c r="Z31" s="47">
        <f ca="1">IF(X31="",NA(),VALUE((-mB*X31+Y31-bA)/(mA-mB)))</f>
        <v>1106288.813536291</v>
      </c>
      <c r="AA31" s="47">
        <f ca="1">IF(ISNA(Z31),NA(),VALUE(mA*Z31+bA))</f>
        <v>462926.31000155641</v>
      </c>
      <c r="AB31" s="47">
        <f t="shared" ca="1" si="24"/>
        <v>0.95814808983494315</v>
      </c>
      <c r="AC31" s="47">
        <f t="shared" ca="1" si="25"/>
        <v>18.687065182690262</v>
      </c>
      <c r="AD31" s="47">
        <f t="shared" ca="1" si="26"/>
        <v>0.411337699351634</v>
      </c>
      <c r="AE31" s="44">
        <f t="shared" ca="1" si="27"/>
        <v>61.31</v>
      </c>
      <c r="AF31" s="44">
        <f t="shared" ca="1" si="28"/>
        <v>1.35</v>
      </c>
      <c r="AH31" s="44">
        <v>61.31</v>
      </c>
      <c r="AI31" s="44">
        <f t="shared" ca="1" si="29"/>
        <v>1.35</v>
      </c>
      <c r="AJ31" s="2" t="str">
        <f t="shared" ca="1" si="23"/>
        <v>61.31,1.35</v>
      </c>
    </row>
    <row r="32" spans="1:36" x14ac:dyDescent="0.25">
      <c r="A32" s="44">
        <v>12</v>
      </c>
      <c r="B32" s="48">
        <v>8.7401851851851848</v>
      </c>
      <c r="C32" s="48">
        <v>3.9241435185185183</v>
      </c>
      <c r="D32" s="44">
        <v>26.013000000000002</v>
      </c>
      <c r="E32" s="44">
        <v>1.492</v>
      </c>
      <c r="F32" s="44"/>
      <c r="G32" s="43">
        <f t="shared" si="13"/>
        <v>94.179444444444442</v>
      </c>
      <c r="H32" s="43">
        <f t="shared" si="14"/>
        <v>1.6437413932546374</v>
      </c>
      <c r="I32" s="43">
        <f t="shared" si="3"/>
        <v>209.76444444444445</v>
      </c>
      <c r="J32" s="39">
        <f t="shared" si="15"/>
        <v>3.6610802091722832</v>
      </c>
      <c r="K32" s="39">
        <f t="shared" si="16"/>
        <v>25.943823320397293</v>
      </c>
      <c r="L32" s="15">
        <f t="shared" si="17"/>
        <v>-1.8958376829279768</v>
      </c>
      <c r="M32" s="13"/>
      <c r="N32" s="16">
        <f t="shared" si="4"/>
        <v>209.76444444444445</v>
      </c>
      <c r="O32" s="16">
        <f t="shared" ca="1" si="18"/>
        <v>269.8814344380005</v>
      </c>
      <c r="P32" s="16">
        <f t="shared" ca="1" si="19"/>
        <v>479.64587888244495</v>
      </c>
      <c r="Q32" s="16">
        <f t="shared" ca="1" si="20"/>
        <v>8.3713998301206036</v>
      </c>
      <c r="R32" s="16">
        <f t="shared" ca="1" si="5"/>
        <v>22.547754354278009</v>
      </c>
      <c r="S32" s="16">
        <f t="shared" ca="1" si="6"/>
        <v>-12.832799463060562</v>
      </c>
      <c r="T32" s="13">
        <f t="shared" ca="1" si="7"/>
        <v>1106291.9507543542</v>
      </c>
      <c r="U32" s="13">
        <f t="shared" ca="1" si="8"/>
        <v>462922.89820053696</v>
      </c>
      <c r="V32" s="16">
        <f t="shared" si="9"/>
        <v>1175.776162317072</v>
      </c>
      <c r="W32" s="16">
        <f t="shared" ca="1" si="10"/>
        <v>1178.3483661297792</v>
      </c>
      <c r="X32" s="47">
        <f ca="1">IF(AND(A32&gt;=CS_Start,A32&lt;=CS_End),IF(OR(LEFT(UPPER(F32))="D"),"",T32),"")</f>
        <v>1106291.9507543542</v>
      </c>
      <c r="Y32" s="47">
        <f t="shared" ca="1" si="21"/>
        <v>462922.89820053696</v>
      </c>
      <c r="Z32" s="47">
        <f ca="1">IF(X32="",NA(),VALUE((-mB*X32+Y32-bA)/(mA-mB)))</f>
        <v>1106292.5912182746</v>
      </c>
      <c r="AA32" s="47">
        <f ca="1">IF(ISNA(Z32),NA(),VALUE(mA*Z32+bA))</f>
        <v>462923.90365295042</v>
      </c>
      <c r="AB32" s="47">
        <f t="shared" ca="1" si="24"/>
        <v>1.1921109801331109</v>
      </c>
      <c r="AC32" s="47">
        <f t="shared" ca="1" si="25"/>
        <v>23.166060023312767</v>
      </c>
      <c r="AD32" s="47">
        <f t="shared" ca="1" si="26"/>
        <v>0.68395332512500318</v>
      </c>
      <c r="AE32" s="44">
        <f t="shared" ca="1" si="27"/>
        <v>76</v>
      </c>
      <c r="AF32" s="44">
        <f t="shared" ca="1" si="28"/>
        <v>2.2400000000000002</v>
      </c>
      <c r="AH32" s="44">
        <v>76</v>
      </c>
      <c r="AI32" s="44">
        <f t="shared" ref="AI32:AI35" ca="1" si="30">OFFSET($AF$22,MATCH(AH32,$AE$23:$AE$59,0),0)</f>
        <v>2.2400000000000002</v>
      </c>
      <c r="AJ32" s="44" t="str">
        <f t="shared" ref="AJ32:AJ35" ca="1" si="31">CONCATENATE(AH32,",",AI32)</f>
        <v>76,2.24</v>
      </c>
    </row>
    <row r="33" spans="1:36" x14ac:dyDescent="0.25">
      <c r="A33" s="44">
        <v>13</v>
      </c>
      <c r="B33" s="48">
        <v>8.7168287037037029</v>
      </c>
      <c r="C33" s="48">
        <v>3.9063541666666666</v>
      </c>
      <c r="D33" s="44">
        <v>32.402999999999999</v>
      </c>
      <c r="E33" s="44">
        <v>1.492</v>
      </c>
      <c r="F33" s="44"/>
      <c r="G33" s="43">
        <f t="shared" si="13"/>
        <v>93.752499999999998</v>
      </c>
      <c r="H33" s="43">
        <f t="shared" si="14"/>
        <v>1.6362898069759837</v>
      </c>
      <c r="I33" s="43">
        <f t="shared" si="3"/>
        <v>209.20388888888886</v>
      </c>
      <c r="J33" s="39">
        <f t="shared" si="15"/>
        <v>3.651296669087492</v>
      </c>
      <c r="K33" s="39">
        <f t="shared" si="16"/>
        <v>32.33353018886428</v>
      </c>
      <c r="L33" s="15">
        <f t="shared" si="17"/>
        <v>-2.1206684148640718</v>
      </c>
      <c r="M33" s="13"/>
      <c r="N33" s="16">
        <f t="shared" si="4"/>
        <v>209.20388888888886</v>
      </c>
      <c r="O33" s="16">
        <f t="shared" ca="1" si="18"/>
        <v>269.8814344380005</v>
      </c>
      <c r="P33" s="16">
        <f t="shared" ca="1" si="19"/>
        <v>479.08532332688935</v>
      </c>
      <c r="Q33" s="16">
        <f t="shared" ca="1" si="20"/>
        <v>8.3616162900358137</v>
      </c>
      <c r="R33" s="16">
        <f t="shared" ca="1" si="5"/>
        <v>28.256167666652853</v>
      </c>
      <c r="S33" s="16">
        <f t="shared" ca="1" si="6"/>
        <v>-15.717702226095248</v>
      </c>
      <c r="T33" s="13">
        <f t="shared" ca="1" si="7"/>
        <v>1106297.6591676667</v>
      </c>
      <c r="U33" s="13">
        <f t="shared" ca="1" si="8"/>
        <v>462920.01329777396</v>
      </c>
      <c r="V33" s="16">
        <f t="shared" si="9"/>
        <v>1175.551331585136</v>
      </c>
      <c r="W33" s="16">
        <f t="shared" ca="1" si="10"/>
        <v>1178.1235353978432</v>
      </c>
      <c r="X33" s="47">
        <f ca="1">IF(AND(A33&gt;=CS_Start,A33&lt;=CS_End),IF(OR(LEFT(UPPER(F33))="D"),"",T33),"")</f>
        <v>1106297.6591676667</v>
      </c>
      <c r="Y33" s="47">
        <f t="shared" ca="1" si="21"/>
        <v>462920.01329777396</v>
      </c>
      <c r="Z33" s="47">
        <f ca="1">IF(X33="",NA(),VALUE((-mB*X33+Y33-bA)/(mA-mB)))</f>
        <v>1106297.9591932506</v>
      </c>
      <c r="AA33" s="47">
        <f ca="1">IF(ISNA(Z33),NA(),VALUE(mA*Z33+bA))</f>
        <v>462920.48430236534</v>
      </c>
      <c r="AB33" s="47">
        <f t="shared" ca="1" si="24"/>
        <v>0.55844487294910128</v>
      </c>
      <c r="AC33" s="47">
        <f t="shared" ca="1" si="25"/>
        <v>29.530579939812331</v>
      </c>
      <c r="AD33" s="47">
        <f t="shared" ca="1" si="26"/>
        <v>0.45912259318902215</v>
      </c>
      <c r="AE33" s="44">
        <f t="shared" ca="1" si="27"/>
        <v>96.89</v>
      </c>
      <c r="AF33" s="44">
        <f t="shared" ca="1" si="28"/>
        <v>1.51</v>
      </c>
      <c r="AH33" s="44">
        <v>96.89</v>
      </c>
      <c r="AI33" s="44">
        <f t="shared" ca="1" si="30"/>
        <v>1.51</v>
      </c>
      <c r="AJ33" s="44" t="str">
        <f t="shared" ca="1" si="31"/>
        <v>96.89,1.51</v>
      </c>
    </row>
    <row r="34" spans="1:36" x14ac:dyDescent="0.25">
      <c r="A34" s="44">
        <v>14</v>
      </c>
      <c r="B34" s="48">
        <v>8.7382291666666667</v>
      </c>
      <c r="C34" s="48">
        <v>3.8418402777777776</v>
      </c>
      <c r="D34" s="44">
        <v>34.957999999999998</v>
      </c>
      <c r="E34" s="44">
        <v>1.492</v>
      </c>
      <c r="F34" s="44"/>
      <c r="G34" s="43">
        <f t="shared" ref="G34:G37" si="32">C34*24</f>
        <v>92.204166666666666</v>
      </c>
      <c r="H34" s="43">
        <f t="shared" ref="H34:H37" si="33">RADIANS(G34)</f>
        <v>1.6092662923909382</v>
      </c>
      <c r="I34" s="43">
        <f t="shared" ref="I34:I37" si="34">B34*24</f>
        <v>209.7175</v>
      </c>
      <c r="J34" s="49">
        <f t="shared" ref="J34:J37" si="35">RADIANS(I34)</f>
        <v>3.6602608740512079</v>
      </c>
      <c r="K34" s="49">
        <f t="shared" ref="K34:K37" si="36">D34*SIN(H34)</f>
        <v>34.932135349353047</v>
      </c>
      <c r="L34" s="46">
        <f t="shared" ref="L34:L37" si="37">D34*COS(H34)</f>
        <v>-1.3445013702036361</v>
      </c>
      <c r="M34" s="45"/>
      <c r="N34" s="47">
        <f t="shared" ref="N34:N37" si="38">I34+M34</f>
        <v>209.7175</v>
      </c>
      <c r="O34" s="47">
        <f t="shared" ca="1" si="18"/>
        <v>269.8814344380005</v>
      </c>
      <c r="P34" s="47">
        <f t="shared" ref="P34:P37" ca="1" si="39">SUM(N34,O34)</f>
        <v>479.59893443800047</v>
      </c>
      <c r="Q34" s="47">
        <f t="shared" ref="Q34:Q37" ca="1" si="40">RADIANS(P34)</f>
        <v>8.3705804949995279</v>
      </c>
      <c r="R34" s="47">
        <f t="shared" ref="R34:R37" ca="1" si="41">K34*SIN(Q34)</f>
        <v>30.373635448451051</v>
      </c>
      <c r="S34" s="47">
        <f t="shared" ref="S34:S37" ca="1" si="42">K34*COS(Q34)</f>
        <v>-17.253879265548324</v>
      </c>
      <c r="T34" s="45">
        <f t="shared" ref="T34:T37" ca="1" si="43">Old_X0+R34</f>
        <v>1106299.7766354484</v>
      </c>
      <c r="U34" s="45">
        <f t="shared" ref="U34:U37" ca="1" si="44">Old_Y0+S34</f>
        <v>462918.47712073446</v>
      </c>
      <c r="V34" s="47">
        <f t="shared" ref="V34:V37" si="45">Old_Z0+HI+L34-E34</f>
        <v>1176.3274986297963</v>
      </c>
      <c r="W34" s="47">
        <f t="shared" ref="W34:W37" ca="1" si="46">IF(ISNUMBER(T34),V34+dZ,"")</f>
        <v>1178.8997024425034</v>
      </c>
      <c r="X34" s="47">
        <f ca="1">IF(AND(A34&gt;=CS_Start,A34&lt;=CS_End),IF(OR(LEFT(UPPER(F34))="D"),"",T34),"")</f>
        <v>1106299.7766354484</v>
      </c>
      <c r="Y34" s="47">
        <f t="shared" ca="1" si="21"/>
        <v>462918.47712073446</v>
      </c>
      <c r="Z34" s="47">
        <f ca="1">IF(X34="",NA(),VALUE((-mB*X34+Y34-bA)/(mA-mB)))</f>
        <v>1106300.1615638088</v>
      </c>
      <c r="AA34" s="47">
        <f ca="1">IF(ISNA(Z34),NA(),VALUE(mA*Z34+bA))</f>
        <v>462919.08141261816</v>
      </c>
      <c r="AB34" s="47">
        <f t="shared" ref="AB34:AB37" ca="1" si="47">IF(ISNUMBER(X34),SQRT((X34-Z34)^2+(Y34-AA34)^2),"")</f>
        <v>0.71647646389259234</v>
      </c>
      <c r="AC34" s="47">
        <f t="shared" ref="AC34:AC37" ca="1" si="48">IF(ISNUMBER(Z34),SQRT(($Z34-OFFSET($Z$20,MATCH(CS_Start,$A$21:$A$51,0),0))^2+($AA34-OFFSET($AA$20,MATCH(CS_Start,$A$21:$A$51,0),0))^2),"")</f>
        <v>32.141812544963059</v>
      </c>
      <c r="AD34" s="47">
        <f t="shared" ref="AD34:AD37" ca="1" si="49">IF(ISNUMBER(X34),W34-Min_Z,"")</f>
        <v>1.2352896378492915</v>
      </c>
      <c r="AE34" s="44">
        <f t="shared" ref="AE34:AE37" ca="1" si="50">ROUND(CONVERT(AC34,"m","ft"),2)</f>
        <v>105.45</v>
      </c>
      <c r="AF34" s="44">
        <f t="shared" ref="AF34:AF37" ca="1" si="51">ROUND(CONVERT(AD34,"m","ft"),2)</f>
        <v>4.05</v>
      </c>
      <c r="AH34" s="44">
        <v>105.45</v>
      </c>
      <c r="AI34" s="44">
        <f t="shared" ref="AI34:AI37" ca="1" si="52">OFFSET($AF$22,MATCH(AH34,$AE$23:$AE$59,0),0)</f>
        <v>4.05</v>
      </c>
      <c r="AJ34" s="44" t="str">
        <f t="shared" ref="AJ34:AJ37" ca="1" si="53">CONCATENATE(AH34,",",AI34)</f>
        <v>105.45,4.05</v>
      </c>
    </row>
    <row r="35" spans="1:36" x14ac:dyDescent="0.25">
      <c r="A35" s="44">
        <v>15</v>
      </c>
      <c r="B35" s="48">
        <v>8.685787037037036</v>
      </c>
      <c r="C35" s="48">
        <v>3.818622685185185</v>
      </c>
      <c r="D35" s="44">
        <v>40.182000000000002</v>
      </c>
      <c r="E35" s="44">
        <v>1.492</v>
      </c>
      <c r="F35" s="44"/>
      <c r="G35" s="43">
        <f t="shared" si="32"/>
        <v>91.646944444444443</v>
      </c>
      <c r="H35" s="43">
        <f t="shared" si="33"/>
        <v>1.5995409299478809</v>
      </c>
      <c r="I35" s="43">
        <f t="shared" si="34"/>
        <v>208.45888888888885</v>
      </c>
      <c r="J35" s="49">
        <f t="shared" si="35"/>
        <v>3.6382939661601341</v>
      </c>
      <c r="K35" s="49">
        <f t="shared" si="36"/>
        <v>40.165400909807197</v>
      </c>
      <c r="L35" s="46">
        <f t="shared" si="37"/>
        <v>-1.1548565947592844</v>
      </c>
      <c r="M35" s="45"/>
      <c r="N35" s="47">
        <f t="shared" si="38"/>
        <v>208.45888888888885</v>
      </c>
      <c r="O35" s="47">
        <f t="shared" ca="1" si="18"/>
        <v>269.8814344380005</v>
      </c>
      <c r="P35" s="47">
        <f t="shared" ca="1" si="39"/>
        <v>478.34032332688935</v>
      </c>
      <c r="Q35" s="47">
        <f t="shared" ca="1" si="40"/>
        <v>8.3486135871084546</v>
      </c>
      <c r="R35" s="47">
        <f t="shared" ca="1" si="41"/>
        <v>35.351315898764298</v>
      </c>
      <c r="S35" s="47">
        <f t="shared" ca="1" si="42"/>
        <v>-19.066827068794517</v>
      </c>
      <c r="T35" s="45">
        <f t="shared" ca="1" si="43"/>
        <v>1106304.7543158988</v>
      </c>
      <c r="U35" s="45">
        <f t="shared" ca="1" si="44"/>
        <v>462916.66417293123</v>
      </c>
      <c r="V35" s="47">
        <f t="shared" si="45"/>
        <v>1176.5171434052406</v>
      </c>
      <c r="W35" s="47">
        <f t="shared" ca="1" si="46"/>
        <v>1179.0893472179478</v>
      </c>
      <c r="X35" s="47">
        <f ca="1">IF(AND(A35&gt;=CS_Start,A35&lt;=CS_End),IF(OR(LEFT(UPPER(F35))="D"),"",T35),"")</f>
        <v>1106304.7543158988</v>
      </c>
      <c r="Y35" s="47">
        <f t="shared" ca="1" si="21"/>
        <v>462916.66417293123</v>
      </c>
      <c r="Z35" s="47">
        <f ca="1">IF(X35="",NA(),VALUE((-mB*X35+Y35-bA)/(mA-mB)))</f>
        <v>1106304.5239894385</v>
      </c>
      <c r="AA35" s="47">
        <f ca="1">IF(ISNA(Z35),NA(),VALUE(mA*Z35+bA))</f>
        <v>462916.30258769891</v>
      </c>
      <c r="AB35" s="47">
        <f t="shared" ca="1" si="47"/>
        <v>0.42871220941207766</v>
      </c>
      <c r="AC35" s="47">
        <f t="shared" ca="1" si="48"/>
        <v>37.314106553132163</v>
      </c>
      <c r="AD35" s="47">
        <f t="shared" ca="1" si="49"/>
        <v>1.424934413293613</v>
      </c>
      <c r="AE35" s="44">
        <f t="shared" ca="1" si="50"/>
        <v>122.42</v>
      </c>
      <c r="AF35" s="44">
        <f t="shared" ca="1" si="51"/>
        <v>4.67</v>
      </c>
      <c r="AH35" s="44">
        <v>122.42</v>
      </c>
      <c r="AI35" s="44">
        <f t="shared" ca="1" si="52"/>
        <v>4.67</v>
      </c>
      <c r="AJ35" s="44" t="str">
        <f t="shared" ca="1" si="53"/>
        <v>122.42,4.67</v>
      </c>
    </row>
    <row r="36" spans="1:36" x14ac:dyDescent="0.25">
      <c r="A36" s="44">
        <v>16</v>
      </c>
      <c r="B36" s="48">
        <v>8.6828819444444445</v>
      </c>
      <c r="C36" s="48">
        <v>3.8430902777777778</v>
      </c>
      <c r="D36" s="44">
        <v>42.82</v>
      </c>
      <c r="E36" s="44">
        <v>1.492</v>
      </c>
      <c r="F36" s="44"/>
      <c r="G36" s="43">
        <f t="shared" ref="G36:G40" si="54">C36*24</f>
        <v>92.234166666666667</v>
      </c>
      <c r="H36" s="43">
        <f t="shared" ref="H36:H40" si="55">RADIANS(G36)</f>
        <v>1.6097898911665365</v>
      </c>
      <c r="I36" s="43">
        <f t="shared" ref="I36:I40" si="56">B36*24</f>
        <v>208.38916666666665</v>
      </c>
      <c r="J36" s="49">
        <f t="shared" ref="J36:J40" si="57">RADIANS(I36)</f>
        <v>3.6370770838205497</v>
      </c>
      <c r="K36" s="49">
        <f t="shared" ref="K36:K40" si="58">D36*SIN(H36)</f>
        <v>42.787450261115382</v>
      </c>
      <c r="L36" s="46">
        <f t="shared" ref="L36:L40" si="59">D36*COS(H36)</f>
        <v>-1.6692813281700476</v>
      </c>
      <c r="M36" s="45"/>
      <c r="N36" s="47">
        <f t="shared" ref="N36:N40" si="60">I36+M36</f>
        <v>208.38916666666665</v>
      </c>
      <c r="O36" s="47">
        <f t="shared" ca="1" si="18"/>
        <v>269.8814344380005</v>
      </c>
      <c r="P36" s="47">
        <f t="shared" ref="P36:P40" ca="1" si="61">SUM(N36,O36)</f>
        <v>478.27060110466715</v>
      </c>
      <c r="Q36" s="47">
        <f t="shared" ref="Q36:Q40" ca="1" si="62">RADIANS(P36)</f>
        <v>8.3473967047688706</v>
      </c>
      <c r="R36" s="47">
        <f t="shared" ref="R36:R40" ca="1" si="63">K36*SIN(Q36)</f>
        <v>37.683784408755706</v>
      </c>
      <c r="S36" s="47">
        <f t="shared" ref="S36:S40" ca="1" si="64">K36*COS(Q36)</f>
        <v>-20.265692499439616</v>
      </c>
      <c r="T36" s="45">
        <f t="shared" ref="T36:T40" ca="1" si="65">Old_X0+R36</f>
        <v>1106307.0867844087</v>
      </c>
      <c r="U36" s="45">
        <f t="shared" ref="U36:U40" ca="1" si="66">Old_Y0+S36</f>
        <v>462915.46530750056</v>
      </c>
      <c r="V36" s="47">
        <f t="shared" ref="V36:V40" si="67">Old_Z0+HI+L36-E36</f>
        <v>1176.0027186718301</v>
      </c>
      <c r="W36" s="47">
        <f t="shared" ref="W36:W40" ca="1" si="68">IF(ISNUMBER(T36),V36+dZ,"")</f>
        <v>1178.5749224845372</v>
      </c>
      <c r="X36" s="47">
        <f ca="1">IF(AND(A36&gt;=CS_Start,A36&lt;=CS_End),IF(OR(LEFT(UPPER(F36))="D"),"",T36),"")</f>
        <v>1106307.0867844087</v>
      </c>
      <c r="Y36" s="47">
        <f t="shared" ref="Y36:Y40" ca="1" si="69">IF(ISNUMBER(X36),U36,"")</f>
        <v>462915.46530750056</v>
      </c>
      <c r="Z36" s="47">
        <f ca="1">IF(X36="",NA(),VALUE((-mB*X36+Y36-bA)/(mA-mB)))</f>
        <v>1106306.7264569853</v>
      </c>
      <c r="AA36" s="47">
        <f ca="1">IF(ISNA(Z36),NA(),VALUE(mA*Z36+bA))</f>
        <v>462914.89963617094</v>
      </c>
      <c r="AB36" s="47">
        <f t="shared" ref="AB36:AB40" ca="1" si="70">IF(ISNUMBER(X36),SQRT((X36-Z36)^2+(Y36-AA36)^2),"")</f>
        <v>0.6706861450394398</v>
      </c>
      <c r="AC36" s="47">
        <f t="shared" ref="AC36:AC40" ca="1" si="71">IF(ISNUMBER(Z36),SQRT(($Z36-OFFSET($Z$20,MATCH(CS_Start,$A$21:$A$51,0),0))^2+($AA36-OFFSET($AA$20,MATCH(CS_Start,$A$21:$A$51,0),0))^2),"")</f>
        <v>39.925454152462855</v>
      </c>
      <c r="AD36" s="47">
        <f t="shared" ref="AD36:AD40" ca="1" si="72">IF(ISNUMBER(X36),W36-Min_Z,"")</f>
        <v>0.91050967988303455</v>
      </c>
      <c r="AE36" s="44">
        <f t="shared" ref="AE36:AE40" ca="1" si="73">ROUND(CONVERT(AC36,"m","ft"),2)</f>
        <v>130.99</v>
      </c>
      <c r="AF36" s="44">
        <f t="shared" ref="AF36:AF40" ca="1" si="74">ROUND(CONVERT(AD36,"m","ft"),2)</f>
        <v>2.99</v>
      </c>
      <c r="AH36" s="44">
        <v>130.99</v>
      </c>
      <c r="AI36" s="44">
        <f t="shared" ref="AI36:AI39" ca="1" si="75">OFFSET($AF$22,MATCH(AH36,$AE$23:$AE$59,0),0)</f>
        <v>2.99</v>
      </c>
      <c r="AJ36" s="44" t="str">
        <f t="shared" ref="AJ36:AJ39" ca="1" si="76">CONCATENATE(AH36,",",AI36)</f>
        <v>130.99,2.99</v>
      </c>
    </row>
    <row r="37" spans="1:36" x14ac:dyDescent="0.25">
      <c r="A37" s="44">
        <v>17</v>
      </c>
      <c r="B37" s="48">
        <v>8.7012384259259257</v>
      </c>
      <c r="C37" s="48">
        <v>3.7794791666666665</v>
      </c>
      <c r="D37" s="44">
        <v>47.716999999999999</v>
      </c>
      <c r="E37" s="44">
        <v>2.609</v>
      </c>
      <c r="F37" s="44"/>
      <c r="G37" s="43">
        <f t="shared" si="54"/>
        <v>90.707499999999996</v>
      </c>
      <c r="H37" s="43">
        <f t="shared" si="55"/>
        <v>1.5831445312527563</v>
      </c>
      <c r="I37" s="43">
        <f t="shared" si="56"/>
        <v>208.82972222222222</v>
      </c>
      <c r="J37" s="49">
        <f t="shared" si="57"/>
        <v>3.644766228802947</v>
      </c>
      <c r="K37" s="49">
        <f t="shared" si="58"/>
        <v>47.713362146203487</v>
      </c>
      <c r="L37" s="46">
        <f t="shared" si="59"/>
        <v>-0.58920429838543087</v>
      </c>
      <c r="M37" s="45"/>
      <c r="N37" s="47">
        <f t="shared" si="60"/>
        <v>208.82972222222222</v>
      </c>
      <c r="O37" s="47">
        <f t="shared" ca="1" si="18"/>
        <v>269.8814344380005</v>
      </c>
      <c r="P37" s="47">
        <f t="shared" ca="1" si="61"/>
        <v>478.71115666022274</v>
      </c>
      <c r="Q37" s="47">
        <f t="shared" ca="1" si="62"/>
        <v>8.3550858497512692</v>
      </c>
      <c r="R37" s="47">
        <f t="shared" ca="1" si="63"/>
        <v>41.84713012575142</v>
      </c>
      <c r="S37" s="47">
        <f t="shared" ca="1" si="64"/>
        <v>-22.921226571307038</v>
      </c>
      <c r="T37" s="45">
        <f t="shared" ca="1" si="65"/>
        <v>1106311.2501301258</v>
      </c>
      <c r="U37" s="45">
        <f t="shared" ca="1" si="66"/>
        <v>462912.80977342871</v>
      </c>
      <c r="V37" s="47">
        <f t="shared" si="67"/>
        <v>1175.9657957016145</v>
      </c>
      <c r="W37" s="47">
        <f t="shared" ca="1" si="68"/>
        <v>1178.5379995143217</v>
      </c>
      <c r="X37" s="47">
        <f ca="1">IF(AND(A37&gt;=CS_Start,A37&lt;=CS_End),IF(OR(LEFT(UPPER(F37))="D"),"",T37),"")</f>
        <v>1106311.2501301258</v>
      </c>
      <c r="Y37" s="47">
        <f t="shared" ca="1" si="69"/>
        <v>462912.80977342871</v>
      </c>
      <c r="Z37" s="47">
        <f ca="1">IF(X37="",NA(),VALUE((-mB*X37+Y37-bA)/(mA-mB)))</f>
        <v>1106310.8913982736</v>
      </c>
      <c r="AA37" s="47">
        <f ca="1">IF(ISNA(Z37),NA(),VALUE(mA*Z37+bA))</f>
        <v>462912.24660695693</v>
      </c>
      <c r="AB37" s="47">
        <f t="shared" ca="1" si="70"/>
        <v>0.66771626959469066</v>
      </c>
      <c r="AC37" s="47">
        <f t="shared" ca="1" si="71"/>
        <v>44.863601572837531</v>
      </c>
      <c r="AD37" s="47">
        <f t="shared" ca="1" si="72"/>
        <v>0.87358670966750651</v>
      </c>
      <c r="AE37" s="44">
        <f t="shared" ca="1" si="73"/>
        <v>147.19</v>
      </c>
      <c r="AF37" s="44">
        <f t="shared" ca="1" si="74"/>
        <v>2.87</v>
      </c>
      <c r="AH37" s="44">
        <v>147.19</v>
      </c>
      <c r="AI37" s="44">
        <f t="shared" ca="1" si="75"/>
        <v>2.87</v>
      </c>
      <c r="AJ37" s="44" t="str">
        <f t="shared" ca="1" si="76"/>
        <v>147.19,2.87</v>
      </c>
    </row>
    <row r="38" spans="1:36" x14ac:dyDescent="0.25">
      <c r="A38" s="44">
        <v>18</v>
      </c>
      <c r="B38" s="48">
        <v>8.7303125000000001</v>
      </c>
      <c r="C38" s="48">
        <v>3.734884259259259</v>
      </c>
      <c r="D38" s="44">
        <v>48.451000000000001</v>
      </c>
      <c r="E38" s="44">
        <v>2.609</v>
      </c>
      <c r="F38" s="44"/>
      <c r="G38" s="43">
        <f t="shared" ref="G38:G41" si="77">C38*24</f>
        <v>89.637222222222221</v>
      </c>
      <c r="H38" s="43">
        <f t="shared" ref="H38:H41" si="78">RADIANS(G38)</f>
        <v>1.5644646601196059</v>
      </c>
      <c r="I38" s="43">
        <f t="shared" ref="I38:I41" si="79">B38*24</f>
        <v>209.5275</v>
      </c>
      <c r="J38" s="49">
        <f t="shared" ref="J38:J41" si="80">RADIANS(I38)</f>
        <v>3.6569447484724189</v>
      </c>
      <c r="K38" s="49">
        <f t="shared" ref="K38:K41" si="81">D38*SIN(H38)</f>
        <v>48.450028802879672</v>
      </c>
      <c r="L38" s="46">
        <f t="shared" ref="L38:L41" si="82">D38*COS(H38)</f>
        <v>0.30677353231628873</v>
      </c>
      <c r="M38" s="45"/>
      <c r="N38" s="47">
        <f t="shared" ref="N38:N41" si="83">I38+M38</f>
        <v>209.5275</v>
      </c>
      <c r="O38" s="47">
        <f t="shared" ca="1" si="18"/>
        <v>269.8814344380005</v>
      </c>
      <c r="P38" s="47">
        <f t="shared" ref="P38:P41" ca="1" si="84">SUM(N38,O38)</f>
        <v>479.40893443800053</v>
      </c>
      <c r="Q38" s="47">
        <f t="shared" ref="Q38:Q41" ca="1" si="85">RADIANS(P38)</f>
        <v>8.3672643694207398</v>
      </c>
      <c r="R38" s="47">
        <f t="shared" ref="R38:R41" ca="1" si="86">K38*SIN(Q38)</f>
        <v>42.206624915527684</v>
      </c>
      <c r="S38" s="47">
        <f t="shared" ref="S38:S41" ca="1" si="87">K38*COS(Q38)</f>
        <v>-23.790882796563629</v>
      </c>
      <c r="T38" s="45">
        <f t="shared" ref="T38:T41" ca="1" si="88">Old_X0+R38</f>
        <v>1106311.6096249155</v>
      </c>
      <c r="U38" s="45">
        <f t="shared" ref="U38:U41" ca="1" si="89">Old_Y0+S38</f>
        <v>462911.94011720346</v>
      </c>
      <c r="V38" s="47">
        <f t="shared" ref="V38:V41" si="90">Old_Z0+HI+L38-E38</f>
        <v>1176.8617735323164</v>
      </c>
      <c r="W38" s="47">
        <f t="shared" ref="W38:W41" ca="1" si="91">IF(ISNUMBER(T38),V38+dZ,"")</f>
        <v>1179.4339773450235</v>
      </c>
      <c r="X38" s="47">
        <f ca="1">IF(AND(A38&gt;=CS_Start,A38&lt;=CS_End),IF(OR(LEFT(UPPER(F38))="D"),"",T38),"")</f>
        <v>1106311.6096249155</v>
      </c>
      <c r="Y38" s="47">
        <f t="shared" ref="Y38:Y41" ca="1" si="92">IF(ISNUMBER(X38),U38,"")</f>
        <v>462911.94011720346</v>
      </c>
      <c r="Z38" s="47">
        <f ca="1">IF(X38="",NA(),VALUE((-mB*X38+Y38-bA)/(mA-mB)))</f>
        <v>1106311.5411959433</v>
      </c>
      <c r="AA38" s="47">
        <f ca="1">IF(ISNA(Z38),NA(),VALUE(mA*Z38+bA))</f>
        <v>462911.83269183035</v>
      </c>
      <c r="AB38" s="47">
        <f t="shared" ref="AB38:AB41" ca="1" si="93">IF(ISNUMBER(X38),SQRT((X38-Z38)^2+(Y38-AA38)^2),"")</f>
        <v>0.12736850094467947</v>
      </c>
      <c r="AC38" s="47">
        <f t="shared" ref="AC38:AC41" ca="1" si="94">IF(ISNUMBER(Z38),SQRT(($Z38-OFFSET($Z$20,MATCH(CS_Start,$A$21:$A$51,0),0))^2+($AA38-OFFSET($AA$20,MATCH(CS_Start,$A$21:$A$51,0),0))^2),"")</f>
        <v>45.634031805531222</v>
      </c>
      <c r="AD38" s="47">
        <f t="shared" ref="AD38:AD41" ca="1" si="95">IF(ISNUMBER(X38),W38-Min_Z,"")</f>
        <v>1.7695645403694016</v>
      </c>
      <c r="AE38" s="44">
        <f t="shared" ref="AE38:AE41" ca="1" si="96">ROUND(CONVERT(AC38,"m","ft"),2)</f>
        <v>149.72</v>
      </c>
      <c r="AF38" s="44">
        <f t="shared" ref="AF38:AF41" ca="1" si="97">ROUND(CONVERT(AD38,"m","ft"),2)</f>
        <v>5.81</v>
      </c>
      <c r="AH38" s="44">
        <v>149.72</v>
      </c>
      <c r="AI38" s="44">
        <f t="shared" ca="1" si="75"/>
        <v>5.81</v>
      </c>
      <c r="AJ38" s="44" t="str">
        <f t="shared" ca="1" si="76"/>
        <v>149.72,5.81</v>
      </c>
    </row>
    <row r="39" spans="1:36" x14ac:dyDescent="0.25">
      <c r="A39" s="44">
        <v>19</v>
      </c>
      <c r="B39" s="48">
        <v>8.7226041666666667</v>
      </c>
      <c r="C39" s="48">
        <v>3.717384259259259</v>
      </c>
      <c r="D39" s="44">
        <v>48.98</v>
      </c>
      <c r="E39" s="44">
        <v>2.609</v>
      </c>
      <c r="F39" s="44"/>
      <c r="G39" s="43">
        <f t="shared" si="77"/>
        <v>89.217222222222219</v>
      </c>
      <c r="H39" s="43">
        <f t="shared" si="78"/>
        <v>1.5571342772612298</v>
      </c>
      <c r="I39" s="43">
        <f t="shared" si="79"/>
        <v>209.3425</v>
      </c>
      <c r="J39" s="49">
        <f t="shared" si="80"/>
        <v>3.6537158893562292</v>
      </c>
      <c r="K39" s="49">
        <f t="shared" si="81"/>
        <v>48.975428973477975</v>
      </c>
      <c r="L39" s="46">
        <f t="shared" si="82"/>
        <v>0.66914636949923223</v>
      </c>
      <c r="M39" s="45"/>
      <c r="N39" s="47">
        <f t="shared" si="83"/>
        <v>209.3425</v>
      </c>
      <c r="O39" s="47">
        <f t="shared" ca="1" si="18"/>
        <v>269.8814344380005</v>
      </c>
      <c r="P39" s="47">
        <f t="shared" ca="1" si="84"/>
        <v>479.22393443800047</v>
      </c>
      <c r="Q39" s="47">
        <f t="shared" ca="1" si="85"/>
        <v>8.3640355103045501</v>
      </c>
      <c r="R39" s="47">
        <f t="shared" ca="1" si="86"/>
        <v>42.741748471685611</v>
      </c>
      <c r="S39" s="47">
        <f t="shared" ca="1" si="87"/>
        <v>-23.910992884431774</v>
      </c>
      <c r="T39" s="45">
        <f t="shared" ca="1" si="88"/>
        <v>1106312.1447484717</v>
      </c>
      <c r="U39" s="45">
        <f t="shared" ca="1" si="89"/>
        <v>462911.8200071156</v>
      </c>
      <c r="V39" s="47">
        <f t="shared" si="90"/>
        <v>1177.2241463694993</v>
      </c>
      <c r="W39" s="47">
        <f t="shared" ca="1" si="91"/>
        <v>1179.7963501822064</v>
      </c>
      <c r="X39" s="47">
        <f ca="1">IF(AND(A39&gt;=CS_Start,A39&lt;=CS_End),IF(OR(LEFT(UPPER(F39))="D"),"",T39),"")</f>
        <v>1106312.1447484717</v>
      </c>
      <c r="Y39" s="47">
        <f t="shared" ca="1" si="92"/>
        <v>462911.8200071156</v>
      </c>
      <c r="Z39" s="47">
        <f ca="1">IF(X39="",NA(),VALUE((-mB*X39+Y39-bA)/(mA-mB)))</f>
        <v>1106311.9762871165</v>
      </c>
      <c r="AA39" s="47">
        <f ca="1">IF(ISNA(Z39),NA(),VALUE(mA*Z39+bA))</f>
        <v>462911.55554276309</v>
      </c>
      <c r="AB39" s="47">
        <f t="shared" ca="1" si="93"/>
        <v>0.31356119327531579</v>
      </c>
      <c r="AC39" s="47">
        <f t="shared" ca="1" si="94"/>
        <v>46.149896065338218</v>
      </c>
      <c r="AD39" s="47">
        <f t="shared" ca="1" si="95"/>
        <v>2.1319373775522763</v>
      </c>
      <c r="AE39" s="44">
        <f t="shared" ca="1" si="96"/>
        <v>151.41</v>
      </c>
      <c r="AF39" s="44">
        <f t="shared" ca="1" si="97"/>
        <v>6.99</v>
      </c>
      <c r="AH39" s="44">
        <v>151.41</v>
      </c>
      <c r="AI39" s="44">
        <f t="shared" ca="1" si="75"/>
        <v>6.99</v>
      </c>
      <c r="AJ39" s="44" t="str">
        <f t="shared" ca="1" si="76"/>
        <v>151.41,6.99</v>
      </c>
    </row>
    <row r="40" spans="1:36" x14ac:dyDescent="0.25">
      <c r="A40" s="44">
        <v>20</v>
      </c>
      <c r="B40" s="48">
        <v>6.5972222222222213E-4</v>
      </c>
      <c r="C40" s="48">
        <v>3.7889351851851849</v>
      </c>
      <c r="D40" s="44">
        <v>19.457999999999998</v>
      </c>
      <c r="E40" s="44">
        <v>1.492</v>
      </c>
      <c r="F40" s="49" t="s">
        <v>69</v>
      </c>
      <c r="G40" s="43">
        <f t="shared" si="77"/>
        <v>90.934444444444438</v>
      </c>
      <c r="H40" s="43">
        <f t="shared" si="78"/>
        <v>1.5871054590274212</v>
      </c>
      <c r="I40" s="43">
        <f t="shared" si="79"/>
        <v>1.5833333333333331E-2</v>
      </c>
      <c r="J40" s="49">
        <f t="shared" si="80"/>
        <v>2.7634379823243547E-4</v>
      </c>
      <c r="K40" s="49">
        <f t="shared" si="81"/>
        <v>19.455412262110094</v>
      </c>
      <c r="L40" s="46">
        <f t="shared" si="82"/>
        <v>-0.31732902693592185</v>
      </c>
      <c r="M40" s="45"/>
      <c r="N40" s="47">
        <f t="shared" si="83"/>
        <v>1.5833333333333331E-2</v>
      </c>
      <c r="O40" s="47">
        <f t="shared" ca="1" si="18"/>
        <v>269.8814344380005</v>
      </c>
      <c r="P40" s="47">
        <f t="shared" ca="1" si="84"/>
        <v>269.89726777133382</v>
      </c>
      <c r="Q40" s="47">
        <f t="shared" ca="1" si="85"/>
        <v>4.7105959647465534</v>
      </c>
      <c r="R40" s="47">
        <f t="shared" ca="1" si="86"/>
        <v>-19.455380988466629</v>
      </c>
      <c r="S40" s="47">
        <f t="shared" ca="1" si="87"/>
        <v>-3.4883839740975947E-2</v>
      </c>
      <c r="T40" s="45">
        <f t="shared" ca="1" si="88"/>
        <v>1106249.9476190114</v>
      </c>
      <c r="U40" s="45">
        <f t="shared" ca="1" si="89"/>
        <v>462935.69611616031</v>
      </c>
      <c r="V40" s="47">
        <f t="shared" si="90"/>
        <v>1177.354670973064</v>
      </c>
      <c r="W40" s="47">
        <f t="shared" ca="1" si="91"/>
        <v>1179.9268747857711</v>
      </c>
      <c r="X40" s="47" t="str">
        <f>IF(AND(A40&gt;=CS_Start,A40&lt;=CS_End),IF(OR(LEFT(UPPER(F40))="D"),"",T40),"")</f>
        <v/>
      </c>
      <c r="Y40" s="47" t="str">
        <f t="shared" si="92"/>
        <v/>
      </c>
      <c r="Z40" s="47" t="e">
        <f>IF(X40="",NA(),VALUE((-mB*X40+Y40-bA)/(mA-mB)))</f>
        <v>#N/A</v>
      </c>
      <c r="AA40" s="47" t="e">
        <f>IF(ISNA(Z40),NA(),VALUE(mA*Z40+bA))</f>
        <v>#N/A</v>
      </c>
      <c r="AB40" s="47" t="str">
        <f t="shared" si="93"/>
        <v/>
      </c>
      <c r="AC40" s="47" t="str">
        <f t="shared" ca="1" si="94"/>
        <v/>
      </c>
      <c r="AD40" s="47" t="str">
        <f t="shared" si="95"/>
        <v/>
      </c>
      <c r="AE40" s="44" t="e">
        <f t="shared" ca="1" si="96"/>
        <v>#VALUE!</v>
      </c>
      <c r="AF40" s="44" t="e">
        <f t="shared" si="97"/>
        <v>#VALUE!</v>
      </c>
      <c r="AH40" s="44"/>
      <c r="AI40" s="44"/>
      <c r="AJ40" s="44"/>
    </row>
    <row r="41" spans="1:36" x14ac:dyDescent="0.25">
      <c r="A41" s="44">
        <v>21</v>
      </c>
      <c r="B41" s="48">
        <v>3.0545138888888892</v>
      </c>
      <c r="C41" s="48">
        <v>3.8244907407407407</v>
      </c>
      <c r="D41" s="44">
        <v>17.164999999999999</v>
      </c>
      <c r="E41" s="44">
        <v>1.492</v>
      </c>
      <c r="F41" s="49" t="s">
        <v>70</v>
      </c>
      <c r="G41" s="43">
        <f t="shared" si="77"/>
        <v>91.787777777777777</v>
      </c>
      <c r="H41" s="43">
        <f t="shared" si="78"/>
        <v>1.6019989353111064</v>
      </c>
      <c r="I41" s="43">
        <f t="shared" si="79"/>
        <v>73.308333333333337</v>
      </c>
      <c r="J41" s="49">
        <f t="shared" si="80"/>
        <v>1.2794717858161764</v>
      </c>
      <c r="K41" s="49">
        <f t="shared" si="81"/>
        <v>17.156644732081634</v>
      </c>
      <c r="L41" s="46">
        <f t="shared" si="82"/>
        <v>-0.53550587030907149</v>
      </c>
      <c r="M41" s="45"/>
      <c r="N41" s="47">
        <f t="shared" si="83"/>
        <v>73.308333333333337</v>
      </c>
      <c r="O41" s="47">
        <f t="shared" ca="1" si="18"/>
        <v>269.8814344380005</v>
      </c>
      <c r="P41" s="47">
        <f t="shared" ca="1" si="84"/>
        <v>343.18976777133383</v>
      </c>
      <c r="Q41" s="47">
        <f t="shared" ca="1" si="85"/>
        <v>5.9897914067644971</v>
      </c>
      <c r="R41" s="47">
        <f t="shared" ca="1" si="86"/>
        <v>-4.961748944879159</v>
      </c>
      <c r="S41" s="47">
        <f t="shared" ca="1" si="87"/>
        <v>16.423504676860386</v>
      </c>
      <c r="T41" s="45">
        <f t="shared" ca="1" si="88"/>
        <v>1106264.4412510551</v>
      </c>
      <c r="U41" s="45">
        <f t="shared" ca="1" si="89"/>
        <v>462952.15450467687</v>
      </c>
      <c r="V41" s="47">
        <f t="shared" si="90"/>
        <v>1177.1364941296908</v>
      </c>
      <c r="W41" s="47">
        <f t="shared" ca="1" si="91"/>
        <v>1179.708697942398</v>
      </c>
      <c r="X41" s="47" t="str">
        <f>IF(AND(A41&gt;=CS_Start,A41&lt;=CS_End),IF(OR(LEFT(UPPER(F41))="D"),"",T41),"")</f>
        <v/>
      </c>
      <c r="Y41" s="47" t="str">
        <f t="shared" si="92"/>
        <v/>
      </c>
      <c r="Z41" s="47" t="e">
        <f>IF(X41="",NA(),VALUE((-mB*X41+Y41-bA)/(mA-mB)))</f>
        <v>#N/A</v>
      </c>
      <c r="AA41" s="47" t="e">
        <f>IF(ISNA(Z41),NA(),VALUE(mA*Z41+bA))</f>
        <v>#N/A</v>
      </c>
      <c r="AB41" s="47" t="str">
        <f t="shared" si="93"/>
        <v/>
      </c>
      <c r="AC41" s="47" t="str">
        <f t="shared" ca="1" si="94"/>
        <v/>
      </c>
      <c r="AD41" s="47" t="str">
        <f t="shared" si="95"/>
        <v/>
      </c>
      <c r="AE41" s="44" t="e">
        <f t="shared" ca="1" si="96"/>
        <v>#VALUE!</v>
      </c>
      <c r="AF41" s="44" t="e">
        <f t="shared" si="97"/>
        <v>#VALUE!</v>
      </c>
      <c r="AI41" s="44"/>
      <c r="AJ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  <c r="AI42" s="44"/>
      <c r="AJ42" s="44"/>
    </row>
    <row r="43" spans="1:36" x14ac:dyDescent="0.25">
      <c r="A43" s="44"/>
      <c r="B43" s="48"/>
      <c r="C43" s="48"/>
      <c r="D43" s="44"/>
      <c r="E43" s="44"/>
      <c r="F43" s="49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  <c r="AI43" s="44"/>
      <c r="AJ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  <c r="AI44" s="44"/>
      <c r="AJ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9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3629492.7919947505</v>
      </c>
      <c r="C2" s="33">
        <f>IF(ISNUMBER(Calculations!O4),CONVERT(Calculations!O4,Units_In,Units_Out),"")</f>
        <v>1518818.0150918635</v>
      </c>
      <c r="D2" s="33" t="s">
        <v>60</v>
      </c>
      <c r="E2" s="10" t="str">
        <f>CONCATENATE("0503 ",B2,"EUSft ",C2,"NUSft")</f>
        <v>0503 3629492.79199475EUSft 1518818.01509186NUSft</v>
      </c>
      <c r="F2" s="34">
        <v>98</v>
      </c>
      <c r="G2" s="10" t="str">
        <f>IF(F2=98,"Lime",IF(F2=94,"Yellow",""))</f>
        <v>Lime</v>
      </c>
      <c r="H2" s="10" t="str">
        <f>Calculations!$A$1</f>
        <v>CSS26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3629444.6062992127</v>
      </c>
      <c r="C3" s="33">
        <f>IF(ISNUMBER(Calculations!O5),CONVERT(Calculations!O5,Units_In,Units_Out),"")</f>
        <v>1518853.7139107611</v>
      </c>
      <c r="D3" s="33" t="s">
        <v>60</v>
      </c>
      <c r="E3" s="10" t="str">
        <f t="shared" ref="E3:E4" si="0">CONCATENATE("0503 ",B3,"EUSft ",C3,"NUSft")</f>
        <v>0503 3629444.60629921EUSft 1518853.71391076NUSft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CSS26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3629516.3845144357</v>
      </c>
      <c r="C4" s="33">
        <f>IF(ISNUMBER(Calculations!O6),CONVERT(Calculations!O6,Units_In,Units_Out),"")</f>
        <v>1518863.3891076115</v>
      </c>
      <c r="D4" s="33" t="s">
        <v>60</v>
      </c>
      <c r="E4" s="10" t="str">
        <f t="shared" si="0"/>
        <v>0503 3629516.38451444EUSft 1518863.38910761NUSft</v>
      </c>
      <c r="F4" s="34">
        <v>98</v>
      </c>
      <c r="G4" s="10" t="str">
        <f t="shared" si="1"/>
        <v>Lime</v>
      </c>
      <c r="H4" s="10" t="str">
        <f>Calculations!$A$1</f>
        <v>CSS26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3629428.9784312295</v>
      </c>
      <c r="C5" s="33">
        <f ca="1">IF(ISNUMBER(A5),CONVERT(Calculations!U21,Units_In,Units_Out),"")</f>
        <v>1518817.882729097</v>
      </c>
      <c r="D5" s="33" t="str">
        <f>IF(ISTEXT(Calculations!F21),Calculations!F21,"")</f>
        <v>BS/ZERO</v>
      </c>
      <c r="E5" t="str">
        <f ca="1">IF(ISNUMBER(A5),CONCATENATE("0503 ",B5,"EUSft ",C5,"NUSft"),"")</f>
        <v>0503 3629428.97843123EUSft 1518817.8827291NUSft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CSS26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3629476.4705904988</v>
      </c>
      <c r="C6" s="33">
        <f ca="1">IF(ISNUMBER(A6),CONVERT(Calculations!U22,Units_In,Units_Out),"")</f>
        <v>1518871.9542960823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3629476.4705905EUSft 1518871.95429608NUSft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CSS26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3629504.477352242</v>
      </c>
      <c r="C7" s="33">
        <f ca="1">IF(ISNUMBER(A7),CONVERT(Calculations!U23,Units_In,Units_Out),"")</f>
        <v>1518819.5928126408</v>
      </c>
      <c r="D7" s="33" t="str">
        <f>IF(ISTEXT(Calculations!F23),Calculations!F23,"")</f>
        <v/>
      </c>
      <c r="E7" s="10" t="str">
        <f t="shared" ca="1" si="2"/>
        <v>0503 3629504.47735224EUSft 1518819.59281264NUSft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CSS26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3629507.4908364685</v>
      </c>
      <c r="C8" s="33">
        <f ca="1">IF(ISNUMBER(A8),CONVERT(Calculations!U24,Units_In,Units_Out),"")</f>
        <v>1518818.1381525197</v>
      </c>
      <c r="D8" s="33" t="str">
        <f>IF(ISTEXT(Calculations!F24),Calculations!F24,"")</f>
        <v/>
      </c>
      <c r="E8" s="10" t="str">
        <f t="shared" ca="1" si="2"/>
        <v>0503 3629507.49083647EUSft 1518818.13815252NUSft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CSS26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3629511.3927107849</v>
      </c>
      <c r="C9" s="33">
        <f ca="1">IF(ISNUMBER(A9),CONVERT(Calculations!U25,Units_In,Units_Out),"")</f>
        <v>1518818.0817195063</v>
      </c>
      <c r="D9" s="33" t="str">
        <f>IF(ISTEXT(Calculations!F25),Calculations!F25,"")</f>
        <v/>
      </c>
      <c r="E9" s="10" t="str">
        <f t="shared" ca="1" si="2"/>
        <v>0503 3629511.39271078EUSft 1518818.08171951NUSft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CSS26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3629514.8109706319</v>
      </c>
      <c r="C10" s="33">
        <f ca="1">IF(ISNUMBER(A10),CONVERT(Calculations!U26,Units_In,Units_Out),"")</f>
        <v>1518816.7253311616</v>
      </c>
      <c r="D10" s="33" t="str">
        <f>IF(ISTEXT(Calculations!F26),Calculations!F26,"")</f>
        <v/>
      </c>
      <c r="E10" s="10" t="str">
        <f t="shared" ca="1" si="2"/>
        <v>0503 3629514.81097063EUSft 1518816.72533116NUSft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CSS26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3629516.2355367318</v>
      </c>
      <c r="C11" s="33">
        <f ca="1">IF(ISNUMBER(A11),CONVERT(Calculations!U27,Units_In,Units_Out),"")</f>
        <v>1518815.9431833117</v>
      </c>
      <c r="D11" s="33" t="str">
        <f>IF(ISTEXT(Calculations!F27),Calculations!F27,"")</f>
        <v>WS</v>
      </c>
      <c r="E11" s="10" t="str">
        <f t="shared" ca="1" si="2"/>
        <v>0503 3629516.23553673EUSft 1518815.94318331NUSft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CSS26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3629519.5883898381</v>
      </c>
      <c r="C12" s="33">
        <f ca="1">IF(ISNUMBER(A12),CONVERT(Calculations!U28,Units_In,Units_Out),"")</f>
        <v>1518813.5235456834</v>
      </c>
      <c r="D12" s="33" t="str">
        <f>IF(ISTEXT(Calculations!F28),Calculations!F28,"")</f>
        <v/>
      </c>
      <c r="E12" s="10" t="str">
        <f t="shared" ca="1" si="2"/>
        <v>0503 3629519.58838984EUSft 1518813.52354568NUSft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CSS26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3629537.7037347578</v>
      </c>
      <c r="C13" s="33">
        <f ca="1">IF(ISNUMBER(A13),CONVERT(Calculations!U29,Units_In,Units_Out),"")</f>
        <v>1518796.5948505509</v>
      </c>
      <c r="D13" s="33" t="str">
        <f>IF(ISTEXT(Calculations!F29),Calculations!F29,"")</f>
        <v/>
      </c>
      <c r="E13" s="10" t="str">
        <f t="shared" ca="1" si="2"/>
        <v>0503 3629537.70373476EUSft 1518796.59485055NUSft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CSS26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3629551.0977143925</v>
      </c>
      <c r="C14" s="33">
        <f ca="1">IF(ISNUMBER(A14),CONVERT(Calculations!U30,Units_In,Units_Out),"")</f>
        <v>1518787.0767561118</v>
      </c>
      <c r="D14" s="33" t="str">
        <f>IF(ISTEXT(Calculations!F30),Calculations!F30,"")</f>
        <v/>
      </c>
      <c r="E14" s="10" t="str">
        <f t="shared" ca="1" si="2"/>
        <v>0503 3629551.09771439EUSft 1518787.07675611NUSft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CSS26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3629554.7859887928</v>
      </c>
      <c r="C15" s="33">
        <f ca="1">IF(ISNUMBER(A15),CONVERT(Calculations!U31,Units_In,Units_Out),"")</f>
        <v>1518784.4549821194</v>
      </c>
      <c r="D15" s="33" t="str">
        <f>IF(ISTEXT(Calculations!F31),Calculations!F31,"")</f>
        <v>WS</v>
      </c>
      <c r="E15" s="10" t="str">
        <f t="shared" ca="1" si="2"/>
        <v>0503 3629554.78598879EUSft 1518784.45498212NUSft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CSS26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3629566.7675667787</v>
      </c>
      <c r="C16" s="33">
        <f ca="1">IF(ISNUMBER(A16),CONVERT(Calculations!U32,Units_In,Units_Out),"")</f>
        <v>1518775.9127314207</v>
      </c>
      <c r="D16" s="33" t="str">
        <f>IF(ISTEXT(Calculations!F32),Calculations!F32,"")</f>
        <v/>
      </c>
      <c r="E16" s="10" t="str">
        <f t="shared" ca="1" si="2"/>
        <v>0503 3629566.76756678EUSft 1518775.91273142NUSft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CSS26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3629585.4959569112</v>
      </c>
      <c r="C17" s="33">
        <f ca="1">IF(ISNUMBER(A17),CONVERT(Calculations!U33,Units_In,Units_Out),"")</f>
        <v>1518766.4478273424</v>
      </c>
      <c r="D17" s="33" t="str">
        <f>IF(ISTEXT(Calculations!F33),Calculations!F33,"")</f>
        <v/>
      </c>
      <c r="E17" s="10" t="str">
        <f t="shared" ca="1" si="2"/>
        <v>0503 3629585.49595691EUSft 1518766.44782734NUSft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CSS26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3629592.4430296863</v>
      </c>
      <c r="C18" s="33">
        <f ca="1">IF(ISNUMBER(A18),CONVERT(Calculations!U34,Units_In,Units_Out),"")</f>
        <v>1518761.4078764254</v>
      </c>
      <c r="D18" s="33" t="str">
        <f>IF(ISTEXT(Calculations!F34),Calculations!F34,"")</f>
        <v/>
      </c>
      <c r="E18" s="10" t="str">
        <f t="shared" ca="1" si="2"/>
        <v>0503 3629592.44302969EUSft 1518761.40787643NUSft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CSS26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3629608.7740022927</v>
      </c>
      <c r="C19" s="33">
        <f ca="1">IF(ISNUMBER(A19),CONVERT(Calculations!U35,Units_In,Units_Out),"")</f>
        <v>1518755.4598849448</v>
      </c>
      <c r="D19" s="33" t="str">
        <f>IF(ISTEXT(Calculations!F35),Calculations!F35,"")</f>
        <v/>
      </c>
      <c r="E19" s="10" t="str">
        <f t="shared" ca="1" si="2"/>
        <v>0503 3629608.77400229EUSft 1518755.45988494NUSft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CSS26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3629616.4264580333</v>
      </c>
      <c r="C20" s="33">
        <f ca="1">IF(ISNUMBER(A20),CONVERT(Calculations!U36,Units_In,Units_Out),"")</f>
        <v>1518751.5265994114</v>
      </c>
      <c r="D20" s="33" t="str">
        <f>IF(ISTEXT(Calculations!F36),Calculations!F36,"")</f>
        <v/>
      </c>
      <c r="E20" s="10" t="str">
        <f t="shared" ca="1" si="2"/>
        <v>0503 3629616.42645803EUSft 1518751.52659941NUSft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CSS26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3629630.0857287594</v>
      </c>
      <c r="C21" s="33">
        <f ca="1">IF(ISNUMBER(A21),CONVERT(Calculations!U37,Units_In,Units_Out),"")</f>
        <v>1518742.8142172857</v>
      </c>
      <c r="D21" s="33" t="str">
        <f>IF(ISTEXT(Calculations!F37),Calculations!F37,"")</f>
        <v/>
      </c>
      <c r="E21" s="10" t="str">
        <f t="shared" ca="1" si="2"/>
        <v>0503 3629630.08572876EUSft 1518742.81421729NUSft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CSS26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3629631.2651736075</v>
      </c>
      <c r="C22" s="33">
        <f ca="1">IF(ISNUMBER(A22),CONVERT(Calculations!U38,Units_In,Units_Out),"")</f>
        <v>1518739.9610144473</v>
      </c>
      <c r="D22" s="33" t="str">
        <f>IF(ISTEXT(Calculations!F38),Calculations!F38,"")</f>
        <v/>
      </c>
      <c r="E22" s="10" t="str">
        <f t="shared" ca="1" si="2"/>
        <v>0503 3629631.26517361EUSft 1518739.96101445NUSft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CSS26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3629633.0208283188</v>
      </c>
      <c r="C23" s="33">
        <f ca="1">IF(ISNUMBER(A23),CONVERT(Calculations!U39,Units_In,Units_Out),"")</f>
        <v>1518739.5669524791</v>
      </c>
      <c r="D23" s="33" t="str">
        <f>IF(ISTEXT(Calculations!F39),Calculations!F39,"")</f>
        <v/>
      </c>
      <c r="E23" s="10" t="str">
        <f t="shared" ca="1" si="2"/>
        <v>0503 3629633.02082832EUSft 1518739.56695248NUSft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CSS26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3629428.9620046304</v>
      </c>
      <c r="C24" s="33">
        <f ca="1">IF(ISNUMBER(A24),CONVERT(Calculations!U40,Units_In,Units_Out),"")</f>
        <v>1518817.9006435706</v>
      </c>
      <c r="D24" s="33" t="str">
        <f>IF(ISTEXT(Calculations!F40),Calculations!F40,"")</f>
        <v>PT1</v>
      </c>
      <c r="E24" s="10" t="str">
        <f t="shared" ca="1" si="2"/>
        <v>0503 3629428.96200463EUSft 1518817.90064357NUSft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CSS26</v>
      </c>
    </row>
    <row r="25" spans="1:8" x14ac:dyDescent="0.25">
      <c r="A25" s="10">
        <f>IF(ISNUMBER(Calculations!A41),Calculations!A41,"")</f>
        <v>21</v>
      </c>
      <c r="B25" s="33">
        <f ca="1">IF(ISNUMBER(A25),CONVERT(Calculations!T41,Units_In,Units_Out),"")</f>
        <v>3629476.5132908635</v>
      </c>
      <c r="C25" s="33">
        <f ca="1">IF(ISNUMBER(A25),CONVERT(Calculations!U41,Units_In,Units_Out),"")</f>
        <v>1518871.8979812234</v>
      </c>
      <c r="D25" s="33" t="str">
        <f>IF(ISTEXT(Calculations!F41),Calculations!F41,"")</f>
        <v>PT2</v>
      </c>
      <c r="E25" s="10" t="str">
        <f t="shared" ca="1" si="2"/>
        <v>0503 3629476.51329086EUSft 1518871.89798122NUSft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CSS26</v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2013-08-28T10:54:25Z</dcterms:modified>
</cp:coreProperties>
</file>