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Y46" i="1" l="1"/>
  <c r="X46" i="1"/>
  <c r="AD46" i="1" s="1"/>
  <c r="AF46" i="1" s="1"/>
  <c r="J46" i="1"/>
  <c r="I46" i="1"/>
  <c r="N46" i="1" s="1"/>
  <c r="H46" i="1"/>
  <c r="K46" i="1" s="1"/>
  <c r="G46" i="1"/>
  <c r="X45" i="1"/>
  <c r="Y45" i="1" s="1"/>
  <c r="I45" i="1"/>
  <c r="J45" i="1" s="1"/>
  <c r="G45" i="1"/>
  <c r="H45" i="1" s="1"/>
  <c r="J44" i="1"/>
  <c r="I44" i="1"/>
  <c r="N44" i="1" s="1"/>
  <c r="H44" i="1"/>
  <c r="K44" i="1" s="1"/>
  <c r="G44" i="1"/>
  <c r="I43" i="1"/>
  <c r="J43" i="1" s="1"/>
  <c r="G43" i="1"/>
  <c r="H43" i="1" s="1"/>
  <c r="L43" i="1" s="1"/>
  <c r="V43" i="1" s="1"/>
  <c r="L42" i="1"/>
  <c r="V42" i="1" s="1"/>
  <c r="J42" i="1"/>
  <c r="I42" i="1"/>
  <c r="N42" i="1" s="1"/>
  <c r="H42" i="1"/>
  <c r="K42" i="1" s="1"/>
  <c r="G42" i="1"/>
  <c r="N43" i="1" l="1"/>
  <c r="K43" i="1"/>
  <c r="L45" i="1"/>
  <c r="V45" i="1" s="1"/>
  <c r="K45" i="1"/>
  <c r="L44" i="1"/>
  <c r="V44" i="1" s="1"/>
  <c r="N45" i="1"/>
  <c r="Z45" i="1"/>
  <c r="AB45" i="1"/>
  <c r="AD45" i="1"/>
  <c r="AF45" i="1" s="1"/>
  <c r="L46" i="1"/>
  <c r="V46" i="1" s="1"/>
  <c r="Z46" i="1"/>
  <c r="AB46" i="1"/>
  <c r="I41" i="1"/>
  <c r="J41" i="1" s="1"/>
  <c r="G41" i="1"/>
  <c r="H41" i="1" s="1"/>
  <c r="I40" i="1"/>
  <c r="J40" i="1" s="1"/>
  <c r="G40" i="1"/>
  <c r="H40" i="1" s="1"/>
  <c r="I39" i="1"/>
  <c r="J39" i="1" s="1"/>
  <c r="G39" i="1"/>
  <c r="H39" i="1" s="1"/>
  <c r="I38" i="1"/>
  <c r="J38" i="1" s="1"/>
  <c r="G38" i="1"/>
  <c r="H38" i="1" s="1"/>
  <c r="AC45" i="1" l="1"/>
  <c r="AE45" i="1" s="1"/>
  <c r="AA45" i="1"/>
  <c r="AC46" i="1"/>
  <c r="AE46" i="1" s="1"/>
  <c r="AA46" i="1"/>
  <c r="L41" i="1"/>
  <c r="K41" i="1"/>
  <c r="N41" i="1"/>
  <c r="L40" i="1"/>
  <c r="K40" i="1"/>
  <c r="N40" i="1"/>
  <c r="L39" i="1"/>
  <c r="K39" i="1"/>
  <c r="N39" i="1"/>
  <c r="L38" i="1"/>
  <c r="K38" i="1"/>
  <c r="N38" i="1"/>
  <c r="G36" i="1"/>
  <c r="H36" i="1" s="1"/>
  <c r="I36" i="1"/>
  <c r="J36" i="1" s="1"/>
  <c r="N36" i="1"/>
  <c r="G37" i="1"/>
  <c r="H37" i="1" s="1"/>
  <c r="I37" i="1"/>
  <c r="J37" i="1" s="1"/>
  <c r="K37" i="1" l="1"/>
  <c r="L37" i="1"/>
  <c r="N37" i="1"/>
  <c r="K36" i="1"/>
  <c r="L36" i="1"/>
  <c r="X22" i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 l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39" i="1" l="1"/>
  <c r="V38" i="1"/>
  <c r="V40" i="1"/>
  <c r="V41" i="1"/>
  <c r="V36" i="1"/>
  <c r="V37" i="1"/>
  <c r="V34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45" i="1" l="1"/>
  <c r="P45" i="1" s="1"/>
  <c r="Q45" i="1" s="1"/>
  <c r="O43" i="1"/>
  <c r="P43" i="1" s="1"/>
  <c r="Q43" i="1" s="1"/>
  <c r="O46" i="1"/>
  <c r="P46" i="1" s="1"/>
  <c r="Q46" i="1" s="1"/>
  <c r="O44" i="1"/>
  <c r="P44" i="1" s="1"/>
  <c r="Q44" i="1" s="1"/>
  <c r="O42" i="1"/>
  <c r="P42" i="1" s="1"/>
  <c r="Q42" i="1" s="1"/>
  <c r="O40" i="1"/>
  <c r="P40" i="1" s="1"/>
  <c r="Q40" i="1" s="1"/>
  <c r="S40" i="1" s="1"/>
  <c r="U40" i="1" s="1"/>
  <c r="O41" i="1"/>
  <c r="P41" i="1" s="1"/>
  <c r="Q41" i="1" s="1"/>
  <c r="O38" i="1"/>
  <c r="P38" i="1" s="1"/>
  <c r="Q38" i="1" s="1"/>
  <c r="R38" i="1" s="1"/>
  <c r="T38" i="1" s="1"/>
  <c r="O39" i="1"/>
  <c r="P39" i="1" s="1"/>
  <c r="Q39" i="1" s="1"/>
  <c r="O37" i="1"/>
  <c r="P37" i="1" s="1"/>
  <c r="Q37" i="1" s="1"/>
  <c r="O36" i="1"/>
  <c r="P36" i="1" s="1"/>
  <c r="Q36" i="1" s="1"/>
  <c r="O35" i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S44" i="1" l="1"/>
  <c r="U44" i="1" s="1"/>
  <c r="R44" i="1"/>
  <c r="T44" i="1" s="1"/>
  <c r="S43" i="1"/>
  <c r="U43" i="1" s="1"/>
  <c r="R43" i="1"/>
  <c r="T43" i="1" s="1"/>
  <c r="R42" i="1"/>
  <c r="T42" i="1" s="1"/>
  <c r="S42" i="1"/>
  <c r="U42" i="1" s="1"/>
  <c r="S46" i="1"/>
  <c r="U46" i="1" s="1"/>
  <c r="R46" i="1"/>
  <c r="T46" i="1" s="1"/>
  <c r="S45" i="1"/>
  <c r="U45" i="1" s="1"/>
  <c r="R45" i="1"/>
  <c r="T45" i="1" s="1"/>
  <c r="R40" i="1"/>
  <c r="T40" i="1" s="1"/>
  <c r="X40" i="1" s="1"/>
  <c r="R41" i="1"/>
  <c r="T41" i="1" s="1"/>
  <c r="X41" i="1" s="1"/>
  <c r="S41" i="1"/>
  <c r="U41" i="1" s="1"/>
  <c r="S38" i="1"/>
  <c r="U38" i="1" s="1"/>
  <c r="S39" i="1"/>
  <c r="U39" i="1" s="1"/>
  <c r="R39" i="1"/>
  <c r="T39" i="1" s="1"/>
  <c r="X38" i="1"/>
  <c r="R36" i="1"/>
  <c r="T36" i="1" s="1"/>
  <c r="X36" i="1" s="1"/>
  <c r="S36" i="1"/>
  <c r="U36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X43" i="1" l="1"/>
  <c r="X44" i="1"/>
  <c r="X42" i="1"/>
  <c r="Y41" i="1"/>
  <c r="Y40" i="1"/>
  <c r="X39" i="1"/>
  <c r="Y38" i="1"/>
  <c r="Y36" i="1"/>
  <c r="X37" i="1"/>
  <c r="Y35" i="1"/>
  <c r="Y34" i="1"/>
  <c r="Y5" i="1"/>
  <c r="Y8" i="1" s="1"/>
  <c r="X9" i="1"/>
  <c r="Y9" i="1"/>
  <c r="Y44" i="1" l="1"/>
  <c r="Y43" i="1"/>
  <c r="Y42" i="1"/>
  <c r="Y39" i="1"/>
  <c r="Y37" i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45" i="1" l="1"/>
  <c r="W43" i="1"/>
  <c r="W46" i="1"/>
  <c r="W44" i="1"/>
  <c r="W42" i="1"/>
  <c r="W40" i="1"/>
  <c r="W41" i="1"/>
  <c r="W38" i="1"/>
  <c r="W39" i="1"/>
  <c r="W37" i="1"/>
  <c r="W36" i="1"/>
  <c r="W35" i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Y28" i="1" l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44" i="1" l="1"/>
  <c r="AF44" i="1" s="1"/>
  <c r="AD42" i="1"/>
  <c r="AF42" i="1" s="1"/>
  <c r="AD43" i="1"/>
  <c r="AF43" i="1" s="1"/>
  <c r="AD41" i="1"/>
  <c r="AF41" i="1" s="1"/>
  <c r="AD40" i="1"/>
  <c r="AF40" i="1" s="1"/>
  <c r="AD38" i="1"/>
  <c r="AF38" i="1" s="1"/>
  <c r="AD39" i="1"/>
  <c r="AF39" i="1" s="1"/>
  <c r="AD36" i="1"/>
  <c r="AF36" i="1" s="1"/>
  <c r="AD37" i="1"/>
  <c r="AF37" i="1" s="1"/>
  <c r="AD34" i="1"/>
  <c r="AF34" i="1" s="1"/>
  <c r="AD35" i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43" i="1" l="1"/>
  <c r="Z44" i="1"/>
  <c r="Z42" i="1"/>
  <c r="Z41" i="1"/>
  <c r="Z40" i="1"/>
  <c r="Z39" i="1"/>
  <c r="Z38" i="1"/>
  <c r="Z36" i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Z29" i="1"/>
  <c r="AA29" i="1" s="1"/>
  <c r="Z33" i="1"/>
  <c r="AA33" i="1" s="1"/>
  <c r="Z27" i="1"/>
  <c r="AA27" i="1" s="1"/>
  <c r="Z26" i="1"/>
  <c r="AA26" i="1" s="1"/>
  <c r="Z30" i="1"/>
  <c r="AA30" i="1" s="1"/>
  <c r="AA31" i="1"/>
  <c r="AC44" i="1" l="1"/>
  <c r="AE44" i="1" s="1"/>
  <c r="AA44" i="1"/>
  <c r="AB44" i="1"/>
  <c r="AA42" i="1"/>
  <c r="AC42" i="1"/>
  <c r="AE42" i="1" s="1"/>
  <c r="AB42" i="1"/>
  <c r="AC43" i="1"/>
  <c r="AE43" i="1" s="1"/>
  <c r="AA43" i="1"/>
  <c r="AB43" i="1"/>
  <c r="AA40" i="1"/>
  <c r="AB40" i="1" s="1"/>
  <c r="AA41" i="1"/>
  <c r="AA39" i="1"/>
  <c r="AB39" i="1" s="1"/>
  <c r="AA38" i="1"/>
  <c r="AA36" i="1"/>
  <c r="AB36" i="1" s="1"/>
  <c r="AA37" i="1"/>
  <c r="AB37" i="1" s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6" i="1"/>
  <c r="AB24" i="1"/>
  <c r="AB31" i="1"/>
  <c r="AB25" i="1"/>
  <c r="AB30" i="1"/>
  <c r="AC41" i="1" l="1"/>
  <c r="AE41" i="1" s="1"/>
  <c r="AB41" i="1"/>
  <c r="AC40" i="1"/>
  <c r="AE40" i="1" s="1"/>
  <c r="AC38" i="1"/>
  <c r="AE38" i="1" s="1"/>
  <c r="AB38" i="1"/>
  <c r="AC39" i="1"/>
  <c r="AE39" i="1" s="1"/>
  <c r="AC36" i="1"/>
  <c r="AE36" i="1" s="1"/>
  <c r="AC37" i="1"/>
  <c r="AE37" i="1" s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26" i="1"/>
  <c r="AE26" i="1" s="1"/>
  <c r="AC32" i="1"/>
  <c r="AE32" i="1" s="1"/>
  <c r="AC29" i="1"/>
  <c r="AE29" i="1" s="1"/>
  <c r="AC30" i="1"/>
  <c r="AE30" i="1" s="1"/>
  <c r="AC28" i="1"/>
  <c r="AE28" i="1" s="1"/>
  <c r="AB23" i="1"/>
  <c r="AC9" i="1" s="1"/>
  <c r="AI41" i="1" l="1"/>
  <c r="AJ41" i="1" s="1"/>
  <c r="AI42" i="1"/>
  <c r="AJ42" i="1" s="1"/>
  <c r="AI43" i="1"/>
  <c r="AJ43" i="1" s="1"/>
  <c r="AI44" i="1"/>
  <c r="AJ44" i="1" s="1"/>
  <c r="AI40" i="1"/>
  <c r="AJ40" i="1" s="1"/>
  <c r="AI38" i="1"/>
  <c r="AJ38" i="1" s="1"/>
  <c r="AI39" i="1"/>
  <c r="AJ39" i="1" s="1"/>
  <c r="AI36" i="1"/>
  <c r="AJ36" i="1" s="1"/>
  <c r="AI37" i="1"/>
  <c r="AJ37" i="1" s="1"/>
  <c r="AI34" i="1"/>
  <c r="AJ34" i="1" s="1"/>
  <c r="AI35" i="1"/>
  <c r="AJ35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<sst xmlns="http://schemas.openxmlformats.org/spreadsheetml/2006/main" count="105" uniqueCount="92">
  <si>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</si>
  <si>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</si>
  <si>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</si>
  <si>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</si>
  <si>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</si>
  <si>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</si>
  <si>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</si>
  <si>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</si>
  <si>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</si>
  <si>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</si>
  <si>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</si>
  <si>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</si>
  <si>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</si>
  <si>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</si>
  <si>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</si>
  <si>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</si>
  <si>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</si>
  <si>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</si>
  <si>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</si>
  <si>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</si>
  <si>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</si>
  <si>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</si>
  <si>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</si>
  <si>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</si>
  <si>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</si>
  <si>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</si>
  <si>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</si>
  <si>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</si>
  <si>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</si>
  <si>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</si>
  <si>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</si>
  <si>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</si>
  <si>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</si>
  <si>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</si>
  <si>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</si>
  <si>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</si>
  <si>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</si>
  <si>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</si>
  <si>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</si>
  <si>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</si>
  <si>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</si>
  <si>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</si>
  <si>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</si>
  <si>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</si>
  <si>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</si>
  <si>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</si>
  <si>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</si>
  <si>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</si>
  <si>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</si>
  <si>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</si>
  <si>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</si>
  <si>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</si>
  <si>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</si>
  <si>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</si>
  <si>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</si>
  <si>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</si>
  <si>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</si>
  <si>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</si>
  <si>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</si>
  <si>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</si>
  <si>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</si>
  <si>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</si>
  <si>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</si>
  <si>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</si>
  <si>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</si>
  <si>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</si>
  <si>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</si>
  <si>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</si>
  <si>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</si>
  <si>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</si>
  <si>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</si>
  <si>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</si>
  <si>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</si>
  <si>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</si>
  <si>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</si>
  <si>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</si>
  <si>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</si>
  <si>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</si>
  <si>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</si>
  <si>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</si>
  <si>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</si>
  <si>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</si>
  <si>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</si>
  <si>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</si>
  <si>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</si>
  <si>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</si>
  <si>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 xml:space="preserve">BS </t>
  </si>
  <si>
    <t>ARKLASCO</t>
  </si>
  <si>
    <t>1,464338.835,1114412.909,1170.476,1170.476,</t>
  </si>
  <si>
    <t>2,464214.112,1114419.342,1172.969,1172.969,</t>
  </si>
  <si>
    <t>3,464452.059,1114353.650,1173.265,1173.265,</t>
  </si>
  <si>
    <t>MID 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</si>
</sst>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84.28</c:v>
                </c:pt>
                <c:pt idx="2">
                  <c:v>160.54</c:v>
                </c:pt>
                <c:pt idx="3">
                  <c:v>298.76</c:v>
                </c:pt>
                <c:pt idx="4">
                  <c:v>301.06</c:v>
                </c:pt>
                <c:pt idx="5">
                  <c:v>324.01</c:v>
                </c:pt>
                <c:pt idx="6">
                  <c:v>334.48</c:v>
                </c:pt>
                <c:pt idx="7">
                  <c:v>339.13</c:v>
                </c:pt>
                <c:pt idx="8">
                  <c:v>397.69</c:v>
                </c:pt>
                <c:pt idx="9">
                  <c:v>500.66</c:v>
                </c:pt>
                <c:pt idx="10">
                  <c:v>502.8</c:v>
                </c:pt>
                <c:pt idx="11">
                  <c:v>503.65</c:v>
                </c:pt>
                <c:pt idx="12">
                  <c:v>506.69</c:v>
                </c:pt>
                <c:pt idx="13">
                  <c:v>561.33000000000004</c:v>
                </c:pt>
                <c:pt idx="14">
                  <c:v>621.32000000000005</c:v>
                </c:pt>
                <c:pt idx="15">
                  <c:v>624.94000000000005</c:v>
                </c:pt>
                <c:pt idx="16">
                  <c:v>625.42999999999995</c:v>
                </c:pt>
                <c:pt idx="17">
                  <c:v>731.25</c:v>
                </c:pt>
                <c:pt idx="18">
                  <c:v>810.34</c:v>
                </c:pt>
                <c:pt idx="19">
                  <c:v>850.63</c:v>
                </c:pt>
                <c:pt idx="20">
                  <c:v>930.18</c:v>
                </c:pt>
                <c:pt idx="21">
                  <c:v>1014.62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2.63</c:v>
                </c:pt>
                <c:pt idx="1">
                  <c:v>1.35</c:v>
                </c:pt>
                <c:pt idx="2">
                  <c:v>2.31</c:v>
                </c:pt>
                <c:pt idx="3">
                  <c:v>3.37</c:v>
                </c:pt>
                <c:pt idx="4">
                  <c:v>1.38</c:v>
                </c:pt>
                <c:pt idx="5">
                  <c:v>0.81</c:v>
                </c:pt>
                <c:pt idx="6">
                  <c:v>1.25</c:v>
                </c:pt>
                <c:pt idx="7">
                  <c:v>3.61</c:v>
                </c:pt>
                <c:pt idx="8">
                  <c:v>3.33</c:v>
                </c:pt>
                <c:pt idx="9">
                  <c:v>4.3899999999999997</c:v>
                </c:pt>
                <c:pt idx="10">
                  <c:v>1.68</c:v>
                </c:pt>
                <c:pt idx="11">
                  <c:v>1.04</c:v>
                </c:pt>
                <c:pt idx="12">
                  <c:v>0.25</c:v>
                </c:pt>
                <c:pt idx="13">
                  <c:v>0.87</c:v>
                </c:pt>
                <c:pt idx="14">
                  <c:v>0</c:v>
                </c:pt>
                <c:pt idx="15">
                  <c:v>0.99</c:v>
                </c:pt>
                <c:pt idx="16">
                  <c:v>3.06</c:v>
                </c:pt>
                <c:pt idx="17">
                  <c:v>4.04</c:v>
                </c:pt>
                <c:pt idx="18">
                  <c:v>2.9</c:v>
                </c:pt>
                <c:pt idx="19">
                  <c:v>0.92</c:v>
                </c:pt>
                <c:pt idx="20">
                  <c:v>2.92</c:v>
                </c:pt>
                <c:pt idx="21">
                  <c:v>2.46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24"/>
        <c:axId val="91353856"/>
      </c:scatterChart>
      <c:val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856"/>
        <c:crosses val="autoZero"/>
        <c:crossBetween val="midCat"/>
      </c:valAx>
      <c:valAx>
        <c:axId val="91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Calculations!$R$23:$R$44</c:f>
              <c:numCache>
                <c:formatCode>0.00</c:formatCode>
                <c:ptCount val="22"/>
                <c:pt idx="0">
                  <c:v>-157.58184549908412</c:v>
                </c:pt>
                <c:pt idx="1">
                  <c:v>-131.9152510254427</c:v>
                </c:pt>
                <c:pt idx="2">
                  <c:v>-108.63892051268314</c:v>
                </c:pt>
                <c:pt idx="3">
                  <c:v>-66.527181245065833</c:v>
                </c:pt>
                <c:pt idx="4">
                  <c:v>-65.822129371559598</c:v>
                </c:pt>
                <c:pt idx="5">
                  <c:v>-58.850119686896939</c:v>
                </c:pt>
                <c:pt idx="6">
                  <c:v>-55.662902782456399</c:v>
                </c:pt>
                <c:pt idx="7">
                  <c:v>-54.242834621373596</c:v>
                </c:pt>
                <c:pt idx="8">
                  <c:v>-36.390474197847922</c:v>
                </c:pt>
                <c:pt idx="9">
                  <c:v>-4.9737368191615667</c:v>
                </c:pt>
                <c:pt idx="10">
                  <c:v>-4.3228104671477423</c:v>
                </c:pt>
                <c:pt idx="11">
                  <c:v>-4.0647187312979165</c:v>
                </c:pt>
                <c:pt idx="12">
                  <c:v>-3.135328293230375</c:v>
                </c:pt>
                <c:pt idx="13">
                  <c:v>13.492272258143025</c:v>
                </c:pt>
                <c:pt idx="14">
                  <c:v>31.822260350761454</c:v>
                </c:pt>
                <c:pt idx="15">
                  <c:v>32.926863463192433</c:v>
                </c:pt>
                <c:pt idx="16">
                  <c:v>33.072762211460343</c:v>
                </c:pt>
                <c:pt idx="17">
                  <c:v>65.307852385544663</c:v>
                </c:pt>
                <c:pt idx="18">
                  <c:v>89.391856336108887</c:v>
                </c:pt>
                <c:pt idx="19">
                  <c:v>101.67331759883874</c:v>
                </c:pt>
                <c:pt idx="20">
                  <c:v>125.91145002313975</c:v>
                </c:pt>
                <c:pt idx="21">
                  <c:v>151.62601102960869</c:v>
                </c:pt>
              </c:numCache>
            </c:numRef>
          </c:xVal>
          <c:yVal>
            <c:numRef>
              <c:f>Calculations!$S$23:$S$44</c:f>
              <c:numCache>
                <c:formatCode>0.00</c:formatCode>
                <c:ptCount val="22"/>
                <c:pt idx="0">
                  <c:v>17.161097810509762</c:v>
                </c:pt>
                <c:pt idx="1">
                  <c:v>19.967727982081875</c:v>
                </c:pt>
                <c:pt idx="2">
                  <c:v>15.883471823618889</c:v>
                </c:pt>
                <c:pt idx="3">
                  <c:v>18.295018946207342</c:v>
                </c:pt>
                <c:pt idx="4">
                  <c:v>18.125502119254218</c:v>
                </c:pt>
                <c:pt idx="5">
                  <c:v>20.794860104623602</c:v>
                </c:pt>
                <c:pt idx="6">
                  <c:v>21.628298246878725</c:v>
                </c:pt>
                <c:pt idx="7">
                  <c:v>21.218601426673327</c:v>
                </c:pt>
                <c:pt idx="8">
                  <c:v>20.666513650947429</c:v>
                </c:pt>
                <c:pt idx="9">
                  <c:v>16.709402915510029</c:v>
                </c:pt>
                <c:pt idx="10">
                  <c:v>17.028245877518085</c:v>
                </c:pt>
                <c:pt idx="11">
                  <c:v>17.006898206117487</c:v>
                </c:pt>
                <c:pt idx="12">
                  <c:v>16.95600022418709</c:v>
                </c:pt>
                <c:pt idx="13">
                  <c:v>20.462616180237934</c:v>
                </c:pt>
                <c:pt idx="14">
                  <c:v>14.831708332301476</c:v>
                </c:pt>
                <c:pt idx="15">
                  <c:v>14.6782297556408</c:v>
                </c:pt>
                <c:pt idx="16">
                  <c:v>14.763070399880085</c:v>
                </c:pt>
                <c:pt idx="17">
                  <c:v>17.35109748262078</c:v>
                </c:pt>
                <c:pt idx="18">
                  <c:v>20.600019698174833</c:v>
                </c:pt>
                <c:pt idx="19">
                  <c:v>20.384195376396118</c:v>
                </c:pt>
                <c:pt idx="20">
                  <c:v>21.540261767043361</c:v>
                </c:pt>
                <c:pt idx="21">
                  <c:v>24.392396240491909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5856"/>
      </c:scatterChart>
      <c:valAx>
        <c:axId val="9137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85856"/>
        <c:crosses val="autoZero"/>
        <c:crossBetween val="midCat"/>
      </c:val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1114255.3248590012</c:v>
                </c:pt>
                <c:pt idx="3">
                  <c:v>1114281.0119897234</c:v>
                </c:pt>
                <c:pt idx="4">
                  <c:v>1114304.2546652046</c:v>
                </c:pt>
                <c:pt idx="5">
                  <c:v>1114346.3828024773</c:v>
                </c:pt>
                <c:pt idx="6">
                  <c:v>1114347.0864737339</c:v>
                </c:pt>
                <c:pt idx="7">
                  <c:v>1114354.0790997718</c:v>
                </c:pt>
                <c:pt idx="8">
                  <c:v>1114357.2726907656</c:v>
                </c:pt>
                <c:pt idx="9">
                  <c:v>1114358.6894398395</c:v>
                </c:pt>
                <c:pt idx="10">
                  <c:v>1114376.5363364031</c:v>
                </c:pt>
                <c:pt idx="11">
                  <c:v>1114407.9199151441</c:v>
                </c:pt>
                <c:pt idx="12">
                  <c:v>1114408.5733153368</c:v>
                </c:pt>
                <c:pt idx="13">
                  <c:v>1114408.8312226795</c:v>
                </c:pt>
                <c:pt idx="14">
                  <c:v>1114409.7601539497</c:v>
                </c:pt>
                <c:pt idx="15">
                  <c:v>1114426.4143728027</c:v>
                </c:pt>
                <c:pt idx="16">
                  <c:v>1114444.6988169367</c:v>
                </c:pt>
                <c:pt idx="17">
                  <c:v>1114445.8021410585</c:v>
                </c:pt>
                <c:pt idx="18">
                  <c:v>1114445.9486997672</c:v>
                </c:pt>
                <c:pt idx="19">
                  <c:v>1114478.2021938469</c:v>
                </c:pt>
                <c:pt idx="20">
                  <c:v>1114502.3103202786</c:v>
                </c:pt>
                <c:pt idx="21">
                  <c:v>1114514.5893158265</c:v>
                </c:pt>
                <c:pt idx="22">
                  <c:v>1114538.8350573718</c:v>
                </c:pt>
                <c:pt idx="23">
                  <c:v>1114564.5705104803</c:v>
                </c:pt>
                <c:pt idx="24">
                  <c:v>#N/A</c:v>
                </c:pt>
                <c:pt idx="25">
                  <c:v>#N/A</c:v>
                </c:pt>
              </c:numCache>
            </c:numRef>
          </c:xVal>
          <c:yVal>
            <c:numRef>
              <c:f>Calculations!$AA$21:$AA$46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464356.28717369429</c:v>
                </c:pt>
                <c:pt idx="3">
                  <c:v>464356.48974903818</c:v>
                </c:pt>
                <c:pt idx="4">
                  <c:v>464356.67304677697</c:v>
                </c:pt>
                <c:pt idx="5">
                  <c:v>464357.00528014271</c:v>
                </c:pt>
                <c:pt idx="6">
                  <c:v>464357.01082947588</c:v>
                </c:pt>
                <c:pt idx="7">
                  <c:v>464357.0659751299</c:v>
                </c:pt>
                <c:pt idx="8">
                  <c:v>464357.09116061288</c:v>
                </c:pt>
                <c:pt idx="9">
                  <c:v>464357.10233346181</c:v>
                </c:pt>
                <c:pt idx="10">
                  <c:v>464357.2430786952</c:v>
                </c:pt>
                <c:pt idx="11">
                  <c:v>464357.49057769869</c:v>
                </c:pt>
                <c:pt idx="12">
                  <c:v>464357.49573058123</c:v>
                </c:pt>
                <c:pt idx="13">
                  <c:v>464357.49776450515</c:v>
                </c:pt>
                <c:pt idx="14">
                  <c:v>464357.50509029691</c:v>
                </c:pt>
                <c:pt idx="15">
                  <c:v>464357.63642976602</c:v>
                </c:pt>
                <c:pt idx="16">
                  <c:v>464357.78062561247</c:v>
                </c:pt>
                <c:pt idx="17">
                  <c:v>464357.78932671132</c:v>
                </c:pt>
                <c:pt idx="18">
                  <c:v>464357.79048251116</c:v>
                </c:pt>
                <c:pt idx="19">
                  <c:v>464358.0448418915</c:v>
                </c:pt>
                <c:pt idx="20">
                  <c:v>464358.23496479995</c:v>
                </c:pt>
                <c:pt idx="21">
                  <c:v>464358.33180012862</c:v>
                </c:pt>
                <c:pt idx="22">
                  <c:v>464358.52300830535</c:v>
                </c:pt>
                <c:pt idx="23">
                  <c:v>464358.72596473206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4352"/>
        <c:axId val="148318464"/>
      </c:scatterChart>
      <c:valAx>
        <c:axId val="148324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8318464"/>
        <c:crosses val="autoZero"/>
        <c:crossBetween val="midCat"/>
      </c:valAx>
      <c:valAx>
        <c:axId val="148318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32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600"/>
        <c:axId val="91515136"/>
      </c:scatterChart>
      <c:valAx>
        <c:axId val="91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5136"/>
        <c:crosses val="autoZero"/>
        <c:crossBetween val="midCat"/>
      </c:valAx>
      <c:valAx>
        <c:axId val="915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599262</xdr:colOff>
      <xdr:row>47</xdr:row>
      <xdr:rowOff>123749</xdr:rowOff>
    </xdr:from>
    <xdr:to>
      <xdr:col>34</xdr:col>
      <xdr:colOff>167833</xdr:colOff>
      <xdr:row>62</xdr:row>
      <xdr:rowOff>9449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705971</xdr:colOff>
      <xdr:row>48</xdr:row>
      <xdr:rowOff>8988</xdr:rowOff>
    </xdr:from>
    <xdr:to>
      <xdr:col>20</xdr:col>
      <xdr:colOff>654100</xdr:colOff>
      <xdr:row>62</xdr:row>
      <xdr:rowOff>85188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179294</xdr:colOff>
      <xdr:row>47</xdr:row>
      <xdr:rowOff>129988</xdr:rowOff>
    </xdr:from>
    <xdr:to>
      <xdr:col>27</xdr:col>
      <xdr:colOff>392206</xdr:colOff>
      <xdr:row>62</xdr:row>
      <xdr:rowOff>15688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87</v>
      </c>
      <c r="B1" s="61"/>
      <c r="C1" s="51">
        <v>40826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1.3839999999999999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72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7.8862581448902007E-3</v>
      </c>
    </row>
    <row r="4" spans="1:29" ht="18" x14ac:dyDescent="0.35">
      <c r="A4" s="60" t="s">
        <v>67</v>
      </c>
      <c r="B4" s="61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1114412.909</v>
      </c>
      <c r="O4" s="20">
        <f>VALUE(MID(C10,FIND(",",C10,1)+1,FIND(",",C10,5)-FIND(",",C10,1)-1))</f>
        <v>464338.83500000002</v>
      </c>
      <c r="P4" s="20">
        <f>VALUE(MID(C10,FIND(",",C10,17)+1,FIND(",",C10,27)-FIND(",",C10,17)-1))</f>
        <v>1170.4760000000001</v>
      </c>
      <c r="Q4" s="23"/>
      <c r="R4" s="22"/>
      <c r="W4" s="27"/>
      <c r="X4" s="20">
        <f ca="1">VALUE(OFFSET($P$3,MATCH($O$10,$M$4:$M$6,0),0))</f>
        <v>1172.9690000000001</v>
      </c>
      <c r="Y4" s="20">
        <f ca="1">OFFSET($P$3,MATCH($Q$10,$M$4:$M$6,0),0)</f>
        <v>1173.2650000000001</v>
      </c>
      <c r="Z4" s="2"/>
      <c r="AA4" s="26" t="s">
        <v>41</v>
      </c>
      <c r="AB4" s="26" t="s">
        <v>54</v>
      </c>
      <c r="AC4" s="28">
        <f ca="1">INTERCEPT(yB,xB)</f>
        <v>455568.98204253771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1114419.3419999999</v>
      </c>
      <c r="O5" s="20">
        <f t="shared" ref="O5:O6" si="1">VALUE(MID(C11,FIND(",",C11,1)+1,FIND(",",C11,5)-FIND(",",C11,1)-1))</f>
        <v>464214.11200000002</v>
      </c>
      <c r="P5" s="20">
        <f t="shared" ref="P5:P6" si="2">VALUE(MID(C11,FIND(",",C11,17)+1,FIND(",",C11,27)-FIND(",",C11,17)-1))</f>
        <v>1172.9690000000001</v>
      </c>
      <c r="Q5" s="24">
        <f>DEGREES(ATAN2(Old_Y1-Old_Y0,Old_X1-Old_X0))+IF(Old_X1-Old_X0&lt;0,360)</f>
        <v>177.04739767326939</v>
      </c>
      <c r="R5" s="22"/>
      <c r="W5" s="21"/>
      <c r="X5" s="20">
        <f ca="1">VALUE(OFFSET($V$20,MATCH($O11,$A$21:$A$51,0),0))</f>
        <v>1170.3601627444434</v>
      </c>
      <c r="Y5" s="20">
        <f ca="1">OFFSET($V$20,MATCH($Q11,$A$21:$A$51,0),0)</f>
        <v>1170.8663192770857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1114353.6499999999</v>
      </c>
      <c r="O6" s="20">
        <f t="shared" si="1"/>
        <v>464452.05900000001</v>
      </c>
      <c r="P6" s="20">
        <f t="shared" si="2"/>
        <v>1173.2650000000001</v>
      </c>
      <c r="Q6" s="24">
        <f>DEGREES(ATAN2(Old_Y2-Old_Y0,Old_X2-Old_X0))+IF(Old_X2-Old_X0&lt;0,360)</f>
        <v>332.37340973091324</v>
      </c>
      <c r="R6" s="22"/>
      <c r="W6" s="21"/>
      <c r="X6" s="20">
        <f ca="1">VALUE(OFFSET($V$20,MATCH($O12,$A$21:$A$61,0),0))</f>
        <v>1170.3438911854171</v>
      </c>
      <c r="Y6" s="20">
        <f ca="1">VALUE(OFFSET($V$20,MATCH($O12,$A$21:$A$61,0),0))</f>
        <v>1170.3438911854171</v>
      </c>
      <c r="Z6" s="5"/>
      <c r="AA6" s="26" t="s">
        <v>42</v>
      </c>
      <c r="AB6" s="21" t="s">
        <v>55</v>
      </c>
      <c r="AC6" s="20">
        <f ca="1">-1/mA</f>
        <v>-126.80284890850766</v>
      </c>
    </row>
    <row r="7" spans="1:29" x14ac:dyDescent="0.25">
      <c r="A7" s="62" t="s">
        <v>18</v>
      </c>
      <c r="B7" s="62"/>
      <c r="C7" s="38">
        <v>24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-2.6088372555566366</v>
      </c>
      <c r="Y8" s="20">
        <f ca="1">Y5-Y4</f>
        <v>-2.3986807229143778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-2.6251088145829726</v>
      </c>
      <c r="Y9" s="20">
        <f ca="1">Y6-Y4</f>
        <v>-2.9211088145830217</v>
      </c>
      <c r="AA9" s="31" t="s">
        <v>49</v>
      </c>
      <c r="AB9" s="31"/>
      <c r="AC9" s="20">
        <f ca="1">AVERAGE(DfromL)</f>
        <v>2.1533183037760271</v>
      </c>
    </row>
    <row r="10" spans="1:29" s="16" customFormat="1" x14ac:dyDescent="0.25">
      <c r="A10" s="53"/>
      <c r="B10" s="48"/>
      <c r="C10" s="35" t="s">
        <v>88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177.04739767326939</v>
      </c>
      <c r="Q10" s="32">
        <v>2</v>
      </c>
      <c r="R10" s="20">
        <f ca="1">OFFSET($Q$3,MATCH($O$10,$M$4:$M$6,0),0)</f>
        <v>177.04739767326939</v>
      </c>
      <c r="W10" s="22"/>
      <c r="X10" s="22"/>
      <c r="Y10" s="22"/>
      <c r="AA10" s="31" t="s">
        <v>50</v>
      </c>
      <c r="AB10" s="31"/>
      <c r="AC10" s="20">
        <f ca="1">_xlfn.STDEV.P(DfromL)</f>
        <v>1.280657824050899</v>
      </c>
    </row>
    <row r="11" spans="1:29" s="16" customFormat="1" x14ac:dyDescent="0.25">
      <c r="A11" s="14"/>
      <c r="B11" s="48"/>
      <c r="C11" s="35" t="s">
        <v>89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OFFSET($N$20,MATCH($O11,$A$21:$A$51,0),0)</f>
        <v>0</v>
      </c>
      <c r="Q11" s="32">
        <v>2</v>
      </c>
      <c r="R11" s="20">
        <f ca="1">OFFSET($N$20,MATCH($Q11,$A$21:$A$51,0),0)</f>
        <v>157.55027777777778</v>
      </c>
      <c r="W11" s="21" t="s">
        <v>37</v>
      </c>
      <c r="X11" s="20">
        <f ca="1">AVERAGE(X8:Y9)</f>
        <v>-2.6384339019092522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90</v>
      </c>
      <c r="D12" s="36"/>
      <c r="E12" s="37"/>
      <c r="F12" s="47"/>
      <c r="M12" s="55" t="s">
        <v>30</v>
      </c>
      <c r="N12" s="55"/>
      <c r="O12" s="32">
        <v>25</v>
      </c>
      <c r="P12" s="20">
        <f ca="1">OFFSET($N$20,MATCH($O12,$A$21:$A$61,0),0)</f>
        <v>1.9722222222222221E-2</v>
      </c>
      <c r="Q12" s="32">
        <v>26</v>
      </c>
      <c r="R12" s="20">
        <f ca="1">OFFSET($N$20,MATCH($Q12,$A$21:$A$51,0),0)</f>
        <v>157.57777777777778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1160.7077732893722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177.04739767326939</v>
      </c>
      <c r="Q14" s="20"/>
      <c r="R14" s="20">
        <f ca="1">R10-R11+IF(R11&gt;R10,360)</f>
        <v>19.497119895491608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177.02767545104717</v>
      </c>
      <c r="Q15" s="20"/>
      <c r="R15" s="20">
        <f ca="1">R10-R12+IF(R12&gt;R10,360)</f>
        <v>19.469619895491604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98.260453228824929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83</v>
      </c>
      <c r="H20" s="12" t="s">
        <v>77</v>
      </c>
      <c r="I20" s="12" t="s">
        <v>82</v>
      </c>
      <c r="J20" s="12" t="s">
        <v>81</v>
      </c>
      <c r="K20" s="3" t="s">
        <v>75</v>
      </c>
      <c r="L20" s="3" t="s">
        <v>76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80</v>
      </c>
      <c r="R20" s="19" t="s">
        <v>78</v>
      </c>
      <c r="S20" s="19" t="s">
        <v>79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73</v>
      </c>
      <c r="AF20" s="19" t="s">
        <v>74</v>
      </c>
      <c r="AG20" s="19"/>
      <c r="AH20" s="19"/>
      <c r="AI20" s="19"/>
    </row>
    <row r="21" spans="1:36" x14ac:dyDescent="0.25">
      <c r="A21" s="44">
        <v>1</v>
      </c>
      <c r="B21" s="48">
        <v>0</v>
      </c>
      <c r="C21" s="48">
        <v>3.7501504629629632</v>
      </c>
      <c r="D21" s="44">
        <v>124.35</v>
      </c>
      <c r="E21" s="44">
        <v>1.492</v>
      </c>
      <c r="F21" s="49" t="s">
        <v>85</v>
      </c>
      <c r="G21" s="43">
        <f>C21*24</f>
        <v>90.003611111111113</v>
      </c>
      <c r="H21" s="43">
        <f>RADIANS(G21)</f>
        <v>1.5708593525734409</v>
      </c>
      <c r="I21" s="43">
        <f t="shared" ref="I21:I34" si="3">B21*24</f>
        <v>0</v>
      </c>
      <c r="J21" s="39">
        <f>RADIANS(I21)</f>
        <v>0</v>
      </c>
      <c r="K21" s="39">
        <f>D21*SIN(H21)</f>
        <v>124.34999975302543</v>
      </c>
      <c r="L21" s="15">
        <f>D21*COS(H21)</f>
        <v>-7.8372555567917824E-3</v>
      </c>
      <c r="M21" s="13"/>
      <c r="N21" s="16">
        <f t="shared" ref="N21:N34" si="4">I21+M21</f>
        <v>0</v>
      </c>
      <c r="O21" s="16">
        <f ca="1">$O$17</f>
        <v>98.260453228824929</v>
      </c>
      <c r="P21" s="16">
        <f ca="1">SUM(N21,O21)</f>
        <v>98.260453228824929</v>
      </c>
      <c r="Q21" s="16">
        <f ca="1">RADIANS(P21)</f>
        <v>1.7149684333448882</v>
      </c>
      <c r="R21" s="16">
        <f t="shared" ref="R21:R34" ca="1" si="5">K21*SIN(Q21)</f>
        <v>123.05989226731408</v>
      </c>
      <c r="S21" s="16">
        <f t="shared" ref="S21:S34" ca="1" si="6">K21*COS(Q21)</f>
        <v>-17.865759254352351</v>
      </c>
      <c r="T21" s="13">
        <f t="shared" ref="T21:T34" ca="1" si="7">Old_X0+R21</f>
        <v>1114535.9688922672</v>
      </c>
      <c r="U21" s="13">
        <f t="shared" ref="U21:U34" ca="1" si="8">Old_Y0+S21</f>
        <v>464320.96924074565</v>
      </c>
      <c r="V21" s="16">
        <f t="shared" ref="V21:V34" si="9">Old_Z0+HI+L21-E21</f>
        <v>1170.3601627444434</v>
      </c>
      <c r="W21" s="16">
        <f t="shared" ref="W21:W34" ca="1" si="10">IF(ISNUMBER(T21),V21+dZ,"")</f>
        <v>1167.721728842534</v>
      </c>
      <c r="X21" s="16" t="str">
        <f>IF(AND(A21&gt;=CS_Start,A21&lt;=CS_End),IF(OR(LEFT(UPPER(F21))="D"),"",T21),"")</f>
        <v/>
      </c>
      <c r="Y21" s="16" t="str">
        <f>IF(ISNUMBER(X21),U21,"")</f>
        <v/>
      </c>
      <c r="Z21" s="16" t="e">
        <f>IF(X21="",NA(),VALUE((-mB*X21+Y21-bA)/(mA-mB)))</f>
        <v>#N/A</v>
      </c>
      <c r="AA21" s="16" t="e">
        <f>IF(ISNA(Z21),NA(),VALUE(mA*Z21+bA))</f>
        <v>#N/A</v>
      </c>
      <c r="AB21" s="16" t="str">
        <f>IF(ISNUMBER(X21),SQRT((X21-Z21)^2+(Y21-AA21)^2),"")</f>
        <v/>
      </c>
      <c r="AC21" s="16" t="str">
        <f t="shared" ref="AC21:AC23" ca="1" si="11">IF(ISNUMBER(Z21),SQRT(($Z21-OFFSET($Z$20,MATCH(CS_Start,$A$21:$A$51,0),0))^2+($AA21-OFFSET($AA$20,MATCH(CS_Start,$A$21:$A$51,0),0))^2),"")</f>
        <v/>
      </c>
      <c r="AD21" s="16" t="str">
        <f t="shared" ref="AD21:AD23" si="12">IF(ISNUMBER(X21),W21-Min_Z,"")</f>
        <v/>
      </c>
    </row>
    <row r="22" spans="1:36" x14ac:dyDescent="0.25">
      <c r="A22" s="44">
        <v>2</v>
      </c>
      <c r="B22" s="48">
        <v>6.5645949074074075</v>
      </c>
      <c r="C22" s="48">
        <v>3.7409374999999998</v>
      </c>
      <c r="D22" s="44">
        <v>131.27199999999999</v>
      </c>
      <c r="E22" s="44">
        <v>1.492</v>
      </c>
      <c r="F22" s="49" t="s">
        <v>86</v>
      </c>
      <c r="G22" s="43">
        <f t="shared" ref="G22:G34" si="13">C22*24</f>
        <v>89.782499999999999</v>
      </c>
      <c r="H22" s="43">
        <f t="shared" ref="H22:H34" si="14">RADIANS(G22)</f>
        <v>1.5670002356718089</v>
      </c>
      <c r="I22" s="43">
        <f t="shared" si="3"/>
        <v>157.55027777777778</v>
      </c>
      <c r="J22" s="39">
        <f t="shared" ref="J22:J34" si="15">RADIANS(I22)</f>
        <v>2.7497710846538772</v>
      </c>
      <c r="K22" s="39">
        <f t="shared" ref="K22:K34" si="16">D22*SIN(H22)</f>
        <v>131.27105416617209</v>
      </c>
      <c r="L22" s="15">
        <f t="shared" ref="L22:L34" si="17">D22*COS(H22)</f>
        <v>0.49831927708559609</v>
      </c>
      <c r="M22" s="13"/>
      <c r="N22" s="16">
        <f t="shared" si="4"/>
        <v>157.55027777777778</v>
      </c>
      <c r="O22" s="16">
        <f t="shared" ref="O22:O46" ca="1" si="18">$O$17</f>
        <v>98.260453228824929</v>
      </c>
      <c r="P22" s="16">
        <f t="shared" ref="P22:P34" ca="1" si="19">SUM(N22,O22)</f>
        <v>255.81073100660271</v>
      </c>
      <c r="Q22" s="16">
        <f t="shared" ref="Q22:Q34" ca="1" si="20">RADIANS(P22)</f>
        <v>4.4647395179987655</v>
      </c>
      <c r="R22" s="16">
        <f t="shared" ca="1" si="5"/>
        <v>-127.26614191763748</v>
      </c>
      <c r="S22" s="16">
        <f t="shared" ca="1" si="6"/>
        <v>-32.177923850022445</v>
      </c>
      <c r="T22" s="13">
        <f t="shared" ca="1" si="7"/>
        <v>1114285.6428580824</v>
      </c>
      <c r="U22" s="13">
        <f t="shared" ca="1" si="8"/>
        <v>464306.65707615</v>
      </c>
      <c r="V22" s="16">
        <f t="shared" si="9"/>
        <v>1170.8663192770857</v>
      </c>
      <c r="W22" s="16">
        <f t="shared" ca="1" si="10"/>
        <v>1168.2278853751764</v>
      </c>
      <c r="X22" s="47" t="str">
        <f>IF(AND(A22&gt;=CS_Start,A22&lt;=CS_End),IF(OR(LEFT(UPPER(F22))="D"),"",T22),"")</f>
        <v/>
      </c>
      <c r="Y22" s="47" t="str">
        <f t="shared" ref="Y22:Y37" si="21">IF(ISNUMBER(X22),U22,"")</f>
        <v/>
      </c>
      <c r="Z22" s="47" t="e">
        <f>IF(X22="",NA(),VALUE((-mB*X22+Y22-bA)/(mA-mB)))</f>
        <v>#N/A</v>
      </c>
      <c r="AA22" s="47" t="e">
        <f>IF(ISNA(Z22),NA(),VALUE(mA*Z22+bA))</f>
        <v>#N/A</v>
      </c>
      <c r="AB22" s="16" t="str">
        <f t="shared" ref="AB22:AB23" si="22">IF(ISNUMBER(X22),SQRT((X22-Z22)^2+(Y22-AA22)^2),"")</f>
        <v/>
      </c>
      <c r="AC22" s="16" t="str">
        <f t="shared" ca="1" si="11"/>
        <v/>
      </c>
      <c r="AD22" s="16" t="str">
        <f t="shared" si="12"/>
        <v/>
      </c>
    </row>
    <row r="23" spans="1:36" x14ac:dyDescent="0.25">
      <c r="A23" s="44">
        <v>3</v>
      </c>
      <c r="B23" s="48">
        <v>7.4147800925925926</v>
      </c>
      <c r="C23" s="48">
        <v>3.8102314814814817</v>
      </c>
      <c r="D23" s="44">
        <v>158.56399999999999</v>
      </c>
      <c r="E23" s="44">
        <v>3.7130000000000001</v>
      </c>
      <c r="F23" s="44"/>
      <c r="G23" s="43">
        <f t="shared" si="13"/>
        <v>91.445555555555558</v>
      </c>
      <c r="H23" s="43">
        <f t="shared" si="14"/>
        <v>1.5960260307598368</v>
      </c>
      <c r="I23" s="43">
        <f t="shared" si="3"/>
        <v>177.95472222222222</v>
      </c>
      <c r="J23" s="39">
        <f t="shared" si="15"/>
        <v>3.105895822249698</v>
      </c>
      <c r="K23" s="39">
        <f t="shared" si="16"/>
        <v>158.51353667418789</v>
      </c>
      <c r="L23" s="15">
        <f t="shared" si="17"/>
        <v>-4.0000983789014235</v>
      </c>
      <c r="M23" s="13"/>
      <c r="N23" s="16">
        <f t="shared" si="4"/>
        <v>177.95472222222222</v>
      </c>
      <c r="O23" s="16">
        <f t="shared" ca="1" si="18"/>
        <v>98.260453228824929</v>
      </c>
      <c r="P23" s="16">
        <f t="shared" ca="1" si="19"/>
        <v>276.21517545104712</v>
      </c>
      <c r="Q23" s="16">
        <f t="shared" ca="1" si="20"/>
        <v>4.8208642555945858</v>
      </c>
      <c r="R23" s="16">
        <f t="shared" ca="1" si="5"/>
        <v>-157.58184549908412</v>
      </c>
      <c r="S23" s="16">
        <f t="shared" ca="1" si="6"/>
        <v>17.161097810509762</v>
      </c>
      <c r="T23" s="13">
        <f t="shared" ca="1" si="7"/>
        <v>1114255.3271545009</v>
      </c>
      <c r="U23" s="13">
        <f t="shared" ca="1" si="8"/>
        <v>464355.99609781051</v>
      </c>
      <c r="V23" s="16">
        <f t="shared" si="9"/>
        <v>1164.1469016210988</v>
      </c>
      <c r="W23" s="16">
        <f t="shared" ca="1" si="10"/>
        <v>1161.5084677191894</v>
      </c>
      <c r="X23" s="47">
        <f ca="1">IF(AND(A23&gt;=CS_Start,A23&lt;=CS_End),IF(OR(LEFT(UPPER(F23))="D"),"",T23),"")</f>
        <v>1114255.3271545009</v>
      </c>
      <c r="Y23" s="47">
        <f t="shared" ca="1" si="21"/>
        <v>464355.99609781051</v>
      </c>
      <c r="Z23" s="47">
        <f ca="1">IF(X23="",NA(),VALUE((-mB*X23+Y23-bA)/(mA-mB)))</f>
        <v>1114255.3248590012</v>
      </c>
      <c r="AA23" s="47">
        <f ca="1">IF(ISNA(Z23),NA(),VALUE(mA*Z23+bA))</f>
        <v>464356.28717369429</v>
      </c>
      <c r="AB23" s="16">
        <f t="shared" ca="1" si="22"/>
        <v>0.29108493509364042</v>
      </c>
      <c r="AC23" s="16">
        <f t="shared" ca="1" si="11"/>
        <v>0</v>
      </c>
      <c r="AD23" s="16">
        <f t="shared" ca="1" si="12"/>
        <v>0.80069442981721295</v>
      </c>
      <c r="AE23" s="2">
        <f ca="1">ROUND(CONVERT(AC23,"m","ft"),2)</f>
        <v>0</v>
      </c>
      <c r="AF23" s="2">
        <f ca="1">ROUND(CONVERT(AD23,"m","ft"),2)</f>
        <v>2.63</v>
      </c>
      <c r="AH23" s="44">
        <v>0</v>
      </c>
      <c r="AI23" s="2">
        <f ca="1">OFFSET($AF$22,MATCH(AH23,$AE$23:$AE$59,0),0)</f>
        <v>2.63</v>
      </c>
      <c r="AJ23" s="2" t="str">
        <f t="shared" ref="AJ23:AJ31" ca="1" si="23">CONCATENATE(AH23,",",AI23)</f>
        <v>0,2.63</v>
      </c>
    </row>
    <row r="24" spans="1:36" x14ac:dyDescent="0.25">
      <c r="A24" s="44">
        <v>4</v>
      </c>
      <c r="B24" s="48">
        <v>7.5144560185185183</v>
      </c>
      <c r="C24" s="48">
        <v>3.8482523148148147</v>
      </c>
      <c r="D24" s="44">
        <v>133.53100000000001</v>
      </c>
      <c r="E24" s="44">
        <v>2.609</v>
      </c>
      <c r="F24" s="44"/>
      <c r="G24" s="43">
        <f t="shared" si="13"/>
        <v>92.358055555555552</v>
      </c>
      <c r="H24" s="43">
        <f t="shared" si="14"/>
        <v>1.611952160184285</v>
      </c>
      <c r="I24" s="43">
        <f t="shared" si="3"/>
        <v>180.34694444444443</v>
      </c>
      <c r="J24" s="39">
        <f t="shared" si="15"/>
        <v>3.147647976466851</v>
      </c>
      <c r="K24" s="39">
        <f t="shared" si="16"/>
        <v>133.41792838247781</v>
      </c>
      <c r="L24" s="15">
        <f t="shared" si="17"/>
        <v>-5.4940283151824456</v>
      </c>
      <c r="M24" s="13"/>
      <c r="N24" s="16">
        <f t="shared" si="4"/>
        <v>180.34694444444443</v>
      </c>
      <c r="O24" s="16">
        <f t="shared" ca="1" si="18"/>
        <v>98.260453228824929</v>
      </c>
      <c r="P24" s="16">
        <f t="shared" ca="1" si="19"/>
        <v>278.60739767326936</v>
      </c>
      <c r="Q24" s="16">
        <f t="shared" ca="1" si="20"/>
        <v>4.8626164098117393</v>
      </c>
      <c r="R24" s="16">
        <f t="shared" ca="1" si="5"/>
        <v>-131.9152510254427</v>
      </c>
      <c r="S24" s="16">
        <f t="shared" ca="1" si="6"/>
        <v>19.967727982081875</v>
      </c>
      <c r="T24" s="13">
        <f t="shared" ca="1" si="7"/>
        <v>1114280.9937489745</v>
      </c>
      <c r="U24" s="13">
        <f t="shared" ca="1" si="8"/>
        <v>464358.80272798211</v>
      </c>
      <c r="V24" s="16">
        <f t="shared" si="9"/>
        <v>1163.7569716848177</v>
      </c>
      <c r="W24" s="16">
        <f t="shared" ca="1" si="10"/>
        <v>1161.1185377829083</v>
      </c>
      <c r="X24" s="47">
        <f ca="1">IF(AND(A24&gt;=CS_Start,A24&lt;=CS_End),IF(OR(LEFT(UPPER(F24))="D"),"",T24),"")</f>
        <v>1114280.9937489745</v>
      </c>
      <c r="Y24" s="47">
        <f t="shared" ca="1" si="21"/>
        <v>464358.80272798211</v>
      </c>
      <c r="Z24" s="47">
        <f ca="1">IF(X24="",NA(),VALUE((-mB*X24+Y24-bA)/(mA-mB)))</f>
        <v>1114281.0119897234</v>
      </c>
      <c r="AA24" s="47">
        <f ca="1">IF(ISNA(Z24),NA(),VALUE(mA*Z24+bA))</f>
        <v>464356.48974903818</v>
      </c>
      <c r="AB24" s="47">
        <f t="shared" ref="AB24:AB34" ca="1" si="24">IF(ISNUMBER(X24),SQRT((X24-Z24)^2+(Y24-AA24)^2),"")</f>
        <v>2.3130508684347912</v>
      </c>
      <c r="AC24" s="47">
        <f t="shared" ref="AC24:AC34" ca="1" si="25">IF(ISNUMBER(Z24),SQRT(($Z24-OFFSET($Z$20,MATCH(CS_Start,$A$21:$A$51,0),0))^2+($AA24-OFFSET($AA$20,MATCH(CS_Start,$A$21:$A$51,0),0))^2),"")</f>
        <v>25.687929490525928</v>
      </c>
      <c r="AD24" s="47">
        <f t="shared" ref="AD24:AD34" ca="1" si="26">IF(ISNUMBER(X24),W24-Min_Z,"")</f>
        <v>0.41076449353613498</v>
      </c>
      <c r="AE24" s="44">
        <f t="shared" ref="AE24:AE34" ca="1" si="27">ROUND(CONVERT(AC24,"m","ft"),2)</f>
        <v>84.28</v>
      </c>
      <c r="AF24" s="44">
        <f t="shared" ref="AF24:AF34" ca="1" si="28">ROUND(CONVERT(AD24,"m","ft"),2)</f>
        <v>1.35</v>
      </c>
      <c r="AH24" s="44">
        <v>84.28</v>
      </c>
      <c r="AI24" s="44">
        <f t="shared" ref="AI24:AI31" ca="1" si="29">OFFSET($AF$22,MATCH(AH24,$AE$23:$AE$59,0),0)</f>
        <v>1.35</v>
      </c>
      <c r="AJ24" s="2" t="str">
        <f t="shared" ca="1" si="23"/>
        <v>84.28,1.35</v>
      </c>
    </row>
    <row r="25" spans="1:36" x14ac:dyDescent="0.25">
      <c r="A25" s="44">
        <v>5</v>
      </c>
      <c r="B25" s="48">
        <v>7.5023958333333338</v>
      </c>
      <c r="C25" s="48">
        <v>3.862997685185185</v>
      </c>
      <c r="D25" s="44">
        <v>109.917</v>
      </c>
      <c r="E25" s="44">
        <v>2.609</v>
      </c>
      <c r="F25" s="44"/>
      <c r="G25" s="43">
        <f t="shared" si="13"/>
        <v>92.711944444444441</v>
      </c>
      <c r="H25" s="43">
        <f t="shared" si="14"/>
        <v>1.6181286864816204</v>
      </c>
      <c r="I25" s="43">
        <f t="shared" si="3"/>
        <v>180.0575</v>
      </c>
      <c r="J25" s="39">
        <f t="shared" si="15"/>
        <v>3.14259621790969</v>
      </c>
      <c r="K25" s="39">
        <f t="shared" si="16"/>
        <v>109.79389658506879</v>
      </c>
      <c r="L25" s="15">
        <f t="shared" si="17"/>
        <v>-5.2006885762578552</v>
      </c>
      <c r="M25" s="13"/>
      <c r="N25" s="16">
        <f t="shared" si="4"/>
        <v>180.0575</v>
      </c>
      <c r="O25" s="16">
        <f t="shared" ca="1" si="18"/>
        <v>98.260453228824929</v>
      </c>
      <c r="P25" s="16">
        <f t="shared" ca="1" si="19"/>
        <v>278.31795322882493</v>
      </c>
      <c r="Q25" s="16">
        <f t="shared" ca="1" si="20"/>
        <v>4.8575646512545783</v>
      </c>
      <c r="R25" s="16">
        <f t="shared" ca="1" si="5"/>
        <v>-108.63892051268314</v>
      </c>
      <c r="S25" s="16">
        <f t="shared" ca="1" si="6"/>
        <v>15.883471823618889</v>
      </c>
      <c r="T25" s="13">
        <f t="shared" ca="1" si="7"/>
        <v>1114304.2700794872</v>
      </c>
      <c r="U25" s="13">
        <f t="shared" ca="1" si="8"/>
        <v>464354.71847182367</v>
      </c>
      <c r="V25" s="16">
        <f t="shared" si="9"/>
        <v>1164.0503114237424</v>
      </c>
      <c r="W25" s="16">
        <f t="shared" ca="1" si="10"/>
        <v>1161.411877521833</v>
      </c>
      <c r="X25" s="47">
        <f ca="1">IF(AND(A25&gt;=CS_Start,A25&lt;=CS_End),IF(OR(LEFT(UPPER(F25))="D"),"",T25),"")</f>
        <v>1114304.2700794872</v>
      </c>
      <c r="Y25" s="47">
        <f t="shared" ca="1" si="21"/>
        <v>464354.71847182367</v>
      </c>
      <c r="Z25" s="47">
        <f ca="1">IF(X25="",NA(),VALUE((-mB*X25+Y25-bA)/(mA-mB)))</f>
        <v>1114304.2546652046</v>
      </c>
      <c r="AA25" s="47">
        <f ca="1">IF(ISNA(Z25),NA(),VALUE(mA*Z25+bA))</f>
        <v>464356.67304677697</v>
      </c>
      <c r="AB25" s="47">
        <f t="shared" ca="1" si="24"/>
        <v>1.9546357328603134</v>
      </c>
      <c r="AC25" s="47">
        <f t="shared" ca="1" si="25"/>
        <v>48.931327727062353</v>
      </c>
      <c r="AD25" s="47">
        <f t="shared" ca="1" si="26"/>
        <v>0.70410423246084974</v>
      </c>
      <c r="AE25" s="44">
        <f t="shared" ca="1" si="27"/>
        <v>160.54</v>
      </c>
      <c r="AF25" s="44">
        <f t="shared" ca="1" si="28"/>
        <v>2.31</v>
      </c>
      <c r="AH25" s="44">
        <v>160.54</v>
      </c>
      <c r="AI25" s="44">
        <f t="shared" ca="1" si="29"/>
        <v>2.31</v>
      </c>
      <c r="AJ25" s="2" t="str">
        <f t="shared" ca="1" si="23"/>
        <v>160.54,2.31</v>
      </c>
    </row>
    <row r="26" spans="1:36" x14ac:dyDescent="0.25">
      <c r="A26" s="44">
        <v>6</v>
      </c>
      <c r="B26" s="48">
        <v>7.7964930555555556</v>
      </c>
      <c r="C26" s="48">
        <v>3.9184375</v>
      </c>
      <c r="D26" s="44">
        <v>69.168999999999997</v>
      </c>
      <c r="E26" s="44">
        <v>2.609</v>
      </c>
      <c r="F26" s="44"/>
      <c r="G26" s="43">
        <f t="shared" si="13"/>
        <v>94.042500000000004</v>
      </c>
      <c r="H26" s="43">
        <f t="shared" si="14"/>
        <v>1.6413512618067674</v>
      </c>
      <c r="I26" s="43">
        <f t="shared" si="3"/>
        <v>187.11583333333334</v>
      </c>
      <c r="J26" s="39">
        <f t="shared" si="15"/>
        <v>3.2657873742796233</v>
      </c>
      <c r="K26" s="39">
        <f t="shared" si="16"/>
        <v>68.996909805120438</v>
      </c>
      <c r="L26" s="15">
        <f t="shared" si="17"/>
        <v>-4.8761663573010487</v>
      </c>
      <c r="M26" s="13"/>
      <c r="N26" s="16">
        <f t="shared" si="4"/>
        <v>187.11583333333334</v>
      </c>
      <c r="O26" s="16">
        <f t="shared" ca="1" si="18"/>
        <v>98.260453228824929</v>
      </c>
      <c r="P26" s="16">
        <f t="shared" ca="1" si="19"/>
        <v>285.37628656215827</v>
      </c>
      <c r="Q26" s="16">
        <f t="shared" ca="1" si="20"/>
        <v>4.9807558076245115</v>
      </c>
      <c r="R26" s="16">
        <f t="shared" ca="1" si="5"/>
        <v>-66.527181245065833</v>
      </c>
      <c r="S26" s="16">
        <f t="shared" ca="1" si="6"/>
        <v>18.295018946207342</v>
      </c>
      <c r="T26" s="13">
        <f t="shared" ca="1" si="7"/>
        <v>1114346.3818187548</v>
      </c>
      <c r="U26" s="13">
        <f t="shared" ca="1" si="8"/>
        <v>464357.13001894625</v>
      </c>
      <c r="V26" s="16">
        <f t="shared" si="9"/>
        <v>1164.3748336426991</v>
      </c>
      <c r="W26" s="16">
        <f t="shared" ca="1" si="10"/>
        <v>1161.7363997407897</v>
      </c>
      <c r="X26" s="47">
        <f ca="1">IF(AND(A26&gt;=CS_Start,A26&lt;=CS_End),IF(OR(LEFT(UPPER(F26))="D"),"",T26),"")</f>
        <v>1114346.3818187548</v>
      </c>
      <c r="Y26" s="47">
        <f t="shared" ca="1" si="21"/>
        <v>464357.13001894625</v>
      </c>
      <c r="Z26" s="47">
        <f ca="1">IF(X26="",NA(),VALUE((-mB*X26+Y26-bA)/(mA-mB)))</f>
        <v>1114346.3828024773</v>
      </c>
      <c r="AA26" s="47">
        <f ca="1">IF(ISNA(Z26),NA(),VALUE(mA*Z26+bA))</f>
        <v>464357.00528014271</v>
      </c>
      <c r="AB26" s="47">
        <f t="shared" ca="1" si="24"/>
        <v>0.12474268242573779</v>
      </c>
      <c r="AC26" s="47">
        <f t="shared" ca="1" si="25"/>
        <v>91.060775018520246</v>
      </c>
      <c r="AD26" s="47">
        <f t="shared" ca="1" si="26"/>
        <v>1.0286264514174945</v>
      </c>
      <c r="AE26" s="44">
        <f t="shared" ca="1" si="27"/>
        <v>298.76</v>
      </c>
      <c r="AF26" s="44">
        <f t="shared" ca="1" si="28"/>
        <v>3.37</v>
      </c>
      <c r="AH26" s="44">
        <v>298.76</v>
      </c>
      <c r="AI26" s="44">
        <f t="shared" ca="1" si="29"/>
        <v>3.37</v>
      </c>
      <c r="AJ26" s="2" t="str">
        <f t="shared" ca="1" si="23"/>
        <v>298.76,3.37</v>
      </c>
    </row>
    <row r="27" spans="1:36" x14ac:dyDescent="0.25">
      <c r="A27" s="44">
        <v>7</v>
      </c>
      <c r="B27" s="48">
        <v>7.7973148148148148</v>
      </c>
      <c r="C27" s="48">
        <v>3.9413310185185186</v>
      </c>
      <c r="D27" s="44">
        <v>68.492000000000004</v>
      </c>
      <c r="E27" s="44">
        <v>2.609</v>
      </c>
      <c r="F27" s="49" t="s">
        <v>84</v>
      </c>
      <c r="G27" s="43">
        <f t="shared" si="13"/>
        <v>94.591944444444451</v>
      </c>
      <c r="H27" s="43">
        <f t="shared" si="14"/>
        <v>1.650940876419114</v>
      </c>
      <c r="I27" s="43">
        <f t="shared" si="3"/>
        <v>187.13555555555556</v>
      </c>
      <c r="J27" s="39">
        <f t="shared" si="15"/>
        <v>3.2661315919932106</v>
      </c>
      <c r="K27" s="39">
        <f t="shared" si="16"/>
        <v>68.272150559956856</v>
      </c>
      <c r="L27" s="15">
        <f t="shared" si="17"/>
        <v>-5.4833859902967266</v>
      </c>
      <c r="M27" s="13"/>
      <c r="N27" s="16">
        <f t="shared" si="4"/>
        <v>187.13555555555556</v>
      </c>
      <c r="O27" s="16">
        <f t="shared" ca="1" si="18"/>
        <v>98.260453228824929</v>
      </c>
      <c r="P27" s="16">
        <f t="shared" ca="1" si="19"/>
        <v>285.39600878438046</v>
      </c>
      <c r="Q27" s="16">
        <f t="shared" ca="1" si="20"/>
        <v>4.9811000253380984</v>
      </c>
      <c r="R27" s="16">
        <f t="shared" ca="1" si="5"/>
        <v>-65.822129371559598</v>
      </c>
      <c r="S27" s="16">
        <f t="shared" ca="1" si="6"/>
        <v>18.125502119254218</v>
      </c>
      <c r="T27" s="13">
        <f t="shared" ca="1" si="7"/>
        <v>1114347.0868706284</v>
      </c>
      <c r="U27" s="13">
        <f t="shared" ca="1" si="8"/>
        <v>464356.96050211927</v>
      </c>
      <c r="V27" s="16">
        <f t="shared" si="9"/>
        <v>1163.7676140097035</v>
      </c>
      <c r="W27" s="16">
        <f t="shared" ca="1" si="10"/>
        <v>1161.1291801077941</v>
      </c>
      <c r="X27" s="47">
        <f ca="1">IF(AND(A27&gt;=CS_Start,A27&lt;=CS_End),IF(OR(LEFT(UPPER(F27))="D"),"",T27),"")</f>
        <v>1114347.0868706284</v>
      </c>
      <c r="Y27" s="47">
        <f t="shared" ca="1" si="21"/>
        <v>464356.96050211927</v>
      </c>
      <c r="Z27" s="47">
        <f ca="1">IF(X27="",NA(),VALUE((-mB*X27+Y27-bA)/(mA-mB)))</f>
        <v>1114347.0864737339</v>
      </c>
      <c r="AA27" s="47">
        <f ca="1">IF(ISNA(Z27),NA(),VALUE(mA*Z27+bA))</f>
        <v>464357.01082947588</v>
      </c>
      <c r="AB27" s="47">
        <f t="shared" ca="1" si="24"/>
        <v>5.0328921595701792E-2</v>
      </c>
      <c r="AC27" s="47">
        <f t="shared" ca="1" si="25"/>
        <v>91.764468156462925</v>
      </c>
      <c r="AD27" s="47">
        <f t="shared" ca="1" si="26"/>
        <v>0.42140681842192862</v>
      </c>
      <c r="AE27" s="44">
        <f t="shared" ca="1" si="27"/>
        <v>301.06</v>
      </c>
      <c r="AF27" s="44">
        <f t="shared" ca="1" si="28"/>
        <v>1.38</v>
      </c>
      <c r="AH27" s="44">
        <v>301.06</v>
      </c>
      <c r="AI27" s="44">
        <f t="shared" ca="1" si="29"/>
        <v>1.38</v>
      </c>
      <c r="AJ27" s="2" t="str">
        <f t="shared" ca="1" si="23"/>
        <v>301.06,1.38</v>
      </c>
    </row>
    <row r="28" spans="1:36" x14ac:dyDescent="0.25">
      <c r="A28" s="44">
        <v>8</v>
      </c>
      <c r="B28" s="48">
        <v>7.9666898148148144</v>
      </c>
      <c r="C28" s="48">
        <v>3.9658333333333338</v>
      </c>
      <c r="D28" s="44">
        <v>62.671999999999997</v>
      </c>
      <c r="E28" s="44">
        <v>2.609</v>
      </c>
      <c r="F28" s="49" t="s">
        <v>91</v>
      </c>
      <c r="G28" s="43">
        <f t="shared" si="13"/>
        <v>95.18</v>
      </c>
      <c r="H28" s="43">
        <f t="shared" si="14"/>
        <v>1.661204382048203</v>
      </c>
      <c r="I28" s="43">
        <f t="shared" si="3"/>
        <v>191.20055555555555</v>
      </c>
      <c r="J28" s="39">
        <f t="shared" si="15"/>
        <v>3.3370792260867801</v>
      </c>
      <c r="K28" s="39">
        <f t="shared" si="16"/>
        <v>62.416045965224043</v>
      </c>
      <c r="L28" s="15">
        <f t="shared" si="17"/>
        <v>-5.6583381011600169</v>
      </c>
      <c r="M28" s="13"/>
      <c r="N28" s="16">
        <f t="shared" si="4"/>
        <v>191.20055555555555</v>
      </c>
      <c r="O28" s="16">
        <f t="shared" ca="1" si="18"/>
        <v>98.260453228824929</v>
      </c>
      <c r="P28" s="16">
        <f t="shared" ca="1" si="19"/>
        <v>289.46100878438051</v>
      </c>
      <c r="Q28" s="16">
        <f t="shared" ca="1" si="20"/>
        <v>5.0520476594316692</v>
      </c>
      <c r="R28" s="16">
        <f t="shared" ca="1" si="5"/>
        <v>-58.850119686896939</v>
      </c>
      <c r="S28" s="16">
        <f t="shared" ca="1" si="6"/>
        <v>20.794860104623602</v>
      </c>
      <c r="T28" s="13">
        <f t="shared" ca="1" si="7"/>
        <v>1114354.0588803131</v>
      </c>
      <c r="U28" s="13">
        <f t="shared" ca="1" si="8"/>
        <v>464359.62986010464</v>
      </c>
      <c r="V28" s="16">
        <f t="shared" si="9"/>
        <v>1163.5926618988401</v>
      </c>
      <c r="W28" s="16">
        <f t="shared" ca="1" si="10"/>
        <v>1160.954227996931</v>
      </c>
      <c r="X28" s="47">
        <f ca="1">IF(AND(A28&gt;=CS_Start,A28&lt;=CS_End),IF(OR(LEFT(UPPER(F28))="D"),"",T28),"")</f>
        <v>1114354.0588803131</v>
      </c>
      <c r="Y28" s="47">
        <f t="shared" ca="1" si="21"/>
        <v>464359.62986010464</v>
      </c>
      <c r="Z28" s="47">
        <f ca="1">IF(X28="",NA(),VALUE((-mB*X28+Y28-bA)/(mA-mB)))</f>
        <v>1114354.0790997718</v>
      </c>
      <c r="AA28" s="47">
        <f ca="1">IF(ISNA(Z28),NA(),VALUE(mA*Z28+bA))</f>
        <v>464357.0659751299</v>
      </c>
      <c r="AB28" s="47">
        <f t="shared" ca="1" si="24"/>
        <v>2.5639647014442013</v>
      </c>
      <c r="AC28" s="47">
        <f t="shared" ca="1" si="25"/>
        <v>98.757311637427847</v>
      </c>
      <c r="AD28" s="47">
        <f t="shared" ca="1" si="26"/>
        <v>0.24645470755876886</v>
      </c>
      <c r="AE28" s="44">
        <f t="shared" ca="1" si="27"/>
        <v>324.01</v>
      </c>
      <c r="AF28" s="44">
        <f t="shared" ca="1" si="28"/>
        <v>0.81</v>
      </c>
      <c r="AH28" s="44">
        <v>324.01</v>
      </c>
      <c r="AI28" s="44">
        <f t="shared" ca="1" si="29"/>
        <v>0.81</v>
      </c>
      <c r="AJ28" s="2" t="str">
        <f t="shared" ca="1" si="23"/>
        <v>324.01,0.81</v>
      </c>
    </row>
    <row r="29" spans="1:36" x14ac:dyDescent="0.25">
      <c r="A29" s="44">
        <v>9</v>
      </c>
      <c r="B29" s="48">
        <v>8.0405671296296291</v>
      </c>
      <c r="C29" s="48">
        <v>3.9701504629629629</v>
      </c>
      <c r="D29" s="44">
        <v>59.972000000000001</v>
      </c>
      <c r="E29" s="44">
        <v>2.609</v>
      </c>
      <c r="F29" s="49" t="s">
        <v>84</v>
      </c>
      <c r="G29" s="43">
        <f t="shared" si="13"/>
        <v>95.283611111111114</v>
      </c>
      <c r="H29" s="43">
        <f t="shared" si="14"/>
        <v>1.6630127370787415</v>
      </c>
      <c r="I29" s="43">
        <f t="shared" si="3"/>
        <v>192.9736111111111</v>
      </c>
      <c r="J29" s="39">
        <f t="shared" si="15"/>
        <v>3.3680248833520019</v>
      </c>
      <c r="K29" s="39">
        <f t="shared" si="16"/>
        <v>59.717183718131999</v>
      </c>
      <c r="L29" s="15">
        <f t="shared" si="17"/>
        <v>-5.5225675889817012</v>
      </c>
      <c r="M29" s="13"/>
      <c r="N29" s="16">
        <f t="shared" si="4"/>
        <v>192.9736111111111</v>
      </c>
      <c r="O29" s="16">
        <f t="shared" ca="1" si="18"/>
        <v>98.260453228824929</v>
      </c>
      <c r="P29" s="16">
        <f t="shared" ca="1" si="19"/>
        <v>291.23406433993603</v>
      </c>
      <c r="Q29" s="16">
        <f t="shared" ca="1" si="20"/>
        <v>5.0829933166968901</v>
      </c>
      <c r="R29" s="16">
        <f t="shared" ca="1" si="5"/>
        <v>-55.662902782456399</v>
      </c>
      <c r="S29" s="16">
        <f t="shared" ca="1" si="6"/>
        <v>21.628298246878725</v>
      </c>
      <c r="T29" s="13">
        <f t="shared" ca="1" si="7"/>
        <v>1114357.2460972175</v>
      </c>
      <c r="U29" s="13">
        <f t="shared" ca="1" si="8"/>
        <v>464360.4632982469</v>
      </c>
      <c r="V29" s="16">
        <f t="shared" si="9"/>
        <v>1163.7284324110185</v>
      </c>
      <c r="W29" s="16">
        <f t="shared" ca="1" si="10"/>
        <v>1161.0899985091091</v>
      </c>
      <c r="X29" s="47">
        <f ca="1">IF(AND(A29&gt;=CS_Start,A29&lt;=CS_End),IF(OR(LEFT(UPPER(F29))="D"),"",T29),"")</f>
        <v>1114357.2460972175</v>
      </c>
      <c r="Y29" s="47">
        <f t="shared" ca="1" si="21"/>
        <v>464360.4632982469</v>
      </c>
      <c r="Z29" s="47">
        <f ca="1">IF(X29="",NA(),VALUE((-mB*X29+Y29-bA)/(mA-mB)))</f>
        <v>1114357.2726907656</v>
      </c>
      <c r="AA29" s="47">
        <f ca="1">IF(ISNA(Z29),NA(),VALUE(mA*Z29+bA))</f>
        <v>464357.09116061288</v>
      </c>
      <c r="AB29" s="47">
        <f t="shared" ca="1" si="24"/>
        <v>3.3722424941878777</v>
      </c>
      <c r="AC29" s="47">
        <f t="shared" ca="1" si="25"/>
        <v>101.9510019392541</v>
      </c>
      <c r="AD29" s="47">
        <f t="shared" ca="1" si="26"/>
        <v>0.38222521973693802</v>
      </c>
      <c r="AE29" s="44">
        <f t="shared" ca="1" si="27"/>
        <v>334.48</v>
      </c>
      <c r="AF29" s="44">
        <f t="shared" ca="1" si="28"/>
        <v>1.25</v>
      </c>
      <c r="AH29" s="44">
        <v>334.48</v>
      </c>
      <c r="AI29" s="44">
        <f t="shared" ca="1" si="29"/>
        <v>1.25</v>
      </c>
      <c r="AJ29" s="2" t="str">
        <f t="shared" ca="1" si="23"/>
        <v>334.48,1.25</v>
      </c>
    </row>
    <row r="30" spans="1:36" x14ac:dyDescent="0.25">
      <c r="A30" s="44">
        <v>10</v>
      </c>
      <c r="B30" s="48">
        <v>8.0459953703703704</v>
      </c>
      <c r="C30" s="48">
        <v>3.9464236111111113</v>
      </c>
      <c r="D30" s="44">
        <v>58.442999999999998</v>
      </c>
      <c r="E30" s="44">
        <v>2.609</v>
      </c>
      <c r="F30" s="44"/>
      <c r="G30" s="43">
        <f t="shared" si="13"/>
        <v>94.714166666666671</v>
      </c>
      <c r="H30" s="43">
        <f t="shared" si="14"/>
        <v>1.653074056615996</v>
      </c>
      <c r="I30" s="43">
        <f t="shared" si="3"/>
        <v>193.10388888888889</v>
      </c>
      <c r="J30" s="39">
        <f t="shared" si="15"/>
        <v>3.3702986595164055</v>
      </c>
      <c r="K30" s="39">
        <f t="shared" si="16"/>
        <v>58.245292979482123</v>
      </c>
      <c r="L30" s="15">
        <f t="shared" si="17"/>
        <v>-4.8031338451359078</v>
      </c>
      <c r="M30" s="13"/>
      <c r="N30" s="16">
        <f t="shared" si="4"/>
        <v>193.10388888888889</v>
      </c>
      <c r="O30" s="16">
        <f t="shared" ca="1" si="18"/>
        <v>98.260453228824929</v>
      </c>
      <c r="P30" s="16">
        <f t="shared" ca="1" si="19"/>
        <v>291.36434211771382</v>
      </c>
      <c r="Q30" s="16">
        <f t="shared" ca="1" si="20"/>
        <v>5.0852670928612937</v>
      </c>
      <c r="R30" s="16">
        <f t="shared" ca="1" si="5"/>
        <v>-54.242834621373596</v>
      </c>
      <c r="S30" s="16">
        <f t="shared" ca="1" si="6"/>
        <v>21.218601426673327</v>
      </c>
      <c r="T30" s="13">
        <f t="shared" ca="1" si="7"/>
        <v>1114358.6661653786</v>
      </c>
      <c r="U30" s="13">
        <f t="shared" ca="1" si="8"/>
        <v>464360.05360142671</v>
      </c>
      <c r="V30" s="16">
        <f t="shared" si="9"/>
        <v>1164.4478661548642</v>
      </c>
      <c r="W30" s="16">
        <f t="shared" ca="1" si="10"/>
        <v>1161.809432252955</v>
      </c>
      <c r="X30" s="47">
        <f ca="1">IF(AND(A30&gt;=CS_Start,A30&lt;=CS_End),IF(OR(LEFT(UPPER(F30))="D"),"",T30),"")</f>
        <v>1114358.6661653786</v>
      </c>
      <c r="Y30" s="47">
        <f t="shared" ca="1" si="21"/>
        <v>464360.05360142671</v>
      </c>
      <c r="Z30" s="47">
        <f ca="1">IF(X30="",NA(),VALUE((-mB*X30+Y30-bA)/(mA-mB)))</f>
        <v>1114358.6894398395</v>
      </c>
      <c r="AA30" s="47">
        <f ca="1">IF(ISNA(Z30),NA(),VALUE(mA*Z30+bA))</f>
        <v>464357.10233346181</v>
      </c>
      <c r="AB30" s="47">
        <f t="shared" ca="1" si="24"/>
        <v>2.9513597376804364</v>
      </c>
      <c r="AC30" s="47">
        <f t="shared" ca="1" si="25"/>
        <v>103.36779506844555</v>
      </c>
      <c r="AD30" s="47">
        <f t="shared" ca="1" si="26"/>
        <v>1.1016589635828495</v>
      </c>
      <c r="AE30" s="44">
        <f t="shared" ca="1" si="27"/>
        <v>339.13</v>
      </c>
      <c r="AF30" s="44">
        <f t="shared" ca="1" si="28"/>
        <v>3.61</v>
      </c>
      <c r="AH30" s="44">
        <v>339.13</v>
      </c>
      <c r="AI30" s="44">
        <f t="shared" ca="1" si="29"/>
        <v>3.61</v>
      </c>
      <c r="AJ30" s="2" t="str">
        <f t="shared" ca="1" si="23"/>
        <v>339.13,3.61</v>
      </c>
    </row>
    <row r="31" spans="1:36" x14ac:dyDescent="0.25">
      <c r="A31" s="44">
        <v>11</v>
      </c>
      <c r="B31" s="48">
        <v>8.3888425925925922</v>
      </c>
      <c r="C31" s="48">
        <v>4.0276388888888883</v>
      </c>
      <c r="D31" s="44">
        <v>42.134</v>
      </c>
      <c r="E31" s="44">
        <v>2.609</v>
      </c>
      <c r="F31" s="44"/>
      <c r="G31" s="43">
        <f t="shared" si="13"/>
        <v>96.663333333333327</v>
      </c>
      <c r="H31" s="43">
        <f t="shared" si="14"/>
        <v>1.687093432619452</v>
      </c>
      <c r="I31" s="43">
        <f t="shared" si="3"/>
        <v>201.33222222222221</v>
      </c>
      <c r="J31" s="39">
        <f t="shared" si="15"/>
        <v>3.5139101681346725</v>
      </c>
      <c r="K31" s="39">
        <f t="shared" si="16"/>
        <v>41.849389467816991</v>
      </c>
      <c r="L31" s="15">
        <f t="shared" si="17"/>
        <v>-4.8890241532403982</v>
      </c>
      <c r="M31" s="13"/>
      <c r="N31" s="16">
        <f t="shared" si="4"/>
        <v>201.33222222222221</v>
      </c>
      <c r="O31" s="16">
        <f t="shared" ca="1" si="18"/>
        <v>98.260453228824929</v>
      </c>
      <c r="P31" s="16">
        <f t="shared" ca="1" si="19"/>
        <v>299.59267545104717</v>
      </c>
      <c r="Q31" s="16">
        <f t="shared" ca="1" si="20"/>
        <v>5.2288786014795612</v>
      </c>
      <c r="R31" s="16">
        <f t="shared" ca="1" si="5"/>
        <v>-36.390474197847922</v>
      </c>
      <c r="S31" s="16">
        <f t="shared" ca="1" si="6"/>
        <v>20.666513650947429</v>
      </c>
      <c r="T31" s="13">
        <f t="shared" ca="1" si="7"/>
        <v>1114376.5185258021</v>
      </c>
      <c r="U31" s="13">
        <f t="shared" ca="1" si="8"/>
        <v>464359.50151365099</v>
      </c>
      <c r="V31" s="16">
        <f t="shared" si="9"/>
        <v>1164.3619758467598</v>
      </c>
      <c r="W31" s="16">
        <f t="shared" ca="1" si="10"/>
        <v>1161.7235419448507</v>
      </c>
      <c r="X31" s="47">
        <f ca="1">IF(AND(A31&gt;=CS_Start,A31&lt;=CS_End),IF(OR(LEFT(UPPER(F31))="D"),"",T31),"")</f>
        <v>1114376.5185258021</v>
      </c>
      <c r="Y31" s="47">
        <f t="shared" ca="1" si="21"/>
        <v>464359.50151365099</v>
      </c>
      <c r="Z31" s="47">
        <f ca="1">IF(X31="",NA(),VALUE((-mB*X31+Y31-bA)/(mA-mB)))</f>
        <v>1114376.5363364031</v>
      </c>
      <c r="AA31" s="47">
        <f ca="1">IF(ISNA(Z31),NA(),VALUE(mA*Z31+bA))</f>
        <v>464357.2430786952</v>
      </c>
      <c r="AB31" s="47">
        <f t="shared" ca="1" si="24"/>
        <v>2.2585051841941475</v>
      </c>
      <c r="AC31" s="47">
        <f t="shared" ca="1" si="25"/>
        <v>121.21524660009517</v>
      </c>
      <c r="AD31" s="47">
        <f t="shared" ca="1" si="26"/>
        <v>1.0157686554784959</v>
      </c>
      <c r="AE31" s="44">
        <f t="shared" ca="1" si="27"/>
        <v>397.69</v>
      </c>
      <c r="AF31" s="44">
        <f t="shared" ca="1" si="28"/>
        <v>3.33</v>
      </c>
      <c r="AH31" s="44">
        <v>397.69</v>
      </c>
      <c r="AI31" s="44">
        <f t="shared" ca="1" si="29"/>
        <v>3.33</v>
      </c>
      <c r="AJ31" s="2" t="str">
        <f t="shared" ca="1" si="23"/>
        <v>397.69,3.33</v>
      </c>
    </row>
    <row r="32" spans="1:36" x14ac:dyDescent="0.25">
      <c r="A32" s="44">
        <v>12</v>
      </c>
      <c r="B32" s="48">
        <v>10.215138888888889</v>
      </c>
      <c r="C32" s="48">
        <v>4.3615393518518522</v>
      </c>
      <c r="D32" s="44">
        <v>18.021999999999998</v>
      </c>
      <c r="E32" s="44">
        <v>2.609</v>
      </c>
      <c r="F32" s="44"/>
      <c r="G32" s="43">
        <f t="shared" si="13"/>
        <v>104.67694444444444</v>
      </c>
      <c r="H32" s="43">
        <f t="shared" si="14"/>
        <v>1.8269573314827421</v>
      </c>
      <c r="I32" s="43">
        <f t="shared" si="3"/>
        <v>245.16333333333336</v>
      </c>
      <c r="J32" s="39">
        <f t="shared" si="15"/>
        <v>4.278907371831032</v>
      </c>
      <c r="K32" s="39">
        <f t="shared" si="16"/>
        <v>17.433938273928195</v>
      </c>
      <c r="L32" s="15">
        <f t="shared" si="17"/>
        <v>-4.566210711395339</v>
      </c>
      <c r="M32" s="13"/>
      <c r="N32" s="16">
        <f t="shared" si="4"/>
        <v>245.16333333333336</v>
      </c>
      <c r="O32" s="16">
        <f t="shared" ca="1" si="18"/>
        <v>98.260453228824929</v>
      </c>
      <c r="P32" s="16">
        <f t="shared" ca="1" si="19"/>
        <v>343.42378656215828</v>
      </c>
      <c r="Q32" s="16">
        <f t="shared" ca="1" si="20"/>
        <v>5.9938758051759198</v>
      </c>
      <c r="R32" s="16">
        <f t="shared" ca="1" si="5"/>
        <v>-4.9737368191615667</v>
      </c>
      <c r="S32" s="16">
        <f t="shared" ca="1" si="6"/>
        <v>16.709402915510029</v>
      </c>
      <c r="T32" s="13">
        <f t="shared" ca="1" si="7"/>
        <v>1114407.9352631809</v>
      </c>
      <c r="U32" s="13">
        <f t="shared" ca="1" si="8"/>
        <v>464355.54440291552</v>
      </c>
      <c r="V32" s="16">
        <f t="shared" si="9"/>
        <v>1164.6847892886049</v>
      </c>
      <c r="W32" s="16">
        <f t="shared" ca="1" si="10"/>
        <v>1162.0463553866957</v>
      </c>
      <c r="X32" s="47">
        <f ca="1">IF(AND(A32&gt;=CS_Start,A32&lt;=CS_End),IF(OR(LEFT(UPPER(F32))="D"),"",T32),"")</f>
        <v>1114407.9352631809</v>
      </c>
      <c r="Y32" s="47">
        <f t="shared" ca="1" si="21"/>
        <v>464355.54440291552</v>
      </c>
      <c r="Z32" s="47">
        <f ca="1">IF(X32="",NA(),VALUE((-mB*X32+Y32-bA)/(mA-mB)))</f>
        <v>1114407.9199151441</v>
      </c>
      <c r="AA32" s="47">
        <f ca="1">IF(ISNA(Z32),NA(),VALUE(mA*Z32+bA))</f>
        <v>464357.49057769869</v>
      </c>
      <c r="AB32" s="47">
        <f t="shared" ca="1" si="24"/>
        <v>1.946235301515715</v>
      </c>
      <c r="AC32" s="47">
        <f t="shared" ca="1" si="25"/>
        <v>152.59980124642954</v>
      </c>
      <c r="AD32" s="47">
        <f t="shared" ca="1" si="26"/>
        <v>1.3385820973235241</v>
      </c>
      <c r="AE32" s="44">
        <f t="shared" ca="1" si="27"/>
        <v>500.66</v>
      </c>
      <c r="AF32" s="44">
        <f t="shared" ca="1" si="28"/>
        <v>4.3899999999999997</v>
      </c>
      <c r="AH32" s="44">
        <v>500.66</v>
      </c>
      <c r="AI32" s="44">
        <f t="shared" ref="AI32:AI35" ca="1" si="30">OFFSET($AF$22,MATCH(AH32,$AE$23:$AE$59,0),0)</f>
        <v>4.3899999999999997</v>
      </c>
      <c r="AJ32" s="44" t="str">
        <f t="shared" ref="AJ32:AJ35" ca="1" si="31">CONCATENATE(AH32,",",AI32)</f>
        <v>500.66,4.39</v>
      </c>
    </row>
    <row r="33" spans="1:36" x14ac:dyDescent="0.25">
      <c r="A33" s="44">
        <v>13</v>
      </c>
      <c r="B33" s="48">
        <v>10.312303240740741</v>
      </c>
      <c r="C33" s="48">
        <v>4.4608333333333334</v>
      </c>
      <c r="D33" s="44">
        <v>18.376999999999999</v>
      </c>
      <c r="E33" s="44">
        <v>2.609</v>
      </c>
      <c r="F33" s="44"/>
      <c r="G33" s="43">
        <f t="shared" si="13"/>
        <v>107.06</v>
      </c>
      <c r="H33" s="43">
        <f t="shared" si="14"/>
        <v>1.8685494971851293</v>
      </c>
      <c r="I33" s="43">
        <f t="shared" si="3"/>
        <v>247.4952777777778</v>
      </c>
      <c r="J33" s="39">
        <f t="shared" si="15"/>
        <v>4.3196074803601778</v>
      </c>
      <c r="K33" s="39">
        <f t="shared" si="16"/>
        <v>17.568376362091453</v>
      </c>
      <c r="L33" s="15">
        <f t="shared" si="17"/>
        <v>-5.3913153311512332</v>
      </c>
      <c r="M33" s="13"/>
      <c r="N33" s="16">
        <f t="shared" si="4"/>
        <v>247.4952777777778</v>
      </c>
      <c r="O33" s="16">
        <f t="shared" ca="1" si="18"/>
        <v>98.260453228824929</v>
      </c>
      <c r="P33" s="16">
        <f t="shared" ca="1" si="19"/>
        <v>345.75573100660273</v>
      </c>
      <c r="Q33" s="16">
        <f t="shared" ca="1" si="20"/>
        <v>6.0345759137050656</v>
      </c>
      <c r="R33" s="16">
        <f t="shared" ca="1" si="5"/>
        <v>-4.3228104671477423</v>
      </c>
      <c r="S33" s="16">
        <f t="shared" ca="1" si="6"/>
        <v>17.028245877518085</v>
      </c>
      <c r="T33" s="13">
        <f t="shared" ca="1" si="7"/>
        <v>1114408.5861895329</v>
      </c>
      <c r="U33" s="13">
        <f t="shared" ca="1" si="8"/>
        <v>464355.86324587755</v>
      </c>
      <c r="V33" s="16">
        <f t="shared" si="9"/>
        <v>1163.859684668849</v>
      </c>
      <c r="W33" s="16">
        <f t="shared" ca="1" si="10"/>
        <v>1161.2212507669396</v>
      </c>
      <c r="X33" s="47">
        <f ca="1">IF(AND(A33&gt;=CS_Start,A33&lt;=CS_End),IF(OR(LEFT(UPPER(F33))="D"),"",T33),"")</f>
        <v>1114408.5861895329</v>
      </c>
      <c r="Y33" s="47">
        <f t="shared" ca="1" si="21"/>
        <v>464355.86324587755</v>
      </c>
      <c r="Z33" s="47">
        <f ca="1">IF(X33="",NA(),VALUE((-mB*X33+Y33-bA)/(mA-mB)))</f>
        <v>1114408.5733153368</v>
      </c>
      <c r="AA33" s="47">
        <f ca="1">IF(ISNA(Z33),NA(),VALUE(mA*Z33+bA))</f>
        <v>464357.49573058123</v>
      </c>
      <c r="AB33" s="47">
        <f t="shared" ca="1" si="24"/>
        <v>1.6325354675024606</v>
      </c>
      <c r="AC33" s="47">
        <f t="shared" ca="1" si="25"/>
        <v>153.2532217573301</v>
      </c>
      <c r="AD33" s="47">
        <f t="shared" ca="1" si="26"/>
        <v>0.51347747756744866</v>
      </c>
      <c r="AE33" s="44">
        <f t="shared" ca="1" si="27"/>
        <v>502.8</v>
      </c>
      <c r="AF33" s="44">
        <f t="shared" ca="1" si="28"/>
        <v>1.68</v>
      </c>
      <c r="AH33" s="44">
        <v>502.8</v>
      </c>
      <c r="AI33" s="44">
        <f t="shared" ca="1" si="30"/>
        <v>1.68</v>
      </c>
      <c r="AJ33" s="44" t="str">
        <f t="shared" ca="1" si="31"/>
        <v>502.8,1.68</v>
      </c>
    </row>
    <row r="34" spans="1:36" x14ac:dyDescent="0.25">
      <c r="A34" s="44">
        <v>14</v>
      </c>
      <c r="B34" s="48">
        <v>10.345740740740741</v>
      </c>
      <c r="C34" s="48">
        <v>4.488402777777778</v>
      </c>
      <c r="D34" s="44">
        <v>18.356999999999999</v>
      </c>
      <c r="E34" s="44">
        <v>2.609</v>
      </c>
      <c r="F34" s="49" t="s">
        <v>84</v>
      </c>
      <c r="G34" s="43">
        <f t="shared" ref="G34:G37" si="32">C34*24</f>
        <v>107.72166666666666</v>
      </c>
      <c r="H34" s="43">
        <f t="shared" ref="H34:H37" si="33">RADIANS(G34)</f>
        <v>1.8800977590691583</v>
      </c>
      <c r="I34" s="43">
        <f t="shared" ref="I34:I37" si="34">B34*24</f>
        <v>248.29777777777778</v>
      </c>
      <c r="J34" s="49">
        <f t="shared" ref="J34:J37" si="35">RADIANS(I34)</f>
        <v>4.3336137476074317</v>
      </c>
      <c r="K34" s="49">
        <f t="shared" ref="K34:K37" si="36">D34*SIN(H34)</f>
        <v>17.485895028788384</v>
      </c>
      <c r="L34" s="46">
        <f t="shared" ref="L34:L37" si="37">D34*COS(H34)</f>
        <v>-5.587747671664645</v>
      </c>
      <c r="M34" s="45"/>
      <c r="N34" s="47">
        <f t="shared" ref="N34:N37" si="38">I34+M34</f>
        <v>248.29777777777778</v>
      </c>
      <c r="O34" s="47">
        <f t="shared" ca="1" si="18"/>
        <v>98.260453228824929</v>
      </c>
      <c r="P34" s="47">
        <f t="shared" ref="P34:P37" ca="1" si="39">SUM(N34,O34)</f>
        <v>346.55823100660268</v>
      </c>
      <c r="Q34" s="47">
        <f t="shared" ref="Q34:Q37" ca="1" si="40">RADIANS(P34)</f>
        <v>6.0485821809523195</v>
      </c>
      <c r="R34" s="47">
        <f t="shared" ref="R34:R37" ca="1" si="41">K34*SIN(Q34)</f>
        <v>-4.0647187312979165</v>
      </c>
      <c r="S34" s="47">
        <f t="shared" ref="S34:S37" ca="1" si="42">K34*COS(Q34)</f>
        <v>17.006898206117487</v>
      </c>
      <c r="T34" s="45">
        <f t="shared" ref="T34:T37" ca="1" si="43">Old_X0+R34</f>
        <v>1114408.8442812688</v>
      </c>
      <c r="U34" s="45">
        <f t="shared" ref="U34:U37" ca="1" si="44">Old_Y0+S34</f>
        <v>464355.84189820616</v>
      </c>
      <c r="V34" s="47">
        <f t="shared" ref="V34:V37" si="45">Old_Z0+HI+L34-E34</f>
        <v>1163.6632523283356</v>
      </c>
      <c r="W34" s="47">
        <f t="shared" ref="W34:W37" ca="1" si="46">IF(ISNUMBER(T34),V34+dZ,"")</f>
        <v>1161.0248184264265</v>
      </c>
      <c r="X34" s="47">
        <f ca="1">IF(AND(A34&gt;=CS_Start,A34&lt;=CS_End),IF(OR(LEFT(UPPER(F34))="D"),"",T34),"")</f>
        <v>1114408.8442812688</v>
      </c>
      <c r="Y34" s="47">
        <f t="shared" ca="1" si="21"/>
        <v>464355.84189820616</v>
      </c>
      <c r="Z34" s="47">
        <f ca="1">IF(X34="",NA(),VALUE((-mB*X34+Y34-bA)/(mA-mB)))</f>
        <v>1114408.8312226795</v>
      </c>
      <c r="AA34" s="47">
        <f ca="1">IF(ISNA(Z34),NA(),VALUE(mA*Z34+bA))</f>
        <v>464357.49776450515</v>
      </c>
      <c r="AB34" s="47">
        <f t="shared" ref="AB34:AB37" ca="1" si="47">IF(ISNUMBER(X34),SQRT((X34-Z34)^2+(Y34-AA34)^2),"")</f>
        <v>1.6559177899025876</v>
      </c>
      <c r="AC34" s="47">
        <f t="shared" ref="AC34:AC37" ca="1" si="48">IF(ISNUMBER(Z34),SQRT(($Z34-OFFSET($Z$20,MATCH(CS_Start,$A$21:$A$51,0),0))^2+($AA34-OFFSET($AA$20,MATCH(CS_Start,$A$21:$A$51,0),0))^2),"")</f>
        <v>153.51113711986153</v>
      </c>
      <c r="AD34" s="47">
        <f t="shared" ref="AD34:AD37" ca="1" si="49">IF(ISNUMBER(X34),W34-Min_Z,"")</f>
        <v>0.31704513705426507</v>
      </c>
      <c r="AE34" s="44">
        <f t="shared" ref="AE34:AE37" ca="1" si="50">ROUND(CONVERT(AC34,"m","ft"),2)</f>
        <v>503.65</v>
      </c>
      <c r="AF34" s="44">
        <f t="shared" ref="AF34:AF37" ca="1" si="51">ROUND(CONVERT(AD34,"m","ft"),2)</f>
        <v>1.04</v>
      </c>
      <c r="AH34" s="44">
        <v>503.65</v>
      </c>
      <c r="AI34" s="44">
        <f t="shared" ref="AI34:AI37" ca="1" si="52">OFFSET($AF$22,MATCH(AH34,$AE$23:$AE$59,0),0)</f>
        <v>1.04</v>
      </c>
      <c r="AJ34" s="44" t="str">
        <f t="shared" ref="AJ34:AJ37" ca="1" si="53">CONCATENATE(AH34,",",AI34)</f>
        <v>503.65,1.04</v>
      </c>
    </row>
    <row r="35" spans="1:36" x14ac:dyDescent="0.25">
      <c r="A35" s="44">
        <v>15</v>
      </c>
      <c r="B35" s="48">
        <v>10.469305555555556</v>
      </c>
      <c r="C35" s="48">
        <v>4.5282175925925925</v>
      </c>
      <c r="D35" s="44">
        <v>18.202000000000002</v>
      </c>
      <c r="E35" s="44">
        <v>2.609</v>
      </c>
      <c r="F35" s="44"/>
      <c r="G35" s="43">
        <f t="shared" si="32"/>
        <v>108.67722222222221</v>
      </c>
      <c r="H35" s="43">
        <f t="shared" si="33"/>
        <v>1.8967753496993263</v>
      </c>
      <c r="I35" s="43">
        <f t="shared" si="34"/>
        <v>251.26333333333332</v>
      </c>
      <c r="J35" s="49">
        <f t="shared" si="35"/>
        <v>4.3853724562026857</v>
      </c>
      <c r="K35" s="49">
        <f t="shared" si="36"/>
        <v>17.243440118171417</v>
      </c>
      <c r="L35" s="46">
        <f t="shared" si="37"/>
        <v>-5.8289430337786463</v>
      </c>
      <c r="M35" s="45"/>
      <c r="N35" s="47">
        <f t="shared" si="38"/>
        <v>251.26333333333332</v>
      </c>
      <c r="O35" s="47">
        <f t="shared" ca="1" si="18"/>
        <v>98.260453228824929</v>
      </c>
      <c r="P35" s="47">
        <f t="shared" ca="1" si="39"/>
        <v>349.52378656215825</v>
      </c>
      <c r="Q35" s="47">
        <f t="shared" ca="1" si="40"/>
        <v>6.1003408895475735</v>
      </c>
      <c r="R35" s="47">
        <f t="shared" ca="1" si="41"/>
        <v>-3.135328293230375</v>
      </c>
      <c r="S35" s="47">
        <f t="shared" ca="1" si="42"/>
        <v>16.95600022418709</v>
      </c>
      <c r="T35" s="45">
        <f t="shared" ca="1" si="43"/>
        <v>1114409.7736717067</v>
      </c>
      <c r="U35" s="45">
        <f t="shared" ca="1" si="44"/>
        <v>464355.79100022418</v>
      </c>
      <c r="V35" s="47">
        <f t="shared" si="45"/>
        <v>1163.4220569662216</v>
      </c>
      <c r="W35" s="47">
        <f t="shared" ca="1" si="46"/>
        <v>1160.7836230643125</v>
      </c>
      <c r="X35" s="47">
        <f ca="1">IF(AND(A35&gt;=CS_Start,A35&lt;=CS_End),IF(OR(LEFT(UPPER(F35))="D"),"",T35),"")</f>
        <v>1114409.7736717067</v>
      </c>
      <c r="Y35" s="47">
        <f t="shared" ca="1" si="21"/>
        <v>464355.79100022418</v>
      </c>
      <c r="Z35" s="47">
        <f ca="1">IF(X35="",NA(),VALUE((-mB*X35+Y35-bA)/(mA-mB)))</f>
        <v>1114409.7601539497</v>
      </c>
      <c r="AA35" s="47">
        <f ca="1">IF(ISNA(Z35),NA(),VALUE(mA*Z35+bA))</f>
        <v>464357.50509029691</v>
      </c>
      <c r="AB35" s="47">
        <f t="shared" ca="1" si="47"/>
        <v>1.7141433741567687</v>
      </c>
      <c r="AC35" s="47">
        <f t="shared" ca="1" si="48"/>
        <v>154.44009727621506</v>
      </c>
      <c r="AD35" s="47">
        <f t="shared" ca="1" si="49"/>
        <v>7.5849774940252246E-2</v>
      </c>
      <c r="AE35" s="44">
        <f t="shared" ca="1" si="50"/>
        <v>506.69</v>
      </c>
      <c r="AF35" s="44">
        <f t="shared" ca="1" si="51"/>
        <v>0.25</v>
      </c>
      <c r="AH35" s="44">
        <v>506.69</v>
      </c>
      <c r="AI35" s="44">
        <f t="shared" ca="1" si="52"/>
        <v>0.25</v>
      </c>
      <c r="AJ35" s="44" t="str">
        <f t="shared" ca="1" si="53"/>
        <v>506.69,0.25</v>
      </c>
    </row>
    <row r="36" spans="1:36" x14ac:dyDescent="0.25">
      <c r="A36" s="44">
        <v>16</v>
      </c>
      <c r="B36" s="48">
        <v>12.297453703703704</v>
      </c>
      <c r="C36" s="48">
        <v>4.2899652777777773</v>
      </c>
      <c r="D36" s="44">
        <v>25.151</v>
      </c>
      <c r="E36" s="44">
        <v>2.609</v>
      </c>
      <c r="F36" s="44"/>
      <c r="G36" s="43">
        <f t="shared" ref="G36:G40" si="54">C36*24</f>
        <v>102.95916666666665</v>
      </c>
      <c r="H36" s="43">
        <f t="shared" ref="H36:H40" si="55">RADIANS(G36)</f>
        <v>1.796976453442928</v>
      </c>
      <c r="I36" s="43">
        <f t="shared" ref="I36:I40" si="56">B36*24</f>
        <v>295.13888888888891</v>
      </c>
      <c r="J36" s="49">
        <f t="shared" ref="J36:J40" si="57">RADIANS(I36)</f>
        <v>5.1511453617888199</v>
      </c>
      <c r="K36" s="49">
        <f t="shared" ref="K36:K40" si="58">D36*SIN(H36)</f>
        <v>24.510407414557417</v>
      </c>
      <c r="L36" s="46">
        <f t="shared" ref="L36:L40" si="59">D36*COS(H36)</f>
        <v>-5.6402774198091352</v>
      </c>
      <c r="M36" s="45"/>
      <c r="N36" s="47">
        <f t="shared" ref="N36:N40" si="60">I36+M36</f>
        <v>295.13888888888891</v>
      </c>
      <c r="O36" s="47">
        <f t="shared" ca="1" si="18"/>
        <v>98.260453228824929</v>
      </c>
      <c r="P36" s="47">
        <f t="shared" ref="P36:P40" ca="1" si="61">SUM(N36,O36)</f>
        <v>393.39934211771384</v>
      </c>
      <c r="Q36" s="47">
        <f t="shared" ref="Q36:Q40" ca="1" si="62">RADIANS(P36)</f>
        <v>6.8661137951337086</v>
      </c>
      <c r="R36" s="47">
        <f t="shared" ref="R36:R40" ca="1" si="63">K36*SIN(Q36)</f>
        <v>13.492272258143025</v>
      </c>
      <c r="S36" s="47">
        <f t="shared" ref="S36:S40" ca="1" si="64">K36*COS(Q36)</f>
        <v>20.462616180237934</v>
      </c>
      <c r="T36" s="45">
        <f t="shared" ref="T36:T40" ca="1" si="65">Old_X0+R36</f>
        <v>1114426.401272258</v>
      </c>
      <c r="U36" s="45">
        <f t="shared" ref="U36:U40" ca="1" si="66">Old_Y0+S36</f>
        <v>464359.29761618027</v>
      </c>
      <c r="V36" s="47">
        <f t="shared" ref="V36:V40" si="67">Old_Z0+HI+L36-E36</f>
        <v>1163.6107225801911</v>
      </c>
      <c r="W36" s="47">
        <f t="shared" ref="W36:W40" ca="1" si="68">IF(ISNUMBER(T36),V36+dZ,"")</f>
        <v>1160.972288678282</v>
      </c>
      <c r="X36" s="47">
        <f ca="1">IF(AND(A36&gt;=CS_Start,A36&lt;=CS_End),IF(OR(LEFT(UPPER(F36))="D"),"",T36),"")</f>
        <v>1114426.401272258</v>
      </c>
      <c r="Y36" s="47">
        <f t="shared" ref="Y36:Y40" ca="1" si="69">IF(ISNUMBER(X36),U36,"")</f>
        <v>464359.29761618027</v>
      </c>
      <c r="Z36" s="47">
        <f ca="1">IF(X36="",NA(),VALUE((-mB*X36+Y36-bA)/(mA-mB)))</f>
        <v>1114426.4143728027</v>
      </c>
      <c r="AA36" s="47">
        <f ca="1">IF(ISNA(Z36),NA(),VALUE(mA*Z36+bA))</f>
        <v>464357.63642976602</v>
      </c>
      <c r="AB36" s="47">
        <f t="shared" ref="AB36:AB40" ca="1" si="70">IF(ISNUMBER(X36),SQRT((X36-Z36)^2+(Y36-AA36)^2),"")</f>
        <v>1.6612380705815981</v>
      </c>
      <c r="AC36" s="47">
        <f t="shared" ref="AC36:AC40" ca="1" si="71">IF(ISNUMBER(Z36),SQRT(($Z36-OFFSET($Z$20,MATCH(CS_Start,$A$21:$A$51,0),0))^2+($AA36-OFFSET($AA$20,MATCH(CS_Start,$A$21:$A$51,0),0))^2),"")</f>
        <v>171.09483400962782</v>
      </c>
      <c r="AD36" s="47">
        <f t="shared" ref="AD36:AD40" ca="1" si="72">IF(ISNUMBER(X36),W36-Min_Z,"")</f>
        <v>0.26451538890978554</v>
      </c>
      <c r="AE36" s="44">
        <f t="shared" ref="AE36:AE40" ca="1" si="73">ROUND(CONVERT(AC36,"m","ft"),2)</f>
        <v>561.33000000000004</v>
      </c>
      <c r="AF36" s="44">
        <f t="shared" ref="AF36:AF40" ca="1" si="74">ROUND(CONVERT(AD36,"m","ft"),2)</f>
        <v>0.87</v>
      </c>
      <c r="AH36" s="44">
        <v>561.33000000000004</v>
      </c>
      <c r="AI36" s="44">
        <f t="shared" ref="AI36:AI39" ca="1" si="75">OFFSET($AF$22,MATCH(AH36,$AE$23:$AE$59,0),0)</f>
        <v>0.87</v>
      </c>
      <c r="AJ36" s="44" t="str">
        <f t="shared" ref="AJ36:AJ39" ca="1" si="76">CONCATENATE(AH36,",",AI36)</f>
        <v>561.33,0.87</v>
      </c>
    </row>
    <row r="37" spans="1:36" x14ac:dyDescent="0.25">
      <c r="A37" s="44">
        <v>17</v>
      </c>
      <c r="B37" s="48">
        <v>13.614594907407408</v>
      </c>
      <c r="C37" s="48">
        <v>4.147789351851852</v>
      </c>
      <c r="D37" s="44">
        <v>35.601999999999997</v>
      </c>
      <c r="E37" s="44">
        <v>2.609</v>
      </c>
      <c r="F37" s="44"/>
      <c r="G37" s="43">
        <f t="shared" si="54"/>
        <v>99.546944444444449</v>
      </c>
      <c r="H37" s="43">
        <f t="shared" si="55"/>
        <v>1.737421940855433</v>
      </c>
      <c r="I37" s="43">
        <f t="shared" si="56"/>
        <v>326.7502777777778</v>
      </c>
      <c r="J37" s="49">
        <f t="shared" si="57"/>
        <v>5.7028681790282834</v>
      </c>
      <c r="K37" s="49">
        <f t="shared" si="58"/>
        <v>35.108913766821459</v>
      </c>
      <c r="L37" s="46">
        <f t="shared" si="59"/>
        <v>-5.9047928087185566</v>
      </c>
      <c r="M37" s="45"/>
      <c r="N37" s="47">
        <f t="shared" si="60"/>
        <v>326.7502777777778</v>
      </c>
      <c r="O37" s="47">
        <f t="shared" ca="1" si="18"/>
        <v>98.260453228824929</v>
      </c>
      <c r="P37" s="47">
        <f t="shared" ca="1" si="61"/>
        <v>425.01073100660273</v>
      </c>
      <c r="Q37" s="47">
        <f t="shared" ca="1" si="62"/>
        <v>7.4178366123731712</v>
      </c>
      <c r="R37" s="47">
        <f t="shared" ca="1" si="63"/>
        <v>31.822260350761454</v>
      </c>
      <c r="S37" s="47">
        <f t="shared" ca="1" si="64"/>
        <v>14.831708332301476</v>
      </c>
      <c r="T37" s="45">
        <f t="shared" ca="1" si="65"/>
        <v>1114444.7312603507</v>
      </c>
      <c r="U37" s="45">
        <f t="shared" ca="1" si="66"/>
        <v>464353.66670833231</v>
      </c>
      <c r="V37" s="47">
        <f t="shared" si="67"/>
        <v>1163.3462071912816</v>
      </c>
      <c r="W37" s="47">
        <f t="shared" ca="1" si="68"/>
        <v>1160.7077732893722</v>
      </c>
      <c r="X37" s="47">
        <f ca="1">IF(AND(A37&gt;=CS_Start,A37&lt;=CS_End),IF(OR(LEFT(UPPER(F37))="D"),"",T37),"")</f>
        <v>1114444.7312603507</v>
      </c>
      <c r="Y37" s="47">
        <f t="shared" ca="1" si="69"/>
        <v>464353.66670833231</v>
      </c>
      <c r="Z37" s="47">
        <f ca="1">IF(X37="",NA(),VALUE((-mB*X37+Y37-bA)/(mA-mB)))</f>
        <v>1114444.6988169367</v>
      </c>
      <c r="AA37" s="47">
        <f ca="1">IF(ISNA(Z37),NA(),VALUE(mA*Z37+bA))</f>
        <v>464357.78062561247</v>
      </c>
      <c r="AB37" s="47">
        <f t="shared" ca="1" si="70"/>
        <v>4.1140452067442608</v>
      </c>
      <c r="AC37" s="47">
        <f t="shared" ca="1" si="71"/>
        <v>189.37984671760577</v>
      </c>
      <c r="AD37" s="47">
        <f t="shared" ca="1" si="72"/>
        <v>0</v>
      </c>
      <c r="AE37" s="44">
        <f t="shared" ca="1" si="73"/>
        <v>621.32000000000005</v>
      </c>
      <c r="AF37" s="44">
        <f t="shared" ca="1" si="74"/>
        <v>0</v>
      </c>
      <c r="AH37" s="44">
        <v>621.32000000000005</v>
      </c>
      <c r="AI37" s="44">
        <f t="shared" ca="1" si="75"/>
        <v>0</v>
      </c>
      <c r="AJ37" s="44" t="str">
        <f t="shared" ca="1" si="76"/>
        <v>621.32,0</v>
      </c>
    </row>
    <row r="38" spans="1:36" x14ac:dyDescent="0.25">
      <c r="A38" s="44">
        <v>18</v>
      </c>
      <c r="B38" s="48">
        <v>13.654710648148148</v>
      </c>
      <c r="C38" s="48">
        <v>4.1180208333333335</v>
      </c>
      <c r="D38" s="44">
        <v>36.482999999999997</v>
      </c>
      <c r="E38" s="44">
        <v>2.609</v>
      </c>
      <c r="F38" s="44"/>
      <c r="G38" s="43">
        <f t="shared" ref="G38:G41" si="77">C38*24</f>
        <v>98.83250000000001</v>
      </c>
      <c r="H38" s="43">
        <f t="shared" ref="H38:H41" si="78">RADIANS(G38)</f>
        <v>1.7249525329772959</v>
      </c>
      <c r="I38" s="43">
        <f t="shared" ref="I38:I41" si="79">B38*24</f>
        <v>327.71305555555557</v>
      </c>
      <c r="J38" s="49">
        <f t="shared" ref="J38:J41" si="80">RADIANS(I38)</f>
        <v>5.71967182121554</v>
      </c>
      <c r="K38" s="49">
        <f t="shared" ref="K38:K41" si="81">D38*SIN(H38)</f>
        <v>36.050364301669624</v>
      </c>
      <c r="L38" s="46">
        <f t="shared" ref="L38:L41" si="82">D38*COS(H38)</f>
        <v>-5.6018320857469632</v>
      </c>
      <c r="M38" s="45"/>
      <c r="N38" s="47">
        <f t="shared" ref="N38:N41" si="83">I38+M38</f>
        <v>327.71305555555557</v>
      </c>
      <c r="O38" s="47">
        <f t="shared" ca="1" si="18"/>
        <v>98.260453228824929</v>
      </c>
      <c r="P38" s="47">
        <f t="shared" ref="P38:P41" ca="1" si="84">SUM(N38,O38)</f>
        <v>425.9735087843805</v>
      </c>
      <c r="Q38" s="47">
        <f t="shared" ref="Q38:Q41" ca="1" si="85">RADIANS(P38)</f>
        <v>7.4346402545604278</v>
      </c>
      <c r="R38" s="47">
        <f t="shared" ref="R38:R41" ca="1" si="86">K38*SIN(Q38)</f>
        <v>32.926863463192433</v>
      </c>
      <c r="S38" s="47">
        <f t="shared" ref="S38:S41" ca="1" si="87">K38*COS(Q38)</f>
        <v>14.6782297556408</v>
      </c>
      <c r="T38" s="45">
        <f t="shared" ref="T38:T41" ca="1" si="88">Old_X0+R38</f>
        <v>1114445.8358634631</v>
      </c>
      <c r="U38" s="45">
        <f t="shared" ref="U38:U41" ca="1" si="89">Old_Y0+S38</f>
        <v>464353.51322975568</v>
      </c>
      <c r="V38" s="47">
        <f t="shared" ref="V38:V41" si="90">Old_Z0+HI+L38-E38</f>
        <v>1163.6491679142532</v>
      </c>
      <c r="W38" s="47">
        <f t="shared" ref="W38:W41" ca="1" si="91">IF(ISNUMBER(T38),V38+dZ,"")</f>
        <v>1161.0107340123441</v>
      </c>
      <c r="X38" s="47">
        <f ca="1">IF(AND(A38&gt;=CS_Start,A38&lt;=CS_End),IF(OR(LEFT(UPPER(F38))="D"),"",T38),"")</f>
        <v>1114445.8358634631</v>
      </c>
      <c r="Y38" s="47">
        <f t="shared" ref="Y38:Y41" ca="1" si="92">IF(ISNUMBER(X38),U38,"")</f>
        <v>464353.51322975568</v>
      </c>
      <c r="Z38" s="47">
        <f ca="1">IF(X38="",NA(),VALUE((-mB*X38+Y38-bA)/(mA-mB)))</f>
        <v>1114445.8021410585</v>
      </c>
      <c r="AA38" s="47">
        <f ca="1">IF(ISNA(Z38),NA(),VALUE(mA*Z38+bA))</f>
        <v>464357.78932671132</v>
      </c>
      <c r="AB38" s="47">
        <f t="shared" ref="AB38:AB41" ca="1" si="93">IF(ISNUMBER(X38),SQRT((X38-Z38)^2+(Y38-AA38)^2),"")</f>
        <v>4.2762299253675922</v>
      </c>
      <c r="AC38" s="47">
        <f t="shared" ref="AC38:AC41" ca="1" si="94">IF(ISNUMBER(Z38),SQRT(($Z38-OFFSET($Z$20,MATCH(CS_Start,$A$21:$A$51,0),0))^2+($AA38-OFFSET($AA$20,MATCH(CS_Start,$A$21:$A$51,0),0))^2),"")</f>
        <v>190.48320514842376</v>
      </c>
      <c r="AD38" s="47">
        <f t="shared" ref="AD38:AD41" ca="1" si="95">IF(ISNUMBER(X38),W38-Min_Z,"")</f>
        <v>0.30296072297187493</v>
      </c>
      <c r="AE38" s="44">
        <f t="shared" ref="AE38:AE41" ca="1" si="96">ROUND(CONVERT(AC38,"m","ft"),2)</f>
        <v>624.94000000000005</v>
      </c>
      <c r="AF38" s="44">
        <f t="shared" ref="AF38:AF41" ca="1" si="97">ROUND(CONVERT(AD38,"m","ft"),2)</f>
        <v>0.99</v>
      </c>
      <c r="AH38" s="44">
        <v>624.94000000000005</v>
      </c>
      <c r="AI38" s="44">
        <f t="shared" ca="1" si="75"/>
        <v>0.99</v>
      </c>
      <c r="AJ38" s="44" t="str">
        <f t="shared" ca="1" si="76"/>
        <v>624.94,0.99</v>
      </c>
    </row>
    <row r="39" spans="1:36" x14ac:dyDescent="0.25">
      <c r="A39" s="44">
        <v>19</v>
      </c>
      <c r="B39" s="48">
        <v>13.653518518518519</v>
      </c>
      <c r="C39" s="48">
        <v>4.075763888888889</v>
      </c>
      <c r="D39" s="44">
        <v>36.558</v>
      </c>
      <c r="E39" s="44">
        <v>2.609</v>
      </c>
      <c r="F39" s="44"/>
      <c r="G39" s="43">
        <f t="shared" si="77"/>
        <v>97.818333333333328</v>
      </c>
      <c r="H39" s="43">
        <f t="shared" si="78"/>
        <v>1.7072519854799866</v>
      </c>
      <c r="I39" s="43">
        <f t="shared" si="79"/>
        <v>327.68444444444447</v>
      </c>
      <c r="J39" s="49">
        <f t="shared" si="80"/>
        <v>5.7191724631239973</v>
      </c>
      <c r="K39" s="49">
        <f t="shared" si="81"/>
        <v>36.218170134997365</v>
      </c>
      <c r="L39" s="46">
        <f t="shared" si="82"/>
        <v>-4.9730791339355287</v>
      </c>
      <c r="M39" s="45"/>
      <c r="N39" s="47">
        <f t="shared" si="83"/>
        <v>327.68444444444447</v>
      </c>
      <c r="O39" s="47">
        <f t="shared" ca="1" si="18"/>
        <v>98.260453228824929</v>
      </c>
      <c r="P39" s="47">
        <f t="shared" ca="1" si="84"/>
        <v>425.94489767326939</v>
      </c>
      <c r="Q39" s="47">
        <f t="shared" ca="1" si="85"/>
        <v>7.4341408964688851</v>
      </c>
      <c r="R39" s="47">
        <f t="shared" ca="1" si="86"/>
        <v>33.072762211460343</v>
      </c>
      <c r="S39" s="47">
        <f t="shared" ca="1" si="87"/>
        <v>14.763070399880085</v>
      </c>
      <c r="T39" s="45">
        <f t="shared" ca="1" si="88"/>
        <v>1114445.9817622115</v>
      </c>
      <c r="U39" s="45">
        <f t="shared" ca="1" si="89"/>
        <v>464353.59807039989</v>
      </c>
      <c r="V39" s="47">
        <f t="shared" si="90"/>
        <v>1164.2779208660647</v>
      </c>
      <c r="W39" s="47">
        <f t="shared" ca="1" si="91"/>
        <v>1161.6394869641554</v>
      </c>
      <c r="X39" s="47">
        <f ca="1">IF(AND(A39&gt;=CS_Start,A39&lt;=CS_End),IF(OR(LEFT(UPPER(F39))="D"),"",T39),"")</f>
        <v>1114445.9817622115</v>
      </c>
      <c r="Y39" s="47">
        <f t="shared" ca="1" si="92"/>
        <v>464353.59807039989</v>
      </c>
      <c r="Z39" s="47">
        <f ca="1">IF(X39="",NA(),VALUE((-mB*X39+Y39-bA)/(mA-mB)))</f>
        <v>1114445.9486997672</v>
      </c>
      <c r="AA39" s="47">
        <f ca="1">IF(ISNA(Z39),NA(),VALUE(mA*Z39+bA))</f>
        <v>464357.79048251116</v>
      </c>
      <c r="AB39" s="47">
        <f t="shared" ca="1" si="93"/>
        <v>4.1925424787268479</v>
      </c>
      <c r="AC39" s="47">
        <f t="shared" ca="1" si="94"/>
        <v>190.62976841456509</v>
      </c>
      <c r="AD39" s="47">
        <f t="shared" ca="1" si="95"/>
        <v>0.93171367478316824</v>
      </c>
      <c r="AE39" s="44">
        <f t="shared" ca="1" si="96"/>
        <v>625.42999999999995</v>
      </c>
      <c r="AF39" s="44">
        <f t="shared" ca="1" si="97"/>
        <v>3.06</v>
      </c>
      <c r="AH39" s="44">
        <v>625.42999999999995</v>
      </c>
      <c r="AI39" s="44">
        <f t="shared" ca="1" si="75"/>
        <v>3.06</v>
      </c>
      <c r="AJ39" s="44" t="str">
        <f t="shared" ca="1" si="76"/>
        <v>625.43,3.06</v>
      </c>
    </row>
    <row r="40" spans="1:36" x14ac:dyDescent="0.25">
      <c r="A40" s="44">
        <v>20</v>
      </c>
      <c r="B40" s="48">
        <v>14.035868055555556</v>
      </c>
      <c r="C40" s="48">
        <v>3.914895833333333</v>
      </c>
      <c r="D40" s="44">
        <v>67.734999999999999</v>
      </c>
      <c r="E40" s="44">
        <v>2.609</v>
      </c>
      <c r="F40" s="44"/>
      <c r="G40" s="43">
        <f t="shared" si="77"/>
        <v>93.957499999999996</v>
      </c>
      <c r="H40" s="43">
        <f t="shared" si="78"/>
        <v>1.6398677319425721</v>
      </c>
      <c r="I40" s="43">
        <f t="shared" si="79"/>
        <v>336.86083333333335</v>
      </c>
      <c r="J40" s="49">
        <f t="shared" si="80"/>
        <v>5.879330662678532</v>
      </c>
      <c r="K40" s="49">
        <f t="shared" si="81"/>
        <v>67.57348716074597</v>
      </c>
      <c r="L40" s="46">
        <f t="shared" si="82"/>
        <v>-4.6748323966212899</v>
      </c>
      <c r="M40" s="45"/>
      <c r="N40" s="47">
        <f t="shared" si="83"/>
        <v>336.86083333333335</v>
      </c>
      <c r="O40" s="47">
        <f t="shared" ca="1" si="18"/>
        <v>98.260453228824929</v>
      </c>
      <c r="P40" s="47">
        <f t="shared" ca="1" si="84"/>
        <v>435.12128656215828</v>
      </c>
      <c r="Q40" s="47">
        <f t="shared" ca="1" si="85"/>
        <v>7.5942990960234198</v>
      </c>
      <c r="R40" s="47">
        <f t="shared" ca="1" si="86"/>
        <v>65.307852385544663</v>
      </c>
      <c r="S40" s="47">
        <f t="shared" ca="1" si="87"/>
        <v>17.35109748262078</v>
      </c>
      <c r="T40" s="45">
        <f t="shared" ca="1" si="88"/>
        <v>1114478.2168523856</v>
      </c>
      <c r="U40" s="45">
        <f t="shared" ca="1" si="89"/>
        <v>464356.18609748263</v>
      </c>
      <c r="V40" s="47">
        <f t="shared" si="90"/>
        <v>1164.576167603379</v>
      </c>
      <c r="W40" s="47">
        <f t="shared" ca="1" si="91"/>
        <v>1161.9377337014698</v>
      </c>
      <c r="X40" s="47">
        <f ca="1">IF(AND(A40&gt;=CS_Start,A40&lt;=CS_End),IF(OR(LEFT(UPPER(F40))="D"),"",T40),"")</f>
        <v>1114478.2168523856</v>
      </c>
      <c r="Y40" s="47">
        <f t="shared" ca="1" si="92"/>
        <v>464356.18609748263</v>
      </c>
      <c r="Z40" s="47">
        <f ca="1">IF(X40="",NA(),VALUE((-mB*X40+Y40-bA)/(mA-mB)))</f>
        <v>1114478.2021938469</v>
      </c>
      <c r="AA40" s="47">
        <f ca="1">IF(ISNA(Z40),NA(),VALUE(mA*Z40+bA))</f>
        <v>464358.0448418915</v>
      </c>
      <c r="AB40" s="47">
        <f t="shared" ca="1" si="93"/>
        <v>1.8588022084897826</v>
      </c>
      <c r="AC40" s="47">
        <f t="shared" ca="1" si="94"/>
        <v>222.88426545052883</v>
      </c>
      <c r="AD40" s="47">
        <f t="shared" ca="1" si="95"/>
        <v>1.2299604120976255</v>
      </c>
      <c r="AE40" s="44">
        <f t="shared" ca="1" si="96"/>
        <v>731.25</v>
      </c>
      <c r="AF40" s="44">
        <f t="shared" ca="1" si="97"/>
        <v>4.04</v>
      </c>
      <c r="AH40" s="44">
        <v>731.25</v>
      </c>
      <c r="AI40" s="44">
        <f t="shared" ref="AI40:AI44" ca="1" si="98">OFFSET($AF$22,MATCH(AH40,$AE$23:$AE$59,0),0)</f>
        <v>4.04</v>
      </c>
      <c r="AJ40" s="44" t="str">
        <f t="shared" ref="AJ40:AJ44" ca="1" si="99">CONCATENATE(AH40,",",AI40)</f>
        <v>731.25,4.04</v>
      </c>
    </row>
    <row r="41" spans="1:36" x14ac:dyDescent="0.25">
      <c r="A41" s="44">
        <v>21</v>
      </c>
      <c r="B41" s="48">
        <v>14.115104166666667</v>
      </c>
      <c r="C41" s="48">
        <v>3.8805092592592594</v>
      </c>
      <c r="D41" s="44">
        <v>91.872</v>
      </c>
      <c r="E41" s="44">
        <v>2.609</v>
      </c>
      <c r="F41" s="44"/>
      <c r="G41" s="43">
        <f t="shared" si="77"/>
        <v>93.132222222222225</v>
      </c>
      <c r="H41" s="43">
        <f t="shared" si="78"/>
        <v>1.625463917476808</v>
      </c>
      <c r="I41" s="43">
        <f t="shared" si="79"/>
        <v>338.76249999999999</v>
      </c>
      <c r="J41" s="49">
        <f t="shared" si="80"/>
        <v>5.9125210072872907</v>
      </c>
      <c r="K41" s="49">
        <f t="shared" si="81"/>
        <v>91.734752361254678</v>
      </c>
      <c r="L41" s="46">
        <f t="shared" si="82"/>
        <v>-5.0199196427113026</v>
      </c>
      <c r="M41" s="45"/>
      <c r="N41" s="47">
        <f t="shared" si="83"/>
        <v>338.76249999999999</v>
      </c>
      <c r="O41" s="47">
        <f t="shared" ca="1" si="18"/>
        <v>98.260453228824929</v>
      </c>
      <c r="P41" s="47">
        <f t="shared" ca="1" si="84"/>
        <v>437.02295322882492</v>
      </c>
      <c r="Q41" s="47">
        <f t="shared" ca="1" si="85"/>
        <v>7.6274894406321785</v>
      </c>
      <c r="R41" s="47">
        <f t="shared" ca="1" si="86"/>
        <v>89.391856336108887</v>
      </c>
      <c r="S41" s="47">
        <f t="shared" ca="1" si="87"/>
        <v>20.600019698174833</v>
      </c>
      <c r="T41" s="45">
        <f t="shared" ca="1" si="88"/>
        <v>1114502.300856336</v>
      </c>
      <c r="U41" s="45">
        <f t="shared" ca="1" si="89"/>
        <v>464359.43501969817</v>
      </c>
      <c r="V41" s="47">
        <f t="shared" si="90"/>
        <v>1164.2310803572889</v>
      </c>
      <c r="W41" s="47">
        <f t="shared" ca="1" si="91"/>
        <v>1161.5926464553795</v>
      </c>
      <c r="X41" s="47">
        <f ca="1">IF(AND(A41&gt;=CS_Start,A41&lt;=CS_End),IF(OR(LEFT(UPPER(F41))="D"),"",T41),"")</f>
        <v>1114502.300856336</v>
      </c>
      <c r="Y41" s="47">
        <f t="shared" ca="1" si="92"/>
        <v>464359.43501969817</v>
      </c>
      <c r="Z41" s="47">
        <f ca="1">IF(X41="",NA(),VALUE((-mB*X41+Y41-bA)/(mA-mB)))</f>
        <v>1114502.3103202786</v>
      </c>
      <c r="AA41" s="47">
        <f ca="1">IF(ISNA(Z41),NA(),VALUE(mA*Z41+bA))</f>
        <v>464358.23496479995</v>
      </c>
      <c r="AB41" s="47">
        <f t="shared" ca="1" si="93"/>
        <v>1.2000922151844087</v>
      </c>
      <c r="AC41" s="47">
        <f t="shared" ca="1" si="94"/>
        <v>246.99314154974425</v>
      </c>
      <c r="AD41" s="47">
        <f t="shared" ca="1" si="95"/>
        <v>0.88487316600730992</v>
      </c>
      <c r="AE41" s="44">
        <f t="shared" ca="1" si="96"/>
        <v>810.34</v>
      </c>
      <c r="AF41" s="44">
        <f t="shared" ca="1" si="97"/>
        <v>2.9</v>
      </c>
      <c r="AH41" s="2">
        <v>810.34</v>
      </c>
      <c r="AI41" s="44">
        <f t="shared" ca="1" si="98"/>
        <v>2.9</v>
      </c>
      <c r="AJ41" s="44" t="str">
        <f t="shared" ca="1" si="99"/>
        <v>810.34,2.9</v>
      </c>
    </row>
    <row r="42" spans="1:36" x14ac:dyDescent="0.25">
      <c r="A42" s="44">
        <v>22</v>
      </c>
      <c r="B42" s="48">
        <v>14.183449074074074</v>
      </c>
      <c r="C42" s="48">
        <v>3.8793634259259258</v>
      </c>
      <c r="D42" s="44">
        <v>103.849</v>
      </c>
      <c r="E42" s="44">
        <v>2.609</v>
      </c>
      <c r="F42" s="44"/>
      <c r="G42" s="43">
        <f t="shared" ref="G42:G46" si="100">C42*24</f>
        <v>93.104722222222222</v>
      </c>
      <c r="H42" s="43">
        <f t="shared" ref="H42:H46" si="101">RADIANS(G42)</f>
        <v>1.6249839519325093</v>
      </c>
      <c r="I42" s="43">
        <f t="shared" ref="I42:I46" si="102">B42*24</f>
        <v>340.40277777777777</v>
      </c>
      <c r="J42" s="49">
        <f t="shared" ref="J42:J46" si="103">RADIANS(I42)</f>
        <v>5.9411492551568088</v>
      </c>
      <c r="K42" s="49">
        <f t="shared" ref="K42:K46" si="104">D42*SIN(H42)</f>
        <v>103.69657146066798</v>
      </c>
      <c r="L42" s="46">
        <f t="shared" ref="L42:L46" si="105">D42*COS(H42)</f>
        <v>-5.6245771665593081</v>
      </c>
      <c r="M42" s="45"/>
      <c r="N42" s="47">
        <f t="shared" ref="N42:N46" si="106">I42+M42</f>
        <v>340.40277777777777</v>
      </c>
      <c r="O42" s="47">
        <f t="shared" ca="1" si="18"/>
        <v>98.260453228824929</v>
      </c>
      <c r="P42" s="47">
        <f t="shared" ref="P42:P46" ca="1" si="107">SUM(N42,O42)</f>
        <v>438.6632310066027</v>
      </c>
      <c r="Q42" s="47">
        <f t="shared" ref="Q42:Q46" ca="1" si="108">RADIANS(P42)</f>
        <v>7.6561176885016966</v>
      </c>
      <c r="R42" s="47">
        <f t="shared" ref="R42:R46" ca="1" si="109">K42*SIN(Q42)</f>
        <v>101.67331759883874</v>
      </c>
      <c r="S42" s="47">
        <f t="shared" ref="S42:S46" ca="1" si="110">K42*COS(Q42)</f>
        <v>20.384195376396118</v>
      </c>
      <c r="T42" s="45">
        <f t="shared" ref="T42:T46" ca="1" si="111">Old_X0+R42</f>
        <v>1114514.5823175989</v>
      </c>
      <c r="U42" s="45">
        <f t="shared" ref="U42:U46" ca="1" si="112">Old_Y0+S42</f>
        <v>464359.21919537644</v>
      </c>
      <c r="V42" s="47">
        <f t="shared" ref="V42:V46" si="113">Old_Z0+HI+L42-E42</f>
        <v>1163.626422833441</v>
      </c>
      <c r="W42" s="47">
        <f t="shared" ref="W42:W46" ca="1" si="114">IF(ISNUMBER(T42),V42+dZ,"")</f>
        <v>1160.9879889315316</v>
      </c>
      <c r="X42" s="47">
        <f ca="1">IF(AND(A42&gt;=CS_Start,A42&lt;=CS_End),IF(OR(LEFT(UPPER(F42))="D"),"",T42),"")</f>
        <v>1114514.5823175989</v>
      </c>
      <c r="Y42" s="47">
        <f t="shared" ref="Y42:Y46" ca="1" si="115">IF(ISNUMBER(X42),U42,"")</f>
        <v>464359.21919537644</v>
      </c>
      <c r="Z42" s="47">
        <f ca="1">IF(X42="",NA(),VALUE((-mB*X42+Y42-bA)/(mA-mB)))</f>
        <v>1114514.5893158265</v>
      </c>
      <c r="AA42" s="47">
        <f ca="1">IF(ISNA(Z42),NA(),VALUE(mA*Z42+bA))</f>
        <v>464358.33180012862</v>
      </c>
      <c r="AB42" s="47">
        <f t="shared" ref="AB42:AB46" ca="1" si="116">IF(ISNUMBER(X42),SQRT((X42-Z42)^2+(Y42-AA42)^2),"")</f>
        <v>0.88742284230172674</v>
      </c>
      <c r="AC42" s="47">
        <f t="shared" ref="AC42:AC46" ca="1" si="117">IF(ISNUMBER(Z42),SQRT(($Z42-OFFSET($Z$20,MATCH(CS_Start,$A$21:$A$51,0),0))^2+($AA42-OFFSET($AA$20,MATCH(CS_Start,$A$21:$A$51,0),0))^2),"")</f>
        <v>259.2725189259167</v>
      </c>
      <c r="AD42" s="47">
        <f t="shared" ref="AD42:AD46" ca="1" si="118">IF(ISNUMBER(X42),W42-Min_Z,"")</f>
        <v>0.28021564215941908</v>
      </c>
      <c r="AE42" s="44">
        <f t="shared" ref="AE42:AE46" ca="1" si="119">ROUND(CONVERT(AC42,"m","ft"),2)</f>
        <v>850.63</v>
      </c>
      <c r="AF42" s="44">
        <f t="shared" ref="AF42:AF46" ca="1" si="120">ROUND(CONVERT(AD42,"m","ft"),2)</f>
        <v>0.92</v>
      </c>
      <c r="AH42" s="2">
        <v>850.63</v>
      </c>
      <c r="AI42" s="44">
        <f t="shared" ca="1" si="98"/>
        <v>0.92</v>
      </c>
      <c r="AJ42" s="44" t="str">
        <f t="shared" ca="1" si="99"/>
        <v>850.63,0.92</v>
      </c>
    </row>
    <row r="43" spans="1:36" x14ac:dyDescent="0.25">
      <c r="A43" s="44">
        <v>23</v>
      </c>
      <c r="B43" s="48">
        <v>14.251319444444446</v>
      </c>
      <c r="C43" s="48">
        <v>3.8436458333333334</v>
      </c>
      <c r="D43" s="44">
        <v>127.839</v>
      </c>
      <c r="E43" s="44">
        <v>2.609</v>
      </c>
      <c r="F43" s="44"/>
      <c r="G43" s="43">
        <f t="shared" si="100"/>
        <v>92.247500000000002</v>
      </c>
      <c r="H43" s="43">
        <f t="shared" si="101"/>
        <v>1.6100226017334691</v>
      </c>
      <c r="I43" s="43">
        <f t="shared" si="102"/>
        <v>342.03166666666669</v>
      </c>
      <c r="J43" s="49">
        <f t="shared" si="103"/>
        <v>5.9695787294170728</v>
      </c>
      <c r="K43" s="49">
        <f t="shared" si="104"/>
        <v>127.74065963475516</v>
      </c>
      <c r="L43" s="46">
        <f t="shared" si="105"/>
        <v>-5.0133618538494593</v>
      </c>
      <c r="M43" s="45"/>
      <c r="N43" s="47">
        <f t="shared" si="106"/>
        <v>342.03166666666669</v>
      </c>
      <c r="O43" s="47">
        <f t="shared" ca="1" si="18"/>
        <v>98.260453228824929</v>
      </c>
      <c r="P43" s="47">
        <f t="shared" ca="1" si="107"/>
        <v>440.29211989549162</v>
      </c>
      <c r="Q43" s="47">
        <f t="shared" ca="1" si="108"/>
        <v>7.6845471627619606</v>
      </c>
      <c r="R43" s="47">
        <f t="shared" ca="1" si="109"/>
        <v>125.91145002313975</v>
      </c>
      <c r="S43" s="47">
        <f t="shared" ca="1" si="110"/>
        <v>21.540261767043361</v>
      </c>
      <c r="T43" s="45">
        <f t="shared" ca="1" si="111"/>
        <v>1114538.820450023</v>
      </c>
      <c r="U43" s="45">
        <f t="shared" ca="1" si="112"/>
        <v>464360.37526176707</v>
      </c>
      <c r="V43" s="47">
        <f t="shared" si="113"/>
        <v>1164.2376381461509</v>
      </c>
      <c r="W43" s="47">
        <f t="shared" ca="1" si="114"/>
        <v>1161.5992042442417</v>
      </c>
      <c r="X43" s="47">
        <f ca="1">IF(AND(A43&gt;=CS_Start,A43&lt;=CS_End),IF(OR(LEFT(UPPER(F43))="D"),"",T43),"")</f>
        <v>1114538.820450023</v>
      </c>
      <c r="Y43" s="47">
        <f t="shared" ca="1" si="115"/>
        <v>464360.37526176707</v>
      </c>
      <c r="Z43" s="47">
        <f ca="1">IF(X43="",NA(),VALUE((-mB*X43+Y43-bA)/(mA-mB)))</f>
        <v>1114538.8350573718</v>
      </c>
      <c r="AA43" s="47">
        <f ca="1">IF(ISNA(Z43),NA(),VALUE(mA*Z43+bA))</f>
        <v>464358.52300830535</v>
      </c>
      <c r="AB43" s="47">
        <f t="shared" ca="1" si="116"/>
        <v>1.8523110594871979</v>
      </c>
      <c r="AC43" s="47">
        <f t="shared" ca="1" si="117"/>
        <v>283.51901441793746</v>
      </c>
      <c r="AD43" s="47">
        <f t="shared" ca="1" si="118"/>
        <v>0.89143095486952006</v>
      </c>
      <c r="AE43" s="44">
        <f t="shared" ca="1" si="119"/>
        <v>930.18</v>
      </c>
      <c r="AF43" s="44">
        <f t="shared" ca="1" si="120"/>
        <v>2.92</v>
      </c>
      <c r="AH43" s="2">
        <v>930.18</v>
      </c>
      <c r="AI43" s="44">
        <f t="shared" ca="1" si="98"/>
        <v>2.92</v>
      </c>
      <c r="AJ43" s="44" t="str">
        <f t="shared" ca="1" si="99"/>
        <v>930.18,2.92</v>
      </c>
    </row>
    <row r="44" spans="1:36" x14ac:dyDescent="0.25">
      <c r="A44" s="44">
        <v>24</v>
      </c>
      <c r="B44" s="48">
        <v>14.275023148148149</v>
      </c>
      <c r="C44" s="48">
        <v>3.8301041666666666</v>
      </c>
      <c r="D44" s="44">
        <v>153.66200000000001</v>
      </c>
      <c r="E44" s="44">
        <v>2.609</v>
      </c>
      <c r="F44" s="44"/>
      <c r="G44" s="43">
        <f t="shared" si="100"/>
        <v>91.922499999999999</v>
      </c>
      <c r="H44" s="43">
        <f t="shared" si="101"/>
        <v>1.6043502816644877</v>
      </c>
      <c r="I44" s="43">
        <f t="shared" si="102"/>
        <v>342.60055555555556</v>
      </c>
      <c r="J44" s="49">
        <f t="shared" si="103"/>
        <v>5.9795077136061954</v>
      </c>
      <c r="K44" s="49">
        <f t="shared" si="104"/>
        <v>153.57550655981632</v>
      </c>
      <c r="L44" s="46">
        <f t="shared" si="105"/>
        <v>-5.1550003778680455</v>
      </c>
      <c r="M44" s="45"/>
      <c r="N44" s="47">
        <f t="shared" si="106"/>
        <v>342.60055555555556</v>
      </c>
      <c r="O44" s="47">
        <f t="shared" ca="1" si="18"/>
        <v>98.260453228824929</v>
      </c>
      <c r="P44" s="47">
        <f t="shared" ca="1" si="107"/>
        <v>440.86100878438049</v>
      </c>
      <c r="Q44" s="47">
        <f t="shared" ca="1" si="108"/>
        <v>7.6944761469510832</v>
      </c>
      <c r="R44" s="47">
        <f t="shared" ca="1" si="109"/>
        <v>151.62601102960869</v>
      </c>
      <c r="S44" s="47">
        <f t="shared" ca="1" si="110"/>
        <v>24.392396240491909</v>
      </c>
      <c r="T44" s="45">
        <f t="shared" ca="1" si="111"/>
        <v>1114564.5350110296</v>
      </c>
      <c r="U44" s="45">
        <f t="shared" ca="1" si="112"/>
        <v>464363.22739624052</v>
      </c>
      <c r="V44" s="47">
        <f t="shared" si="113"/>
        <v>1164.0959996221322</v>
      </c>
      <c r="W44" s="47">
        <f t="shared" ca="1" si="114"/>
        <v>1161.4575657202231</v>
      </c>
      <c r="X44" s="47">
        <f ca="1">IF(AND(A44&gt;=CS_Start,A44&lt;=CS_End),IF(OR(LEFT(UPPER(F44))="D"),"",T44),"")</f>
        <v>1114564.5350110296</v>
      </c>
      <c r="Y44" s="47">
        <f t="shared" ca="1" si="115"/>
        <v>464363.22739624052</v>
      </c>
      <c r="Z44" s="47">
        <f ca="1">IF(X44="",NA(),VALUE((-mB*X44+Y44-bA)/(mA-mB)))</f>
        <v>1114564.5705104803</v>
      </c>
      <c r="AA44" s="47">
        <f ca="1">IF(ISNA(Z44),NA(),VALUE(mA*Z44+bA))</f>
        <v>464358.72596473206</v>
      </c>
      <c r="AB44" s="47">
        <f t="shared" ca="1" si="116"/>
        <v>4.5015714851947966</v>
      </c>
      <c r="AC44" s="47">
        <f t="shared" ca="1" si="117"/>
        <v>309.25526779743996</v>
      </c>
      <c r="AD44" s="47">
        <f t="shared" ca="1" si="118"/>
        <v>0.74979243085090275</v>
      </c>
      <c r="AE44" s="44">
        <f t="shared" ca="1" si="119"/>
        <v>1014.62</v>
      </c>
      <c r="AF44" s="44">
        <f t="shared" ca="1" si="120"/>
        <v>2.46</v>
      </c>
      <c r="AH44" s="2">
        <v>1014.62</v>
      </c>
      <c r="AI44" s="44">
        <f t="shared" ca="1" si="98"/>
        <v>2.46</v>
      </c>
      <c r="AJ44" s="44" t="str">
        <f t="shared" ca="1" si="99"/>
        <v>1014.62,2.46</v>
      </c>
    </row>
    <row r="45" spans="1:36" x14ac:dyDescent="0.25">
      <c r="A45" s="44">
        <v>25</v>
      </c>
      <c r="B45" s="48">
        <v>8.2175925925925917E-4</v>
      </c>
      <c r="C45" s="48">
        <v>3.7504629629629629</v>
      </c>
      <c r="D45" s="44">
        <v>124.32</v>
      </c>
      <c r="E45" s="44">
        <v>1.492</v>
      </c>
      <c r="F45" s="49" t="s">
        <v>69</v>
      </c>
      <c r="G45" s="43">
        <f t="shared" si="100"/>
        <v>90.011111111111106</v>
      </c>
      <c r="H45" s="43">
        <f t="shared" si="101"/>
        <v>1.5709902522673402</v>
      </c>
      <c r="I45" s="43">
        <f t="shared" si="102"/>
        <v>1.9722222222222221E-2</v>
      </c>
      <c r="J45" s="49">
        <f t="shared" si="103"/>
        <v>3.4421771358777054E-4</v>
      </c>
      <c r="K45" s="49">
        <f t="shared" si="104"/>
        <v>124.31999766234335</v>
      </c>
      <c r="L45" s="46">
        <f t="shared" si="105"/>
        <v>-2.4108814583080163E-2</v>
      </c>
      <c r="M45" s="45"/>
      <c r="N45" s="47">
        <f t="shared" si="106"/>
        <v>1.9722222222222221E-2</v>
      </c>
      <c r="O45" s="47">
        <f t="shared" ca="1" si="18"/>
        <v>98.260453228824929</v>
      </c>
      <c r="P45" s="47">
        <f t="shared" ca="1" si="107"/>
        <v>98.280175451047157</v>
      </c>
      <c r="Q45" s="47">
        <f t="shared" ca="1" si="108"/>
        <v>1.715312651058476</v>
      </c>
      <c r="R45" s="47">
        <f t="shared" ca="1" si="109"/>
        <v>123.02404592699017</v>
      </c>
      <c r="S45" s="47">
        <f t="shared" ca="1" si="110"/>
        <v>-17.903796874374777</v>
      </c>
      <c r="T45" s="45">
        <f t="shared" ca="1" si="111"/>
        <v>1114535.933045927</v>
      </c>
      <c r="U45" s="45">
        <f t="shared" ca="1" si="112"/>
        <v>464320.93120312563</v>
      </c>
      <c r="V45" s="47">
        <f t="shared" si="113"/>
        <v>1170.3438911854171</v>
      </c>
      <c r="W45" s="47">
        <f t="shared" ca="1" si="114"/>
        <v>1167.7054572835077</v>
      </c>
      <c r="X45" s="47" t="str">
        <f>IF(AND(A45&gt;=CS_Start,A45&lt;=CS_End),IF(OR(LEFT(UPPER(F45))="D"),"",T45),"")</f>
        <v/>
      </c>
      <c r="Y45" s="47" t="str">
        <f t="shared" si="115"/>
        <v/>
      </c>
      <c r="Z45" s="47" t="e">
        <f>IF(X45="",NA(),VALUE((-mB*X45+Y45-bA)/(mA-mB)))</f>
        <v>#N/A</v>
      </c>
      <c r="AA45" s="47" t="e">
        <f>IF(ISNA(Z45),NA(),VALUE(mA*Z45+bA))</f>
        <v>#N/A</v>
      </c>
      <c r="AB45" s="47" t="str">
        <f t="shared" si="116"/>
        <v/>
      </c>
      <c r="AC45" s="47" t="str">
        <f t="shared" ca="1" si="117"/>
        <v/>
      </c>
      <c r="AD45" s="47" t="str">
        <f t="shared" si="118"/>
        <v/>
      </c>
      <c r="AE45" s="44" t="e">
        <f t="shared" ca="1" si="119"/>
        <v>#VALUE!</v>
      </c>
      <c r="AF45" s="44" t="e">
        <f t="shared" si="120"/>
        <v>#VALUE!</v>
      </c>
    </row>
    <row r="46" spans="1:36" x14ac:dyDescent="0.25">
      <c r="A46" s="44">
        <v>26</v>
      </c>
      <c r="B46" s="48">
        <v>6.5657407407407407</v>
      </c>
      <c r="C46" s="48">
        <v>3.7409490740740741</v>
      </c>
      <c r="D46" s="44">
        <v>131.172</v>
      </c>
      <c r="E46" s="44">
        <v>1.492</v>
      </c>
      <c r="F46" s="49" t="s">
        <v>70</v>
      </c>
      <c r="G46" s="43">
        <f t="shared" si="100"/>
        <v>89.782777777777781</v>
      </c>
      <c r="H46" s="43">
        <f t="shared" si="101"/>
        <v>1.56700508380862</v>
      </c>
      <c r="I46" s="43">
        <f t="shared" si="102"/>
        <v>157.57777777777778</v>
      </c>
      <c r="J46" s="49">
        <f t="shared" si="103"/>
        <v>2.7502510501981758</v>
      </c>
      <c r="K46" s="49">
        <f t="shared" si="104"/>
        <v>131.17105729922469</v>
      </c>
      <c r="L46" s="46">
        <f t="shared" si="105"/>
        <v>0.49730373365940173</v>
      </c>
      <c r="M46" s="45"/>
      <c r="N46" s="47">
        <f t="shared" si="106"/>
        <v>157.57777777777778</v>
      </c>
      <c r="O46" s="47">
        <f t="shared" ca="1" si="18"/>
        <v>98.260453228824929</v>
      </c>
      <c r="P46" s="47">
        <f t="shared" ca="1" si="107"/>
        <v>255.83823100660271</v>
      </c>
      <c r="Q46" s="47">
        <f t="shared" ca="1" si="108"/>
        <v>4.4652194835430636</v>
      </c>
      <c r="R46" s="47">
        <f t="shared" ca="1" si="109"/>
        <v>-127.18461370894796</v>
      </c>
      <c r="S46" s="47">
        <f t="shared" ca="1" si="110"/>
        <v>-32.092371503243157</v>
      </c>
      <c r="T46" s="45">
        <f t="shared" ca="1" si="111"/>
        <v>1114285.7243862911</v>
      </c>
      <c r="U46" s="45">
        <f t="shared" ca="1" si="112"/>
        <v>464306.74262849678</v>
      </c>
      <c r="V46" s="47">
        <f t="shared" si="113"/>
        <v>1170.8653037336596</v>
      </c>
      <c r="W46" s="47">
        <f t="shared" ca="1" si="114"/>
        <v>1168.2268698317503</v>
      </c>
      <c r="X46" s="47" t="str">
        <f>IF(AND(A46&gt;=CS_Start,A46&lt;=CS_End),IF(OR(LEFT(UPPER(F46))="D"),"",T46),"")</f>
        <v/>
      </c>
      <c r="Y46" s="47" t="str">
        <f t="shared" si="115"/>
        <v/>
      </c>
      <c r="Z46" s="47" t="e">
        <f>IF(X46="",NA(),VALUE((-mB*X46+Y46-bA)/(mA-mB)))</f>
        <v>#N/A</v>
      </c>
      <c r="AA46" s="47" t="e">
        <f>IF(ISNA(Z46),NA(),VALUE(mA*Z46+bA))</f>
        <v>#N/A</v>
      </c>
      <c r="AB46" s="47" t="str">
        <f t="shared" si="116"/>
        <v/>
      </c>
      <c r="AC46" s="47" t="str">
        <f t="shared" ca="1" si="117"/>
        <v/>
      </c>
      <c r="AD46" s="47" t="str">
        <f t="shared" si="118"/>
        <v/>
      </c>
      <c r="AE46" s="44" t="e">
        <f t="shared" ca="1" si="119"/>
        <v>#VALUE!</v>
      </c>
      <c r="AF46" s="44" t="e">
        <f t="shared" si="120"/>
        <v>#VALUE!</v>
      </c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44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3656210.3313648296</v>
      </c>
      <c r="C2" s="33">
        <f>IF(ISNUMBER(Calculations!O4),CONVERT(Calculations!O4,Units_In,Units_Out),"")</f>
        <v>1523421.374671916</v>
      </c>
      <c r="D2" s="33" t="s">
        <v>60</v>
      </c>
      <c r="E2" s="10" t="str">
        <f>CONCATENATE("0503 ",B2,"EUSft ",C2,"NUSft")</f>
        <v>0503 3656210.33136483EUSft 1523421.37467192NUSft</v>
      </c>
      <c r="F2" s="34">
        <v>98</v>
      </c>
      <c r="G2" s="10" t="str">
        <f>IF(F2=98,"Lime",IF(F2=94,"Yellow",""))</f>
        <v>Lime</v>
      </c>
      <c r="H2" s="10" t="str">
        <f>Calculations!$A$1</f>
        <v>ARKLASCO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3656231.4370078738</v>
      </c>
      <c r="C3" s="33">
        <f>IF(ISNUMBER(Calculations!O5),CONVERT(Calculations!O5,Units_In,Units_Out),"")</f>
        <v>1523012.1784776903</v>
      </c>
      <c r="D3" s="33" t="s">
        <v>60</v>
      </c>
      <c r="E3" s="10" t="str">
        <f t="shared" ref="E3:E4" si="0">CONCATENATE("0503 ",B3,"EUSft ",C3,"NUSft")</f>
        <v>0503 3656231.43700787EUSft 1523012.17847769NUSft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ARKLASCO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3656015.9120734907</v>
      </c>
      <c r="C4" s="33">
        <f>IF(ISNUMBER(Calculations!O6),CONVERT(Calculations!O6,Units_In,Units_Out),"")</f>
        <v>1523792.8444881891</v>
      </c>
      <c r="D4" s="33" t="s">
        <v>60</v>
      </c>
      <c r="E4" s="10" t="str">
        <f t="shared" si="0"/>
        <v>0503 3656015.91207349EUSft 1523792.84448819NUSft</v>
      </c>
      <c r="F4" s="34">
        <v>98</v>
      </c>
      <c r="G4" s="10" t="str">
        <f t="shared" si="1"/>
        <v>Lime</v>
      </c>
      <c r="H4" s="10" t="str">
        <f>Calculations!$A$1</f>
        <v>ARKLASCO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3656614.0711688558</v>
      </c>
      <c r="C5" s="33">
        <f ca="1">IF(ISNUMBER(A5),CONVERT(Calculations!U21,Units_In,Units_Out),"")</f>
        <v>1523362.7599761994</v>
      </c>
      <c r="D5" s="33" t="str">
        <f>IF(ISTEXT(Calculations!F21),Calculations!F21,"")</f>
        <v>BS/ZERO</v>
      </c>
      <c r="E5" t="str">
        <f ca="1">IF(ISNUMBER(A5),CONCATENATE("0503 ",B5,"EUSft ",C5,"NUSft"),"")</f>
        <v>0503 3656614.07116886EUSft 1523362.7599762NUSft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ARKLASCO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3655792.7915291418</v>
      </c>
      <c r="C6" s="33">
        <f ca="1">IF(ISNUMBER(A6),CONVERT(Calculations!U22,Units_In,Units_Out),"")</f>
        <v>1523315.8040556102</v>
      </c>
      <c r="D6" s="33" t="str">
        <f>IF(ISTEXT(Calculations!F22),Calculations!F22,"")</f>
        <v xml:space="preserve">BS </v>
      </c>
      <c r="E6" s="10" t="str">
        <f t="shared" ref="E6:E65" ca="1" si="2">IF(ISNUMBER(A6),CONCATENATE("0503 ",B6,"EUSft ",C6,"NUSft"),"")</f>
        <v>0503 3655792.79152914EUSft 1523315.80405561NUSft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ARKLASCO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3655693.3305593859</v>
      </c>
      <c r="C7" s="33">
        <f ca="1">IF(ISNUMBER(A7),CONVERT(Calculations!U23,Units_In,Units_Out),"")</f>
        <v>1523477.6774862548</v>
      </c>
      <c r="D7" s="33" t="str">
        <f>IF(ISTEXT(Calculations!F23),Calculations!F23,"")</f>
        <v/>
      </c>
      <c r="E7" s="10" t="str">
        <f t="shared" ca="1" si="2"/>
        <v>0503 3655693.33055939EUSft 1523477.67748625NUSft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ARKLASCO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3655777.5385465045</v>
      </c>
      <c r="C8" s="33">
        <f ca="1">IF(ISNUMBER(A8),CONVERT(Calculations!U24,Units_In,Units_Out),"")</f>
        <v>1523486.8855904925</v>
      </c>
      <c r="D8" s="33" t="str">
        <f>IF(ISTEXT(Calculations!F24),Calculations!F24,"")</f>
        <v/>
      </c>
      <c r="E8" s="10" t="str">
        <f t="shared" ca="1" si="2"/>
        <v>0503 3655777.5385465EUSft 1523486.88559049NUSft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ARKLASCO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3655853.9044602597</v>
      </c>
      <c r="C9" s="33">
        <f ca="1">IF(ISNUMBER(A9),CONVERT(Calculations!U25,Units_In,Units_Out),"")</f>
        <v>1523473.4857999466</v>
      </c>
      <c r="D9" s="33" t="str">
        <f>IF(ISTEXT(Calculations!F25),Calculations!F25,"")</f>
        <v/>
      </c>
      <c r="E9" s="10" t="str">
        <f t="shared" ca="1" si="2"/>
        <v>0503 3655853.90446026EUSft 1523473.48579995NUSft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ARKLASCO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3655992.0663344972</v>
      </c>
      <c r="C10" s="33">
        <f ca="1">IF(ISNUMBER(A10),CONVERT(Calculations!U26,Units_In,Units_Out),"")</f>
        <v>1523481.3976999547</v>
      </c>
      <c r="D10" s="33" t="str">
        <f>IF(ISTEXT(Calculations!F26),Calculations!F26,"")</f>
        <v/>
      </c>
      <c r="E10" s="10" t="str">
        <f t="shared" ca="1" si="2"/>
        <v>0503 3655992.0663345EUSft 1523481.39769995NUSft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ARKLASCO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3655994.3794968124</v>
      </c>
      <c r="C11" s="33">
        <f ca="1">IF(ISNUMBER(A11),CONVERT(Calculations!U27,Units_In,Units_Out),"")</f>
        <v>1523480.8415423862</v>
      </c>
      <c r="D11" s="33" t="str">
        <f>IF(ISTEXT(Calculations!F27),Calculations!F27,"")</f>
        <v>WS</v>
      </c>
      <c r="E11" s="10" t="str">
        <f t="shared" ca="1" si="2"/>
        <v>0503 3655994.37949681EUSft 1523480.84154239NUSft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ARKLASCO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3656017.2535443339</v>
      </c>
      <c r="C12" s="33">
        <f ca="1">IF(ISNUMBER(A12),CONVERT(Calculations!U28,Units_In,Units_Out),"")</f>
        <v>1523489.5992785585</v>
      </c>
      <c r="D12" s="33" t="str">
        <f>IF(ISTEXT(Calculations!F28),Calculations!F28,"")</f>
        <v>MID CHAN</v>
      </c>
      <c r="E12" s="10" t="str">
        <f t="shared" ca="1" si="2"/>
        <v>0503 3656017.25354433EUSft 1523489.59927856NUSft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ARKLASCO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3656027.7102927086</v>
      </c>
      <c r="C13" s="33">
        <f ca="1">IF(ISNUMBER(A13),CONVERT(Calculations!U29,Units_In,Units_Out),"")</f>
        <v>1523492.3336556656</v>
      </c>
      <c r="D13" s="33" t="str">
        <f>IF(ISTEXT(Calculations!F29),Calculations!F29,"")</f>
        <v>WS</v>
      </c>
      <c r="E13" s="10" t="str">
        <f t="shared" ca="1" si="2"/>
        <v>0503 3656027.71029271EUSft 1523492.33365567NUSft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ARKLASCO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3656032.3693089848</v>
      </c>
      <c r="C14" s="33">
        <f ca="1">IF(ISNUMBER(A14),CONVERT(Calculations!U30,Units_In,Units_Out),"")</f>
        <v>1523490.9895059932</v>
      </c>
      <c r="D14" s="33" t="str">
        <f>IF(ISTEXT(Calculations!F30),Calculations!F30,"")</f>
        <v/>
      </c>
      <c r="E14" s="10" t="str">
        <f t="shared" ca="1" si="2"/>
        <v>0503 3656032.36930898EUSft 1523490.98950599NUSft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ARKLASCO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3656090.9400452822</v>
      </c>
      <c r="C15" s="33">
        <f ca="1">IF(ISNUMBER(A15),CONVERT(Calculations!U31,Units_In,Units_Out),"")</f>
        <v>1523489.1781943929</v>
      </c>
      <c r="D15" s="33" t="str">
        <f>IF(ISTEXT(Calculations!F31),Calculations!F31,"")</f>
        <v/>
      </c>
      <c r="E15" s="10" t="str">
        <f t="shared" ca="1" si="2"/>
        <v>0503 3656090.94004528EUSft 1523489.17819439NUSft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ARKLASCO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3656194.0133306459</v>
      </c>
      <c r="C16" s="33">
        <f ca="1">IF(ISNUMBER(A16),CONVERT(Calculations!U32,Units_In,Units_Out),"")</f>
        <v>1523476.1955476231</v>
      </c>
      <c r="D16" s="33" t="str">
        <f>IF(ISTEXT(Calculations!F32),Calculations!F32,"")</f>
        <v/>
      </c>
      <c r="E16" s="10" t="str">
        <f t="shared" ca="1" si="2"/>
        <v>0503 3656194.01333065EUSft 1523476.19554762NUSft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ARKLASCO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3656196.14891579</v>
      </c>
      <c r="C17" s="33">
        <f ca="1">IF(ISNUMBER(A17),CONVERT(Calculations!U33,Units_In,Units_Out),"")</f>
        <v>1523477.2416203334</v>
      </c>
      <c r="D17" s="33" t="str">
        <f>IF(ISTEXT(Calculations!F33),Calculations!F33,"")</f>
        <v/>
      </c>
      <c r="E17" s="10" t="str">
        <f t="shared" ca="1" si="2"/>
        <v>0503 3656196.14891579EUSft 1523477.24162033NUSft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ARKLASCO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3656196.9956734539</v>
      </c>
      <c r="C18" s="33">
        <f ca="1">IF(ISNUMBER(A18),CONVERT(Calculations!U34,Units_In,Units_Out),"")</f>
        <v>1523477.1715820413</v>
      </c>
      <c r="D18" s="33" t="str">
        <f>IF(ISTEXT(Calculations!F34),Calculations!F34,"")</f>
        <v>WS</v>
      </c>
      <c r="E18" s="10" t="str">
        <f t="shared" ca="1" si="2"/>
        <v>0503 3656196.99567345EUSft 1523477.17158204NUSft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ARKLASCO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3656200.0448546805</v>
      </c>
      <c r="C19" s="33">
        <f ca="1">IF(ISNUMBER(A19),CONVERT(Calculations!U35,Units_In,Units_Out),"")</f>
        <v>1523477.0045939113</v>
      </c>
      <c r="D19" s="33" t="str">
        <f>IF(ISTEXT(Calculations!F35),Calculations!F35,"")</f>
        <v/>
      </c>
      <c r="E19" s="10" t="str">
        <f t="shared" ca="1" si="2"/>
        <v>0503 3656200.04485468EUSft 1523477.00459391NUSft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ARKLASCO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3656254.5973499278</v>
      </c>
      <c r="C20" s="33">
        <f ca="1">IF(ISNUMBER(A20),CONVERT(Calculations!U36,Units_In,Units_Out),"")</f>
        <v>1523488.5092394366</v>
      </c>
      <c r="D20" s="33" t="str">
        <f>IF(ISTEXT(Calculations!F36),Calculations!F36,"")</f>
        <v/>
      </c>
      <c r="E20" s="10" t="str">
        <f t="shared" ca="1" si="2"/>
        <v>0503 3656254.59734993EUSft 1523488.50923944NUSft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ARKLASCO</v>
      </c>
    </row>
    <row r="21" spans="1:8" x14ac:dyDescent="0.25">
      <c r="A21" s="10">
        <f>IF(ISNUMBER(Calculations!A37),Calculations!A37,"")</f>
        <v>17</v>
      </c>
      <c r="B21" s="33">
        <f ca="1">IF(ISNUMBER(A21),CONVERT(Calculations!T37,Units_In,Units_Out),"")</f>
        <v>3656314.7351061371</v>
      </c>
      <c r="C21" s="33">
        <f ca="1">IF(ISNUMBER(A21),CONVERT(Calculations!U37,Units_In,Units_Out),"")</f>
        <v>1523470.0351323239</v>
      </c>
      <c r="D21" s="33" t="str">
        <f>IF(ISTEXT(Calculations!F37),Calculations!F37,"")</f>
        <v/>
      </c>
      <c r="E21" s="10" t="str">
        <f t="shared" ca="1" si="2"/>
        <v>0503 3656314.73510614EUSft 1523470.03513232NUSft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ARKLASCO</v>
      </c>
    </row>
    <row r="22" spans="1:8" x14ac:dyDescent="0.25">
      <c r="A22" s="10">
        <f>IF(ISNUMBER(Calculations!A38),Calculations!A38,"")</f>
        <v>18</v>
      </c>
      <c r="B22" s="33">
        <f ca="1">IF(ISNUMBER(A22),CONVERT(Calculations!T38,Units_In,Units_Out),"")</f>
        <v>3656318.3591320971</v>
      </c>
      <c r="C22" s="33">
        <f ca="1">IF(ISNUMBER(A22),CONVERT(Calculations!U38,Units_In,Units_Out),"")</f>
        <v>1523469.5315936867</v>
      </c>
      <c r="D22" s="33" t="str">
        <f>IF(ISTEXT(Calculations!F38),Calculations!F38,"")</f>
        <v/>
      </c>
      <c r="E22" s="10" t="str">
        <f t="shared" ca="1" si="2"/>
        <v>0503 3656318.3591321EUSft 1523469.53159369NUSft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ARKLASCO</v>
      </c>
    </row>
    <row r="23" spans="1:8" x14ac:dyDescent="0.25">
      <c r="A23" s="10">
        <f>IF(ISNUMBER(Calculations!A39),Calculations!A39,"")</f>
        <v>19</v>
      </c>
      <c r="B23" s="33">
        <f ca="1">IF(ISNUMBER(A23),CONVERT(Calculations!T39,Units_In,Units_Out),"")</f>
        <v>3656318.8378025317</v>
      </c>
      <c r="C23" s="33">
        <f ca="1">IF(ISNUMBER(A23),CONVERT(Calculations!U39,Units_In,Units_Out),"")</f>
        <v>1523469.8099422569</v>
      </c>
      <c r="D23" s="33" t="str">
        <f>IF(ISTEXT(Calculations!F39),Calculations!F39,"")</f>
        <v/>
      </c>
      <c r="E23" s="10" t="str">
        <f t="shared" ca="1" si="2"/>
        <v>0503 3656318.83780253EUSft 1523469.80994226NUSft</v>
      </c>
      <c r="F23" s="34">
        <f t="shared" si="3"/>
        <v>94</v>
      </c>
      <c r="G23" s="10" t="str">
        <f t="shared" si="1"/>
        <v>Yellow</v>
      </c>
      <c r="H23" s="10" t="str">
        <f>IF(ISNUMBER(A23),Calculations!$A$1,"")</f>
        <v>ARKLASCO</v>
      </c>
    </row>
    <row r="24" spans="1:8" x14ac:dyDescent="0.25">
      <c r="A24" s="10">
        <f>IF(ISNUMBER(Calculations!A40),Calculations!A40,"")</f>
        <v>20</v>
      </c>
      <c r="B24" s="33">
        <f ca="1">IF(ISNUMBER(A24),CONVERT(Calculations!T40,Units_In,Units_Out),"")</f>
        <v>3656424.5959723936</v>
      </c>
      <c r="C24" s="33">
        <f ca="1">IF(ISNUMBER(A24),CONVERT(Calculations!U40,Units_In,Units_Out),"")</f>
        <v>1523478.3008447592</v>
      </c>
      <c r="D24" s="33" t="str">
        <f>IF(ISTEXT(Calculations!F40),Calculations!F40,"")</f>
        <v/>
      </c>
      <c r="E24" s="10" t="str">
        <f t="shared" ca="1" si="2"/>
        <v>0503 3656424.59597239EUSft 1523478.30084476NUSft</v>
      </c>
      <c r="F24" s="34">
        <f t="shared" si="3"/>
        <v>94</v>
      </c>
      <c r="G24" s="10" t="str">
        <f t="shared" si="1"/>
        <v>Yellow</v>
      </c>
      <c r="H24" s="10" t="str">
        <f>IF(ISNUMBER(A24),Calculations!$A$1,"")</f>
        <v>ARKLASCO</v>
      </c>
    </row>
    <row r="25" spans="1:8" x14ac:dyDescent="0.25">
      <c r="A25" s="10">
        <f>IF(ISNUMBER(Calculations!A41),Calculations!A41,"")</f>
        <v>21</v>
      </c>
      <c r="B25" s="33">
        <f ca="1">IF(ISNUMBER(A25),CONVERT(Calculations!T41,Units_In,Units_Out),"")</f>
        <v>3656503.6117333858</v>
      </c>
      <c r="C25" s="33">
        <f ca="1">IF(ISNUMBER(A25),CONVERT(Calculations!U41,Units_In,Units_Out),"")</f>
        <v>1523488.96003838</v>
      </c>
      <c r="D25" s="33" t="str">
        <f>IF(ISTEXT(Calculations!F41),Calculations!F41,"")</f>
        <v/>
      </c>
      <c r="E25" s="10" t="str">
        <f t="shared" ca="1" si="2"/>
        <v>0503 3656503.61173339EUSft 1523488.96003838NUSft</v>
      </c>
      <c r="F25" s="34">
        <f t="shared" si="3"/>
        <v>94</v>
      </c>
      <c r="G25" s="10" t="str">
        <f t="shared" si="1"/>
        <v>Yellow</v>
      </c>
      <c r="H25" s="10" t="str">
        <f>IF(ISNUMBER(A25),Calculations!$A$1,"")</f>
        <v>ARKLASCO</v>
      </c>
    </row>
    <row r="26" spans="1:8" x14ac:dyDescent="0.25">
      <c r="A26" s="10">
        <f>IF(ISNUMBER(Calculations!A42),Calculations!A42,"")</f>
        <v>22</v>
      </c>
      <c r="B26" s="33">
        <f ca="1">IF(ISNUMBER(A26),CONVERT(Calculations!T42,Units_In,Units_Out),"")</f>
        <v>3656543.9052414657</v>
      </c>
      <c r="C26" s="33">
        <f ca="1">IF(ISNUMBER(A26),CONVERT(Calculations!U42,Units_In,Units_Out),"")</f>
        <v>1523488.2519533345</v>
      </c>
      <c r="D26" s="33" t="str">
        <f>IF(ISTEXT(Calculations!F42),Calculations!F42,"")</f>
        <v/>
      </c>
      <c r="E26" s="10" t="str">
        <f t="shared" ca="1" si="2"/>
        <v>0503 3656543.90524147EUSft 1523488.25195333NUSft</v>
      </c>
      <c r="F26" s="34">
        <f t="shared" si="3"/>
        <v>94</v>
      </c>
      <c r="G26" s="10" t="str">
        <f t="shared" si="1"/>
        <v>Yellow</v>
      </c>
      <c r="H26" s="10" t="str">
        <f>IF(ISNUMBER(A26),Calculations!$A$1,"")</f>
        <v>ARKLASCO</v>
      </c>
    </row>
    <row r="27" spans="1:8" x14ac:dyDescent="0.25">
      <c r="A27" s="10">
        <f>IF(ISNUMBER(Calculations!A43),Calculations!A43,"")</f>
        <v>23</v>
      </c>
      <c r="B27" s="33">
        <f ca="1">IF(ISNUMBER(A27),CONVERT(Calculations!T43,Units_In,Units_Out),"")</f>
        <v>3656623.4266733038</v>
      </c>
      <c r="C27" s="33">
        <f ca="1">IF(ISNUMBER(A27),CONVERT(Calculations!U43,Units_In,Units_Out),"")</f>
        <v>1523492.0448220705</v>
      </c>
      <c r="D27" s="33" t="str">
        <f>IF(ISTEXT(Calculations!F43),Calculations!F43,"")</f>
        <v/>
      </c>
      <c r="E27" s="10" t="str">
        <f t="shared" ca="1" si="2"/>
        <v>0503 3656623.4266733EUSft 1523492.04482207NUSft</v>
      </c>
      <c r="F27" s="34">
        <f t="shared" si="3"/>
        <v>94</v>
      </c>
      <c r="G27" s="10" t="str">
        <f t="shared" si="1"/>
        <v>Yellow</v>
      </c>
      <c r="H27" s="10" t="str">
        <f>IF(ISNUMBER(A27),Calculations!$A$1,"")</f>
        <v>ARKLASCO</v>
      </c>
    </row>
    <row r="28" spans="1:8" x14ac:dyDescent="0.25">
      <c r="A28" s="10">
        <f>IF(ISNUMBER(Calculations!A44),Calculations!A44,"")</f>
        <v>24</v>
      </c>
      <c r="B28" s="33">
        <f ca="1">IF(ISNUMBER(A28),CONVERT(Calculations!T44,Units_In,Units_Out),"")</f>
        <v>3656707.792030937</v>
      </c>
      <c r="C28" s="33">
        <f ca="1">IF(ISNUMBER(A28),CONVERT(Calculations!U44,Units_In,Units_Out),"")</f>
        <v>1523501.4022186368</v>
      </c>
      <c r="D28" s="33" t="str">
        <f>IF(ISTEXT(Calculations!F44),Calculations!F44,"")</f>
        <v/>
      </c>
      <c r="E28" s="10" t="str">
        <f t="shared" ca="1" si="2"/>
        <v>0503 3656707.79203094EUSft 1523501.40221864NUSft</v>
      </c>
      <c r="F28" s="34">
        <f t="shared" si="3"/>
        <v>94</v>
      </c>
      <c r="G28" s="10" t="str">
        <f t="shared" si="1"/>
        <v>Yellow</v>
      </c>
      <c r="H28" s="10" t="str">
        <f>IF(ISNUMBER(A28),Calculations!$A$1,"")</f>
        <v>ARKLASCO</v>
      </c>
    </row>
    <row r="29" spans="1:8" x14ac:dyDescent="0.25">
      <c r="A29" s="10">
        <f>IF(ISNUMBER(Calculations!A45),Calculations!A45,"")</f>
        <v>25</v>
      </c>
      <c r="B29" s="33">
        <f ca="1">IF(ISNUMBER(A29),CONVERT(Calculations!T45,Units_In,Units_Out),"")</f>
        <v>3656613.9535627528</v>
      </c>
      <c r="C29" s="33">
        <f ca="1">IF(ISNUMBER(A29),CONVERT(Calculations!U45,Units_In,Units_Out),"")</f>
        <v>1523362.6351808582</v>
      </c>
      <c r="D29" s="33" t="str">
        <f>IF(ISTEXT(Calculations!F45),Calculations!F45,"")</f>
        <v>PT1</v>
      </c>
      <c r="E29" s="10" t="str">
        <f t="shared" ca="1" si="2"/>
        <v>0503 3656613.95356275EUSft 1523362.63518086NUSft</v>
      </c>
      <c r="F29" s="34">
        <f t="shared" si="3"/>
        <v>94</v>
      </c>
      <c r="G29" s="10" t="str">
        <f t="shared" si="1"/>
        <v>Yellow</v>
      </c>
      <c r="H29" s="10" t="str">
        <f>IF(ISNUMBER(A29),Calculations!$A$1,"")</f>
        <v>ARKLASCO</v>
      </c>
    </row>
    <row r="30" spans="1:8" x14ac:dyDescent="0.25">
      <c r="A30" s="10">
        <f>IF(ISNUMBER(Calculations!A46),Calculations!A46,"")</f>
        <v>26</v>
      </c>
      <c r="B30" s="33">
        <f ca="1">IF(ISNUMBER(A30),CONVERT(Calculations!T46,Units_In,Units_Out),"")</f>
        <v>3655793.0590101415</v>
      </c>
      <c r="C30" s="33">
        <f ca="1">IF(ISNUMBER(A30),CONVERT(Calculations!U46,Units_In,Units_Out),"")</f>
        <v>1523316.0847391628</v>
      </c>
      <c r="D30" s="33" t="str">
        <f>IF(ISTEXT(Calculations!F46),Calculations!F46,"")</f>
        <v>PT2</v>
      </c>
      <c r="E30" s="10" t="str">
        <f t="shared" ca="1" si="2"/>
        <v>0503 3655793.05901014EUSft 1523316.08473916NUSft</v>
      </c>
      <c r="F30" s="34">
        <f t="shared" si="3"/>
        <v>94</v>
      </c>
      <c r="G30" s="10" t="str">
        <f t="shared" si="1"/>
        <v>Yellow</v>
      </c>
      <c r="H30" s="10" t="str">
        <f>IF(ISNUMBER(A30),Calculations!$A$1,"")</f>
        <v>ARKLASCO</v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2013-08-28T10:56:18Z</dcterms:modified>
</cp:coreProperties>
</file>