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hesis\LARB\03 Thesis-Calcs\1 Data\survey\USR Survey\1 Fieldbooks\"/>
    </mc:Choice>
  </mc:AlternateContent>
  <bookViews>
    <workbookView xWindow="-435" yWindow="330" windowWidth="18180" windowHeight="1242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Calculations!$AB$21:$AB$51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Calculations!$X$21:$X$67</definedName>
    <definedName name="yB">Calculations!$Y$21:$Y$67</definedName>
    <definedName name="Zs">Calculations!$W$21:$W$50</definedName>
  </definedNames>
  <calcPr calcId="152511"/>
</workbook>
</file>

<file path=xl/calcChain.xml><?xml version="1.0" encoding="utf-8"?>
<calcChain xmlns="http://schemas.openxmlformats.org/spreadsheetml/2006/main">
  <c r="P5" i="1" l="1"/>
  <c r="P6" i="1"/>
  <c r="P4" i="1"/>
  <c r="O5" i="1"/>
  <c r="O6" i="1"/>
  <c r="O4" i="1"/>
  <c r="N5" i="1"/>
  <c r="N6" i="1"/>
  <c r="N4" i="1"/>
  <c r="Q5" i="1" l="1"/>
  <c r="Q6" i="1"/>
  <c r="R10" i="1" l="1"/>
  <c r="P10" i="1"/>
  <c r="K29" i="1"/>
  <c r="K31" i="1"/>
  <c r="L31" i="1"/>
  <c r="V31" i="1" s="1"/>
  <c r="G22" i="1"/>
  <c r="H22" i="1" s="1"/>
  <c r="G23" i="1"/>
  <c r="G24" i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G32" i="1"/>
  <c r="H32" i="1" s="1"/>
  <c r="G33" i="1"/>
  <c r="H33" i="1" s="1"/>
  <c r="G34" i="1"/>
  <c r="H34" i="1" s="1"/>
  <c r="K34" i="1" s="1"/>
  <c r="G35" i="1"/>
  <c r="H35" i="1" s="1"/>
  <c r="L35" i="1" s="1"/>
  <c r="V35" i="1" s="1"/>
  <c r="G36" i="1"/>
  <c r="H36" i="1" s="1"/>
  <c r="G37" i="1"/>
  <c r="H37" i="1" s="1"/>
  <c r="L37" i="1" s="1"/>
  <c r="V37" i="1" s="1"/>
  <c r="G38" i="1"/>
  <c r="H38" i="1" s="1"/>
  <c r="G39" i="1"/>
  <c r="G21" i="1"/>
  <c r="H21" i="1" s="1"/>
  <c r="H23" i="1"/>
  <c r="L23" i="1" s="1"/>
  <c r="V23" i="1" s="1"/>
  <c r="H24" i="1"/>
  <c r="L24" i="1" s="1"/>
  <c r="V24" i="1" s="1"/>
  <c r="H31" i="1"/>
  <c r="H39" i="1"/>
  <c r="K39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34" i="1"/>
  <c r="I35" i="1"/>
  <c r="I36" i="1"/>
  <c r="I37" i="1"/>
  <c r="I38" i="1"/>
  <c r="I39" i="1"/>
  <c r="I21" i="1"/>
  <c r="L32" i="1" l="1"/>
  <c r="V32" i="1" s="1"/>
  <c r="K32" i="1"/>
  <c r="K24" i="1"/>
  <c r="L39" i="1"/>
  <c r="V39" i="1" s="1"/>
  <c r="K23" i="1"/>
  <c r="K37" i="1"/>
  <c r="P14" i="1"/>
  <c r="K22" i="1"/>
  <c r="L22" i="1"/>
  <c r="V22" i="1" s="1"/>
  <c r="L33" i="1"/>
  <c r="V33" i="1" s="1"/>
  <c r="K33" i="1"/>
  <c r="L38" i="1"/>
  <c r="V38" i="1" s="1"/>
  <c r="K38" i="1"/>
  <c r="L21" i="1"/>
  <c r="V21" i="1" s="1"/>
  <c r="K21" i="1"/>
  <c r="K36" i="1"/>
  <c r="L36" i="1"/>
  <c r="V36" i="1" s="1"/>
  <c r="K25" i="1"/>
  <c r="L28" i="1"/>
  <c r="V28" i="1" s="1"/>
  <c r="K35" i="1"/>
  <c r="K27" i="1"/>
  <c r="L34" i="1"/>
  <c r="V34" i="1" s="1"/>
  <c r="L30" i="1"/>
  <c r="V30" i="1" s="1"/>
  <c r="K26" i="1"/>
  <c r="J33" i="1"/>
  <c r="N34" i="1"/>
  <c r="N33" i="1"/>
  <c r="N25" i="1"/>
  <c r="N21" i="1"/>
  <c r="P11" i="1" s="1"/>
  <c r="N36" i="1"/>
  <c r="N35" i="1"/>
  <c r="N28" i="1"/>
  <c r="J36" i="1"/>
  <c r="N27" i="1"/>
  <c r="J35" i="1"/>
  <c r="N26" i="1"/>
  <c r="J24" i="1"/>
  <c r="N37" i="1"/>
  <c r="N29" i="1"/>
  <c r="J32" i="1"/>
  <c r="J28" i="1"/>
  <c r="N32" i="1"/>
  <c r="N24" i="1"/>
  <c r="J27" i="1"/>
  <c r="N39" i="1"/>
  <c r="R12" i="1" s="1"/>
  <c r="R15" i="1" s="1"/>
  <c r="N31" i="1"/>
  <c r="N23" i="1"/>
  <c r="J25" i="1"/>
  <c r="N38" i="1"/>
  <c r="P12" i="1" s="1"/>
  <c r="P15" i="1" s="1"/>
  <c r="N30" i="1"/>
  <c r="N22" i="1"/>
  <c r="R11" i="1" s="1"/>
  <c r="R14" i="1" s="1"/>
  <c r="J34" i="1"/>
  <c r="J26" i="1"/>
  <c r="J39" i="1"/>
  <c r="J31" i="1"/>
  <c r="J23" i="1"/>
  <c r="J38" i="1"/>
  <c r="J30" i="1"/>
  <c r="J22" i="1"/>
  <c r="J37" i="1"/>
  <c r="J21" i="1"/>
  <c r="O17" i="1" l="1"/>
  <c r="X21" i="1"/>
  <c r="H3" i="2" l="1"/>
  <c r="H4" i="2"/>
  <c r="H2" i="2"/>
  <c r="G3" i="2" l="1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E4" i="2" l="1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E37" i="2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E36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X4" i="1" l="1"/>
  <c r="Y4" i="1"/>
  <c r="Y5" i="1" l="1"/>
  <c r="Y8" i="1" s="1"/>
  <c r="X6" i="1"/>
  <c r="X9" i="1" s="1"/>
  <c r="Y6" i="1"/>
  <c r="Y9" i="1" s="1"/>
  <c r="O21" i="1" l="1"/>
  <c r="P21" i="1" l="1"/>
  <c r="Q21" i="1" s="1"/>
  <c r="O22" i="1"/>
  <c r="O24" i="1"/>
  <c r="O26" i="1"/>
  <c r="O28" i="1"/>
  <c r="O30" i="1"/>
  <c r="O32" i="1"/>
  <c r="O34" i="1"/>
  <c r="O36" i="1"/>
  <c r="O38" i="1"/>
  <c r="O23" i="1"/>
  <c r="O25" i="1"/>
  <c r="O27" i="1"/>
  <c r="O29" i="1"/>
  <c r="O31" i="1"/>
  <c r="O33" i="1"/>
  <c r="O35" i="1"/>
  <c r="O37" i="1"/>
  <c r="O39" i="1"/>
  <c r="P39" i="1" l="1"/>
  <c r="P23" i="1"/>
  <c r="P36" i="1"/>
  <c r="P37" i="1"/>
  <c r="P34" i="1"/>
  <c r="P35" i="1"/>
  <c r="P32" i="1"/>
  <c r="P33" i="1"/>
  <c r="P30" i="1"/>
  <c r="P31" i="1"/>
  <c r="P28" i="1"/>
  <c r="P29" i="1"/>
  <c r="P26" i="1"/>
  <c r="P27" i="1"/>
  <c r="P24" i="1"/>
  <c r="P25" i="1"/>
  <c r="P38" i="1"/>
  <c r="P22" i="1"/>
  <c r="R21" i="1"/>
  <c r="T21" i="1" s="1"/>
  <c r="S21" i="1"/>
  <c r="U21" i="1" s="1"/>
  <c r="X5" i="1"/>
  <c r="X8" i="1" s="1"/>
  <c r="X11" i="1" s="1"/>
  <c r="Q27" i="1" l="1"/>
  <c r="S27" i="1" s="1"/>
  <c r="U27" i="1" s="1"/>
  <c r="C11" i="2" s="1"/>
  <c r="Q31" i="1"/>
  <c r="S31" i="1" s="1"/>
  <c r="U31" i="1" s="1"/>
  <c r="C15" i="2" s="1"/>
  <c r="Q35" i="1"/>
  <c r="R35" i="1" s="1"/>
  <c r="T35" i="1" s="1"/>
  <c r="B19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Q34" i="1"/>
  <c r="R34" i="1" s="1"/>
  <c r="T34" i="1" s="1"/>
  <c r="W34" i="1" s="1"/>
  <c r="Q38" i="1"/>
  <c r="S38" i="1" s="1"/>
  <c r="U38" i="1" s="1"/>
  <c r="C22" i="2" s="1"/>
  <c r="C34" i="2"/>
  <c r="Q25" i="1"/>
  <c r="R25" i="1" s="1"/>
  <c r="T25" i="1" s="1"/>
  <c r="Q29" i="1"/>
  <c r="S29" i="1" s="1"/>
  <c r="U29" i="1" s="1"/>
  <c r="C13" i="2" s="1"/>
  <c r="Q33" i="1"/>
  <c r="S33" i="1" s="1"/>
  <c r="U33" i="1" s="1"/>
  <c r="C17" i="2" s="1"/>
  <c r="Q37" i="1"/>
  <c r="R37" i="1" s="1"/>
  <c r="T37" i="1" s="1"/>
  <c r="B29" i="2"/>
  <c r="C33" i="2"/>
  <c r="Q36" i="1"/>
  <c r="R36" i="1" s="1"/>
  <c r="T36" i="1" s="1"/>
  <c r="B20" i="2" s="1"/>
  <c r="Q24" i="1"/>
  <c r="R24" i="1" s="1"/>
  <c r="T24" i="1" s="1"/>
  <c r="B8" i="2" s="1"/>
  <c r="Q28" i="1"/>
  <c r="R28" i="1" s="1"/>
  <c r="T28" i="1" s="1"/>
  <c r="B12" i="2" s="1"/>
  <c r="Q32" i="1"/>
  <c r="R32" i="1" s="1"/>
  <c r="T32" i="1" s="1"/>
  <c r="B16" i="2" s="1"/>
  <c r="Q23" i="1"/>
  <c r="R23" i="1" s="1"/>
  <c r="T23" i="1" s="1"/>
  <c r="B7" i="2" s="1"/>
  <c r="B24" i="2"/>
  <c r="B28" i="2"/>
  <c r="B32" i="2"/>
  <c r="Q39" i="1"/>
  <c r="C5" i="2"/>
  <c r="X22" i="1"/>
  <c r="B5" i="2"/>
  <c r="W21" i="1"/>
  <c r="B31" i="2" l="1"/>
  <c r="E31" i="2" s="1"/>
  <c r="C30" i="2"/>
  <c r="R30" i="1"/>
  <c r="T30" i="1" s="1"/>
  <c r="X30" i="1" s="1"/>
  <c r="C32" i="2"/>
  <c r="E32" i="2" s="1"/>
  <c r="S23" i="1"/>
  <c r="U23" i="1" s="1"/>
  <c r="C7" i="2" s="1"/>
  <c r="E7" i="2" s="1"/>
  <c r="S32" i="1"/>
  <c r="U32" i="1" s="1"/>
  <c r="C16" i="2" s="1"/>
  <c r="E16" i="2" s="1"/>
  <c r="C29" i="2"/>
  <c r="E29" i="2" s="1"/>
  <c r="R33" i="1"/>
  <c r="T33" i="1" s="1"/>
  <c r="B17" i="2" s="1"/>
  <c r="E17" i="2" s="1"/>
  <c r="R38" i="1"/>
  <c r="T38" i="1" s="1"/>
  <c r="X38" i="1" s="1"/>
  <c r="S37" i="1"/>
  <c r="U37" i="1" s="1"/>
  <c r="C21" i="2" s="1"/>
  <c r="S25" i="1"/>
  <c r="U25" i="1" s="1"/>
  <c r="C9" i="2" s="1"/>
  <c r="C25" i="2"/>
  <c r="C26" i="2"/>
  <c r="B26" i="2"/>
  <c r="B25" i="2"/>
  <c r="W25" i="1"/>
  <c r="B9" i="2"/>
  <c r="X25" i="1"/>
  <c r="X37" i="1"/>
  <c r="W37" i="1"/>
  <c r="W32" i="1"/>
  <c r="R29" i="1"/>
  <c r="T29" i="1" s="1"/>
  <c r="R26" i="1"/>
  <c r="T26" i="1" s="1"/>
  <c r="R22" i="1"/>
  <c r="T22" i="1" s="1"/>
  <c r="C28" i="2"/>
  <c r="E28" i="2" s="1"/>
  <c r="S28" i="1"/>
  <c r="U28" i="1" s="1"/>
  <c r="C12" i="2" s="1"/>
  <c r="E12" i="2" s="1"/>
  <c r="X32" i="1"/>
  <c r="C35" i="2"/>
  <c r="E35" i="2" s="1"/>
  <c r="R31" i="1"/>
  <c r="T31" i="1" s="1"/>
  <c r="S35" i="1"/>
  <c r="U35" i="1" s="1"/>
  <c r="C19" i="2" s="1"/>
  <c r="E19" i="2" s="1"/>
  <c r="R39" i="1"/>
  <c r="T39" i="1" s="1"/>
  <c r="S39" i="1"/>
  <c r="U39" i="1" s="1"/>
  <c r="C23" i="2" s="1"/>
  <c r="C24" i="2"/>
  <c r="E24" i="2" s="1"/>
  <c r="S34" i="1"/>
  <c r="U34" i="1" s="1"/>
  <c r="C18" i="2" s="1"/>
  <c r="S24" i="1"/>
  <c r="U24" i="1" s="1"/>
  <c r="C8" i="2" s="1"/>
  <c r="E8" i="2" s="1"/>
  <c r="S36" i="1"/>
  <c r="U36" i="1" s="1"/>
  <c r="C20" i="2" s="1"/>
  <c r="E20" i="2" s="1"/>
  <c r="R27" i="1"/>
  <c r="T27" i="1" s="1"/>
  <c r="X23" i="1"/>
  <c r="X36" i="1"/>
  <c r="W23" i="1"/>
  <c r="B21" i="2"/>
  <c r="B18" i="2"/>
  <c r="X34" i="1"/>
  <c r="W24" i="1"/>
  <c r="W28" i="1"/>
  <c r="X35" i="1"/>
  <c r="X24" i="1"/>
  <c r="W36" i="1"/>
  <c r="B30" i="2"/>
  <c r="E30" i="2" s="1"/>
  <c r="X28" i="1"/>
  <c r="W35" i="1"/>
  <c r="E5" i="2"/>
  <c r="AD21" i="1"/>
  <c r="Y21" i="1"/>
  <c r="Z21" i="1"/>
  <c r="AB21" i="1"/>
  <c r="AD22" i="1"/>
  <c r="Y22" i="1"/>
  <c r="B14" i="2" l="1"/>
  <c r="E14" i="2" s="1"/>
  <c r="Y30" i="1"/>
  <c r="Y38" i="1"/>
  <c r="Y36" i="1"/>
  <c r="W30" i="1"/>
  <c r="Y23" i="1"/>
  <c r="Y32" i="1"/>
  <c r="E26" i="2"/>
  <c r="B27" i="2"/>
  <c r="E27" i="2" s="1"/>
  <c r="Y28" i="1"/>
  <c r="Y25" i="1"/>
  <c r="E21" i="2"/>
  <c r="W38" i="1"/>
  <c r="W33" i="1"/>
  <c r="X33" i="1"/>
  <c r="Y37" i="1"/>
  <c r="B22" i="2"/>
  <c r="E22" i="2" s="1"/>
  <c r="E9" i="2"/>
  <c r="Y24" i="1"/>
  <c r="E25" i="2"/>
  <c r="Y34" i="1"/>
  <c r="B34" i="2"/>
  <c r="E34" i="2" s="1"/>
  <c r="B23" i="2"/>
  <c r="E23" i="2" s="1"/>
  <c r="W39" i="1"/>
  <c r="X39" i="1"/>
  <c r="W22" i="1"/>
  <c r="B6" i="2"/>
  <c r="E6" i="2" s="1"/>
  <c r="X26" i="1"/>
  <c r="B10" i="2"/>
  <c r="E10" i="2" s="1"/>
  <c r="W26" i="1"/>
  <c r="W29" i="1"/>
  <c r="B13" i="2"/>
  <c r="E13" i="2" s="1"/>
  <c r="X29" i="1"/>
  <c r="E18" i="2"/>
  <c r="B11" i="2"/>
  <c r="E11" i="2" s="1"/>
  <c r="W27" i="1"/>
  <c r="X27" i="1"/>
  <c r="B15" i="2"/>
  <c r="E15" i="2" s="1"/>
  <c r="W31" i="1"/>
  <c r="X31" i="1"/>
  <c r="Y35" i="1"/>
  <c r="B33" i="2"/>
  <c r="E33" i="2" s="1"/>
  <c r="AC21" i="1"/>
  <c r="AA21" i="1"/>
  <c r="AB22" i="1"/>
  <c r="Y31" i="1" l="1"/>
  <c r="Y29" i="1"/>
  <c r="Y39" i="1"/>
  <c r="Y27" i="1"/>
  <c r="Y26" i="1"/>
  <c r="Y33" i="1"/>
  <c r="X13" i="1"/>
  <c r="AD25" i="1" s="1"/>
  <c r="AF25" i="1" s="1"/>
  <c r="AD39" i="1" l="1"/>
  <c r="AF39" i="1" s="1"/>
  <c r="AD29" i="1"/>
  <c r="AF29" i="1" s="1"/>
  <c r="AD35" i="1"/>
  <c r="AF35" i="1" s="1"/>
  <c r="AD32" i="1"/>
  <c r="AF32" i="1" s="1"/>
  <c r="AD34" i="1"/>
  <c r="AF34" i="1" s="1"/>
  <c r="AD30" i="1"/>
  <c r="AF30" i="1" s="1"/>
  <c r="AD36" i="1"/>
  <c r="AF36" i="1" s="1"/>
  <c r="AD24" i="1"/>
  <c r="AF24" i="1" s="1"/>
  <c r="AD38" i="1"/>
  <c r="AF38" i="1" s="1"/>
  <c r="AD28" i="1"/>
  <c r="AF28" i="1" s="1"/>
  <c r="AD23" i="1"/>
  <c r="AF23" i="1" s="1"/>
  <c r="AD27" i="1"/>
  <c r="AF27" i="1" s="1"/>
  <c r="AD33" i="1"/>
  <c r="AF33" i="1" s="1"/>
  <c r="AD26" i="1"/>
  <c r="AF26" i="1" s="1"/>
  <c r="AD37" i="1"/>
  <c r="AF37" i="1" s="1"/>
  <c r="AD31" i="1"/>
  <c r="AF31" i="1" s="1"/>
  <c r="Z22" i="1" l="1"/>
  <c r="AA22" i="1" s="1"/>
  <c r="AC22" i="1" l="1"/>
  <c r="AC4" i="1"/>
  <c r="AC3" i="1"/>
  <c r="AC6" i="1" s="1"/>
  <c r="Z32" i="1" l="1"/>
  <c r="Z23" i="1"/>
  <c r="AA23" i="1" s="1"/>
  <c r="Z31" i="1"/>
  <c r="Z33" i="1"/>
  <c r="Z37" i="1"/>
  <c r="Z36" i="1"/>
  <c r="Z25" i="1"/>
  <c r="Z24" i="1"/>
  <c r="Z26" i="1"/>
  <c r="Z29" i="1"/>
  <c r="Z27" i="1"/>
  <c r="Z34" i="1"/>
  <c r="Z30" i="1"/>
  <c r="Z35" i="1"/>
  <c r="Z28" i="1"/>
  <c r="Z39" i="1"/>
  <c r="Z38" i="1"/>
  <c r="AA32" i="1" l="1"/>
  <c r="AB32" i="1" s="1"/>
  <c r="AC23" i="1"/>
  <c r="AE23" i="1" s="1"/>
  <c r="AA35" i="1"/>
  <c r="AB35" i="1" s="1"/>
  <c r="AA24" i="1"/>
  <c r="AC24" i="1" s="1"/>
  <c r="AE24" i="1" s="1"/>
  <c r="AA37" i="1"/>
  <c r="AB37" i="1" s="1"/>
  <c r="AA34" i="1"/>
  <c r="AB34" i="1" s="1"/>
  <c r="AA33" i="1"/>
  <c r="AB33" i="1" s="1"/>
  <c r="AA38" i="1"/>
  <c r="AB38" i="1" s="1"/>
  <c r="AA27" i="1"/>
  <c r="AB27" i="1" s="1"/>
  <c r="AA25" i="1"/>
  <c r="AB25" i="1" s="1"/>
  <c r="AA31" i="1"/>
  <c r="AA29" i="1"/>
  <c r="AB29" i="1" s="1"/>
  <c r="AB23" i="1"/>
  <c r="AA39" i="1"/>
  <c r="AA36" i="1"/>
  <c r="AB36" i="1" s="1"/>
  <c r="AA26" i="1"/>
  <c r="AA30" i="1"/>
  <c r="AA28" i="1"/>
  <c r="AB28" i="1" s="1"/>
  <c r="AC31" i="1" l="1"/>
  <c r="AE31" i="1" s="1"/>
  <c r="AC39" i="1"/>
  <c r="AE39" i="1" s="1"/>
  <c r="AC30" i="1"/>
  <c r="AE30" i="1" s="1"/>
  <c r="AC32" i="1"/>
  <c r="AE32" i="1" s="1"/>
  <c r="AC26" i="1"/>
  <c r="AE26" i="1" s="1"/>
  <c r="AB31" i="1"/>
  <c r="AB24" i="1"/>
  <c r="AC35" i="1"/>
  <c r="AE35" i="1" s="1"/>
  <c r="AB39" i="1"/>
  <c r="AB30" i="1"/>
  <c r="AB26" i="1"/>
  <c r="AC34" i="1"/>
  <c r="AE34" i="1" s="1"/>
  <c r="AC28" i="1"/>
  <c r="AE28" i="1" s="1"/>
  <c r="AC38" i="1"/>
  <c r="AE38" i="1" s="1"/>
  <c r="AC36" i="1"/>
  <c r="AE36" i="1" s="1"/>
  <c r="AC25" i="1"/>
  <c r="AE25" i="1" s="1"/>
  <c r="AC33" i="1"/>
  <c r="AE33" i="1" s="1"/>
  <c r="AC27" i="1"/>
  <c r="AE27" i="1" s="1"/>
  <c r="AC29" i="1"/>
  <c r="AE29" i="1" s="1"/>
  <c r="AC37" i="1"/>
  <c r="AE37" i="1" s="1"/>
  <c r="AI23" i="1" l="1"/>
  <c r="AJ23" i="1" s="1"/>
  <c r="AI34" i="1"/>
  <c r="AJ34" i="1" s="1"/>
  <c r="AI37" i="1"/>
  <c r="AJ37" i="1" s="1"/>
  <c r="AI30" i="1"/>
  <c r="AJ30" i="1" s="1"/>
  <c r="AC10" i="1"/>
  <c r="AI26" i="1"/>
  <c r="AJ26" i="1" s="1"/>
  <c r="AI27" i="1"/>
  <c r="AJ27" i="1" s="1"/>
  <c r="AI36" i="1"/>
  <c r="AJ36" i="1" s="1"/>
  <c r="AI28" i="1"/>
  <c r="AJ28" i="1" s="1"/>
  <c r="AI31" i="1"/>
  <c r="AJ31" i="1" s="1"/>
  <c r="AI29" i="1"/>
  <c r="AJ29" i="1" s="1"/>
  <c r="AI32" i="1"/>
  <c r="AJ32" i="1" s="1"/>
  <c r="AI25" i="1"/>
  <c r="AJ25" i="1" s="1"/>
  <c r="AI33" i="1"/>
  <c r="AJ33" i="1" s="1"/>
  <c r="AC9" i="1"/>
  <c r="AI24" i="1"/>
  <c r="AJ24" i="1" s="1"/>
  <c r="AI35" i="1"/>
  <c r="AJ35" i="1" s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 shape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 shape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 shape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 shape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 shape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 shape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 shape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 shape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 shape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 shape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 shape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 shape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 shape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 shape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 shape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 shape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 shape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 shape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 shape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 shape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<sst xmlns="http://schemas.openxmlformats.org/spreadsheetml/2006/main" count="105" uniqueCount="93">
  <si>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</si>
  <si>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</si>
  <si>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</si>
  <si>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</si>
  <si>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</si>
  <si>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</si>
  <si>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</si>
  <si>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</si>
  <si>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</si>
  <si>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</si>
  <si>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</si>
  <si>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</si>
  <si>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</si>
  <si>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</si>
  <si>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</si>
  <si>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</si>
  <si>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</si>
  <si>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</si>
  <si>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</si>
  <si>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</si>
  <si>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</si>
  <si>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</si>
  <si>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</si>
  <si>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</si>
  <si>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</si>
  <si>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</si>
  <si>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</si>
  <si>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</si>
  <si>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</si>
  <si>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</si>
  <si>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</si>
  <si>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</si>
  <si>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</si>
  <si>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</si>
  <si>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</si>
  <si>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</si>
  <si>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</si>
  <si>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</si>
  <si>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</si>
  <si>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</si>
  <si>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</si>
  <si>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</si>
  <si>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</si>
  <si>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</si>
  <si>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</si>
  <si>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</si>
  <si>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</si>
  <si>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</si>
  <si>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</si>
  <si>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</si>
  <si>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</si>
  <si>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</si>
  <si>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</si>
  <si>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</si>
  <si>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</si>
  <si>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</si>
  <si>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</si>
  <si>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</si>
  <si>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</si>
  <si>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</si>
  <si>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</si>
  <si>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</si>
  <si>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</si>
  <si>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</si>
  <si>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</si>
  <si>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</si>
  <si>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</si>
  <si>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</si>
  <si>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</si>
  <si>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BS</t>
  </si>
  <si>
    <t>WS</t>
  </si>
  <si>
    <t>PT1</t>
  </si>
  <si>
    <t>PT2</t>
  </si>
  <si>
    <t>ft</t>
  </si>
  <si>
    <t>m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</si>
  <si>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</si>
  <si>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</si>
  <si>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</si>
  <si>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</si>
  <si>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</si>
  <si>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</si>
  <si>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</si>
  <si>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</si>
  <si>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</si>
  <si>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</si>
  <si>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</si>
  <si>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ZERO/BS</t>
  </si>
  <si>
    <t>0/7/2011</t>
  </si>
  <si>
    <t>1,467779.778,1053617.019,1278.534,</t>
  </si>
  <si>
    <t>2,467774.115,1053631.740,1276.935,</t>
  </si>
  <si>
    <t>3,467767.090,1053613.647,1277.060,</t>
  </si>
  <si>
    <t>CSS2</t>
  </si>
  <si>
    <t>WS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</si>
</sst>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Calculations!$AH$23:$AH$39</c:f>
              <c:numCache>
                <c:formatCode>General</c:formatCode>
                <c:ptCount val="17"/>
                <c:pt idx="0">
                  <c:v>0</c:v>
                </c:pt>
                <c:pt idx="1">
                  <c:v>3.07</c:v>
                </c:pt>
                <c:pt idx="2">
                  <c:v>4.43</c:v>
                </c:pt>
                <c:pt idx="3">
                  <c:v>5.96</c:v>
                </c:pt>
                <c:pt idx="4">
                  <c:v>7.27</c:v>
                </c:pt>
                <c:pt idx="5">
                  <c:v>7.98</c:v>
                </c:pt>
                <c:pt idx="6">
                  <c:v>8.85</c:v>
                </c:pt>
                <c:pt idx="7">
                  <c:v>11.1</c:v>
                </c:pt>
                <c:pt idx="8">
                  <c:v>85.83</c:v>
                </c:pt>
                <c:pt idx="9">
                  <c:v>204.38</c:v>
                </c:pt>
                <c:pt idx="10">
                  <c:v>208.77</c:v>
                </c:pt>
                <c:pt idx="11">
                  <c:v>209.15</c:v>
                </c:pt>
                <c:pt idx="12">
                  <c:v>209.39</c:v>
                </c:pt>
                <c:pt idx="13">
                  <c:v>209.5</c:v>
                </c:pt>
                <c:pt idx="14">
                  <c:v>209.73</c:v>
                </c:pt>
              </c:numCache>
            </c:numRef>
          </c:xVal>
          <c:yVal>
            <c:numRef>
              <c:f>Calculations!$AI$23:$AI$39</c:f>
              <c:numCache>
                <c:formatCode>General</c:formatCode>
                <c:ptCount val="17"/>
                <c:pt idx="0">
                  <c:v>7.63</c:v>
                </c:pt>
                <c:pt idx="1">
                  <c:v>5.54</c:v>
                </c:pt>
                <c:pt idx="2">
                  <c:v>3.55</c:v>
                </c:pt>
                <c:pt idx="3">
                  <c:v>2.37</c:v>
                </c:pt>
                <c:pt idx="4">
                  <c:v>1.37</c:v>
                </c:pt>
                <c:pt idx="5">
                  <c:v>1.01</c:v>
                </c:pt>
                <c:pt idx="6">
                  <c:v>0.66</c:v>
                </c:pt>
                <c:pt idx="7">
                  <c:v>0</c:v>
                </c:pt>
                <c:pt idx="8">
                  <c:v>0.6</c:v>
                </c:pt>
                <c:pt idx="9">
                  <c:v>0</c:v>
                </c:pt>
                <c:pt idx="10">
                  <c:v>4.09</c:v>
                </c:pt>
                <c:pt idx="11">
                  <c:v>1.37</c:v>
                </c:pt>
                <c:pt idx="12">
                  <c:v>2.68</c:v>
                </c:pt>
                <c:pt idx="13">
                  <c:v>0.21</c:v>
                </c:pt>
                <c:pt idx="14">
                  <c:v>5.0199999999999996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33352"/>
        <c:axId val="331905040"/>
      </c:scatterChart>
      <c:valAx>
        <c:axId val="31483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1905040"/>
        <c:crosses val="autoZero"/>
        <c:crossBetween val="midCat"/>
      </c:valAx>
      <c:valAx>
        <c:axId val="33190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833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Calculations!$R$23:$R$37</c:f>
              <c:numCache>
                <c:formatCode>0.00</c:formatCode>
                <c:ptCount val="15"/>
                <c:pt idx="0">
                  <c:v>2.0761585788460715</c:v>
                </c:pt>
                <c:pt idx="1">
                  <c:v>2.3890091560596338</c:v>
                </c:pt>
                <c:pt idx="2">
                  <c:v>2.5643196807462596</c:v>
                </c:pt>
                <c:pt idx="3">
                  <c:v>2.7548902378135596</c:v>
                </c:pt>
                <c:pt idx="4">
                  <c:v>2.7304189242330916</c:v>
                </c:pt>
                <c:pt idx="5">
                  <c:v>2.8109016362671526</c:v>
                </c:pt>
                <c:pt idx="6">
                  <c:v>2.8777539101821308</c:v>
                </c:pt>
                <c:pt idx="7">
                  <c:v>2.9796461819066979</c:v>
                </c:pt>
                <c:pt idx="8">
                  <c:v>11.990718041449499</c:v>
                </c:pt>
                <c:pt idx="9">
                  <c:v>21.925803820048884</c:v>
                </c:pt>
                <c:pt idx="10">
                  <c:v>22.776635481312475</c:v>
                </c:pt>
                <c:pt idx="11">
                  <c:v>22.978278150234264</c:v>
                </c:pt>
                <c:pt idx="12">
                  <c:v>23.014289960062079</c:v>
                </c:pt>
                <c:pt idx="13">
                  <c:v>22.845469423936287</c:v>
                </c:pt>
                <c:pt idx="14">
                  <c:v>23.122990450388631</c:v>
                </c:pt>
              </c:numCache>
            </c:numRef>
          </c:xVal>
          <c:yVal>
            <c:numRef>
              <c:f>Calculations!$S$23:$S$37</c:f>
              <c:numCache>
                <c:formatCode>0.00</c:formatCode>
                <c:ptCount val="15"/>
                <c:pt idx="0">
                  <c:v>7.8954511810788093</c:v>
                </c:pt>
                <c:pt idx="1">
                  <c:v>8.7783899672948049</c:v>
                </c:pt>
                <c:pt idx="2">
                  <c:v>9.154037415027986</c:v>
                </c:pt>
                <c:pt idx="3">
                  <c:v>9.5843024257487759</c:v>
                </c:pt>
                <c:pt idx="4">
                  <c:v>10.014116648325373</c:v>
                </c:pt>
                <c:pt idx="5">
                  <c:v>10.214403924228252</c:v>
                </c:pt>
                <c:pt idx="6">
                  <c:v>10.473609790501801</c:v>
                </c:pt>
                <c:pt idx="7">
                  <c:v>11.163926089102613</c:v>
                </c:pt>
                <c:pt idx="8">
                  <c:v>32.148087567735359</c:v>
                </c:pt>
                <c:pt idx="9">
                  <c:v>66.944742928949353</c:v>
                </c:pt>
                <c:pt idx="10">
                  <c:v>68.304386581271615</c:v>
                </c:pt>
                <c:pt idx="11">
                  <c:v>68.121287236449902</c:v>
                </c:pt>
                <c:pt idx="12">
                  <c:v>68.186566648273171</c:v>
                </c:pt>
                <c:pt idx="13">
                  <c:v>68.04438779770274</c:v>
                </c:pt>
                <c:pt idx="14">
                  <c:v>68.258425234786671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04256"/>
        <c:axId val="168928672"/>
      </c:scatterChart>
      <c:valAx>
        <c:axId val="3319042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8928672"/>
        <c:crosses val="autoZero"/>
        <c:crossBetween val="midCat"/>
      </c:valAx>
      <c:valAx>
        <c:axId val="1689286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1904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Calculations!$L$57:$L$83</c:f>
              <c:numCache>
                <c:formatCode>General</c:formatCode>
                <c:ptCount val="27"/>
              </c:numCache>
            </c:numRef>
          </c:xVal>
          <c:yVal>
            <c:numRef>
              <c:f>Calculations!$M$57:$M$83</c:f>
              <c:numCache>
                <c:formatCode>General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(Calculations!$L$55:$L$56,Calculations!$L$84:$L$85)</c:f>
              <c:numCache>
                <c:formatCode>General</c:formatCode>
                <c:ptCount val="4"/>
              </c:numCache>
            </c:numRef>
          </c:xVal>
          <c:yVal>
            <c:numRef>
              <c:f>(Calculations!$M$55:$M$56,Calculations!$M$84:$M$85)</c:f>
              <c:numCache>
                <c:formatCode>General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33808"/>
        <c:axId val="343034200"/>
      </c:scatterChart>
      <c:valAx>
        <c:axId val="34303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3034200"/>
        <c:crosses val="autoZero"/>
        <c:crossBetween val="midCat"/>
      </c:valAx>
      <c:valAx>
        <c:axId val="34303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033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588054</xdr:colOff>
      <xdr:row>40</xdr:row>
      <xdr:rowOff>34103</xdr:rowOff>
    </xdr:from>
    <xdr:to>
      <xdr:col>27</xdr:col>
      <xdr:colOff>100597</xdr:colOff>
      <xdr:row>54</xdr:row>
      <xdr:rowOff>110303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347383</xdr:colOff>
      <xdr:row>40</xdr:row>
      <xdr:rowOff>20194</xdr:rowOff>
    </xdr:from>
    <xdr:to>
      <xdr:col>20</xdr:col>
      <xdr:colOff>295512</xdr:colOff>
      <xdr:row>54</xdr:row>
      <xdr:rowOff>96394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L85"/>
  <sheetViews>
    <sheetView tabSelected="1" topLeftCell="F1" zoomScale="85" zoomScaleNormal="85" workbookViewId="0">
      <selection activeCell="AG34" sqref="AG34"/>
    </sheetView>
  </sheetViews>
  <sheetFormatPr defaultColWidth="10.7109375" defaultRowHeight="15" x14ac:dyDescent="0.25"/>
  <cols>
    <col min="1" max="1" width="10.7109375" style="2"/>
    <col min="2" max="2" width="10.85546875" style="18" bestFit="1" customWidth="1"/>
    <col min="3" max="3" width="10.7109375" style="18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7"/>
    <col min="15" max="15" width="10.7109375" style="17" customWidth="1"/>
    <col min="16" max="21" width="10.7109375" style="17"/>
    <col min="22" max="22" width="11.5703125" style="17" bestFit="1" customWidth="1"/>
    <col min="23" max="23" width="10.7109375" style="17"/>
    <col min="24" max="24" width="10.7109375" style="17" customWidth="1"/>
    <col min="25" max="27" width="10.7109375" style="17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47" t="s">
        <v>91</v>
      </c>
      <c r="B1" s="48"/>
      <c r="C1" s="46" t="s">
        <v>87</v>
      </c>
      <c r="M1" s="53" t="s">
        <v>21</v>
      </c>
      <c r="N1" s="53"/>
      <c r="O1" s="53"/>
      <c r="P1" s="53"/>
      <c r="Q1" s="53"/>
      <c r="R1" s="23"/>
      <c r="W1" s="50" t="s">
        <v>34</v>
      </c>
      <c r="X1" s="50"/>
      <c r="Y1" s="50"/>
      <c r="Z1" s="2"/>
      <c r="AA1" s="50" t="s">
        <v>56</v>
      </c>
      <c r="AB1" s="50"/>
      <c r="AC1" s="50"/>
    </row>
    <row r="2" spans="1:29" x14ac:dyDescent="0.25">
      <c r="A2" s="47" t="s">
        <v>16</v>
      </c>
      <c r="B2" s="48"/>
      <c r="C2" s="39">
        <v>1.395</v>
      </c>
      <c r="M2" s="21"/>
      <c r="N2" s="21"/>
      <c r="O2" s="21"/>
      <c r="P2" s="21"/>
      <c r="Q2" s="21"/>
      <c r="R2" s="23"/>
      <c r="W2" s="23"/>
      <c r="X2" s="23"/>
      <c r="Y2" s="23"/>
      <c r="Z2" s="2"/>
      <c r="AA2" s="23"/>
      <c r="AB2" s="23"/>
      <c r="AC2" s="23"/>
    </row>
    <row r="3" spans="1:29" ht="18" x14ac:dyDescent="0.35">
      <c r="A3" s="47" t="s">
        <v>66</v>
      </c>
      <c r="B3" s="48"/>
      <c r="C3" s="39" t="s">
        <v>74</v>
      </c>
      <c r="M3" s="22" t="s">
        <v>13</v>
      </c>
      <c r="N3" s="22" t="s">
        <v>9</v>
      </c>
      <c r="O3" s="22" t="s">
        <v>14</v>
      </c>
      <c r="P3" s="22" t="s">
        <v>10</v>
      </c>
      <c r="Q3" s="22" t="s">
        <v>15</v>
      </c>
      <c r="R3" s="23"/>
      <c r="W3" s="21"/>
      <c r="X3" s="22" t="s">
        <v>10</v>
      </c>
      <c r="Y3" s="22" t="s">
        <v>10</v>
      </c>
      <c r="Z3" s="2"/>
      <c r="AA3" s="22" t="s">
        <v>40</v>
      </c>
      <c r="AB3" s="22" t="s">
        <v>53</v>
      </c>
      <c r="AC3" s="21">
        <f ca="1">SLOPE(yB,xB)</f>
        <v>2.8939227234521221</v>
      </c>
    </row>
    <row r="4" spans="1:29" ht="18" x14ac:dyDescent="0.35">
      <c r="A4" s="47" t="s">
        <v>67</v>
      </c>
      <c r="B4" s="48"/>
      <c r="C4" s="39" t="s">
        <v>73</v>
      </c>
      <c r="M4" s="23">
        <v>0</v>
      </c>
      <c r="N4" s="21">
        <f>VALUE(MID(C10,FIND(",",C10,3)+1,FIND(",",C10,15)-FIND(",",C10,3)-1))</f>
        <v>1053617.0190000001</v>
      </c>
      <c r="O4" s="21">
        <f>VALUE(MID(C10,FIND(",",C10,1)+1,FIND(",",C10,5)-FIND(",",C10,1)-1))</f>
        <v>467779.77799999999</v>
      </c>
      <c r="P4" s="21">
        <f>VALUE(MID(C10,FIND(",",C10,17)+1,FIND(",",C10,27)-FIND(",",C10,17)-1))</f>
        <v>1278.5340000000001</v>
      </c>
      <c r="Q4" s="24"/>
      <c r="R4" s="23"/>
      <c r="W4" s="28"/>
      <c r="X4" s="21">
        <f ca="1">VALUE(OFFSET($P$3,MATCH($O$10,$M$4:$M$6,0),0))</f>
        <v>1276.9349999999999</v>
      </c>
      <c r="Y4" s="21">
        <f ca="1">OFFSET($P$3,MATCH($Q$10,$M$4:$M$6,0),0)</f>
        <v>1277.06</v>
      </c>
      <c r="Z4" s="2"/>
      <c r="AA4" s="27" t="s">
        <v>41</v>
      </c>
      <c r="AB4" s="27" t="s">
        <v>54</v>
      </c>
      <c r="AC4" s="29">
        <f ca="1">INTERCEPT(yB,xB)</f>
        <v>-2581304.7357568508</v>
      </c>
    </row>
    <row r="5" spans="1:29" x14ac:dyDescent="0.25">
      <c r="A5" s="13"/>
      <c r="B5" s="16"/>
      <c r="C5" s="16"/>
      <c r="D5" s="4"/>
      <c r="M5" s="23">
        <v>1</v>
      </c>
      <c r="N5" s="21">
        <f t="shared" ref="N5:N6" si="0">VALUE(MID(C11,FIND(",",C11,3)+1,FIND(",",C11,15)-FIND(",",C11,3)-1))</f>
        <v>1053631.74</v>
      </c>
      <c r="O5" s="21">
        <f t="shared" ref="O5:O6" si="1">VALUE(MID(C11,FIND(",",C11,1)+1,FIND(",",C11,5)-FIND(",",C11,1)-1))</f>
        <v>467774.11499999999</v>
      </c>
      <c r="P5" s="21">
        <f t="shared" ref="P5:P6" si="2">VALUE(MID(C11,FIND(",",C11,17)+1,FIND(",",C11,27)-FIND(",",C11,17)-1))</f>
        <v>1276.9349999999999</v>
      </c>
      <c r="Q5" s="25">
        <f>DEGREES(ATAN2(Old_Y1-Old_Y0,Old_X1-Old_X0))+IF(Old_X1-Old_X0&lt;0,360)</f>
        <v>111.04116229877401</v>
      </c>
      <c r="R5" s="23"/>
      <c r="W5" s="22"/>
      <c r="X5" s="21">
        <f ca="1">VALUE(OFFSET($V$20,MATCH($O11,$A$21:$A$51,0),0))</f>
        <v>1278.6714006591392</v>
      </c>
      <c r="Y5" s="21">
        <f ca="1">OFFSET($V$20,MATCH($Q11,$A$21:$A$51,0),0)</f>
        <v>1278.2521559195259</v>
      </c>
      <c r="Z5" s="2"/>
      <c r="AA5" s="27"/>
      <c r="AB5" s="27"/>
      <c r="AC5" s="21"/>
    </row>
    <row r="6" spans="1:29" ht="18" x14ac:dyDescent="0.35">
      <c r="A6" s="49" t="s">
        <v>17</v>
      </c>
      <c r="B6" s="49"/>
      <c r="C6" s="39">
        <v>3</v>
      </c>
      <c r="D6" s="4"/>
      <c r="M6" s="23">
        <v>2</v>
      </c>
      <c r="N6" s="21">
        <f t="shared" si="0"/>
        <v>1053613.6470000001</v>
      </c>
      <c r="O6" s="21">
        <f t="shared" si="1"/>
        <v>467767.09</v>
      </c>
      <c r="P6" s="21">
        <f t="shared" si="2"/>
        <v>1277.06</v>
      </c>
      <c r="Q6" s="25">
        <f>DEGREES(ATAN2(Old_Y2-Old_Y0,Old_X2-Old_X0))+IF(Old_X2-Old_X0&lt;0,360)</f>
        <v>194.88306347391014</v>
      </c>
      <c r="R6" s="23"/>
      <c r="W6" s="22"/>
      <c r="X6" s="21">
        <f ca="1">VALUE(OFFSET($V$20,MATCH($O12,$A$21:$A$51,0),0))</f>
        <v>1278.6847783126975</v>
      </c>
      <c r="Y6" s="21">
        <f ca="1">OFFSET($V$20,MATCH($Q12,$A$21:$A$51,0),0)</f>
        <v>1278.2554174129709</v>
      </c>
      <c r="Z6" s="5"/>
      <c r="AA6" s="27" t="s">
        <v>42</v>
      </c>
      <c r="AB6" s="22" t="s">
        <v>55</v>
      </c>
      <c r="AC6" s="21">
        <f ca="1">-1/mA</f>
        <v>-0.34555172876458612</v>
      </c>
    </row>
    <row r="7" spans="1:29" x14ac:dyDescent="0.25">
      <c r="A7" s="49" t="s">
        <v>18</v>
      </c>
      <c r="B7" s="49"/>
      <c r="C7" s="39">
        <v>17</v>
      </c>
      <c r="D7" s="4"/>
      <c r="M7" s="21"/>
      <c r="N7" s="21"/>
      <c r="O7" s="21"/>
      <c r="P7" s="21"/>
      <c r="Q7" s="21"/>
      <c r="R7" s="23"/>
      <c r="W7" s="21"/>
      <c r="X7" s="21"/>
      <c r="Y7" s="21"/>
      <c r="Z7" s="2"/>
      <c r="AA7" s="21"/>
      <c r="AB7" s="21"/>
      <c r="AC7" s="21"/>
    </row>
    <row r="8" spans="1:29" x14ac:dyDescent="0.25">
      <c r="A8" s="1"/>
      <c r="D8" s="4"/>
      <c r="M8" s="23"/>
      <c r="N8" s="21"/>
      <c r="O8" s="50" t="s">
        <v>24</v>
      </c>
      <c r="P8" s="50"/>
      <c r="Q8" s="50" t="s">
        <v>25</v>
      </c>
      <c r="R8" s="50"/>
      <c r="W8" s="22" t="s">
        <v>35</v>
      </c>
      <c r="X8" s="21">
        <f ca="1">X5-X4</f>
        <v>1.7364006591392354</v>
      </c>
      <c r="Y8" s="21">
        <f ca="1">Y5-Y4</f>
        <v>1.1921559195259306</v>
      </c>
      <c r="AA8" s="21"/>
      <c r="AB8" s="23"/>
      <c r="AC8" s="23"/>
    </row>
    <row r="9" spans="1:29" x14ac:dyDescent="0.25">
      <c r="A9" s="6"/>
      <c r="C9" s="9" t="s">
        <v>11</v>
      </c>
      <c r="M9" s="21"/>
      <c r="N9" s="21"/>
      <c r="O9" s="26" t="s">
        <v>23</v>
      </c>
      <c r="P9" s="27" t="s">
        <v>19</v>
      </c>
      <c r="Q9" s="27" t="s">
        <v>23</v>
      </c>
      <c r="R9" s="27" t="s">
        <v>19</v>
      </c>
      <c r="W9" s="22" t="s">
        <v>36</v>
      </c>
      <c r="X9" s="21">
        <f ca="1">X6-X4</f>
        <v>1.7497783126975719</v>
      </c>
      <c r="Y9" s="21">
        <f ca="1">Y6-Y4</f>
        <v>1.1954174129709827</v>
      </c>
      <c r="AA9" s="32" t="s">
        <v>49</v>
      </c>
      <c r="AB9" s="32"/>
      <c r="AC9" s="21">
        <f ca="1">AVERAGE(DfromL)</f>
        <v>0.21711576335651964</v>
      </c>
    </row>
    <row r="10" spans="1:29" s="17" customFormat="1" x14ac:dyDescent="0.25">
      <c r="A10" s="8"/>
      <c r="B10" s="18"/>
      <c r="C10" s="36" t="s">
        <v>88</v>
      </c>
      <c r="D10" s="37"/>
      <c r="E10" s="38"/>
      <c r="M10" s="54" t="s">
        <v>22</v>
      </c>
      <c r="N10" s="54"/>
      <c r="O10" s="33">
        <v>1</v>
      </c>
      <c r="P10" s="21">
        <f ca="1">OFFSET($Q$3,MATCH($O$10,$M$4:$M$6,0),0)</f>
        <v>111.04116229877401</v>
      </c>
      <c r="Q10" s="33">
        <v>2</v>
      </c>
      <c r="R10" s="21">
        <f ca="1">OFFSET($Q$3,MATCH($O$10,$M$4:$M$6,0),0)</f>
        <v>111.04116229877401</v>
      </c>
      <c r="W10" s="23"/>
      <c r="X10" s="23"/>
      <c r="Y10" s="23"/>
      <c r="AA10" s="32" t="s">
        <v>50</v>
      </c>
      <c r="AB10" s="32"/>
      <c r="AC10" s="21">
        <f ca="1">_xlfn.STDEV.P(DfromL)</f>
        <v>0.34389452234597923</v>
      </c>
    </row>
    <row r="11" spans="1:29" s="17" customFormat="1" x14ac:dyDescent="0.25">
      <c r="A11" s="15"/>
      <c r="B11" s="18"/>
      <c r="C11" s="36" t="s">
        <v>89</v>
      </c>
      <c r="D11" s="37"/>
      <c r="E11" s="38"/>
      <c r="M11" s="50" t="s">
        <v>31</v>
      </c>
      <c r="N11" s="50"/>
      <c r="O11" s="33">
        <v>1</v>
      </c>
      <c r="P11" s="21">
        <f ca="1">OFFSET($N$20,MATCH($O11,$A$21:$A$51,0),0)</f>
        <v>0</v>
      </c>
      <c r="Q11" s="33">
        <v>2</v>
      </c>
      <c r="R11" s="21">
        <f ca="1">OFFSET($N$20,MATCH($Q11,$A$21:$A$51,0),0)</f>
        <v>84.595555555555549</v>
      </c>
      <c r="W11" s="22" t="s">
        <v>37</v>
      </c>
      <c r="X11" s="21">
        <f ca="1">AVERAGE(X8:Y9)</f>
        <v>1.4684380760834301</v>
      </c>
      <c r="Y11" s="31" t="s">
        <v>38</v>
      </c>
      <c r="AA11" s="21"/>
      <c r="AB11" s="21"/>
      <c r="AC11" s="21"/>
    </row>
    <row r="12" spans="1:29" s="17" customFormat="1" x14ac:dyDescent="0.25">
      <c r="A12" s="15"/>
      <c r="B12" s="18"/>
      <c r="C12" s="36" t="s">
        <v>90</v>
      </c>
      <c r="D12" s="37"/>
      <c r="E12" s="38"/>
      <c r="M12" s="50" t="s">
        <v>30</v>
      </c>
      <c r="N12" s="50"/>
      <c r="O12" s="33">
        <v>18</v>
      </c>
      <c r="P12" s="21">
        <f ca="1">OFFSET($N$20,MATCH($O12,$A$21:$A$51,0),0)</f>
        <v>397.88527777777773</v>
      </c>
      <c r="Q12" s="33">
        <v>19</v>
      </c>
      <c r="R12" s="21">
        <f ca="1">OFFSET($N$20,MATCH($Q12,$A$21:$A$51,0),0)</f>
        <v>122.48944444444444</v>
      </c>
      <c r="W12" s="21"/>
      <c r="X12" s="21"/>
      <c r="Y12" s="21"/>
      <c r="AA12" s="21"/>
      <c r="AB12" s="21"/>
      <c r="AC12" s="21"/>
    </row>
    <row r="13" spans="1:29" s="17" customFormat="1" x14ac:dyDescent="0.25">
      <c r="A13" s="15"/>
      <c r="B13" s="18"/>
      <c r="C13" s="18"/>
      <c r="D13" s="19"/>
      <c r="M13" s="21"/>
      <c r="N13" s="21"/>
      <c r="O13" s="21"/>
      <c r="P13" s="21"/>
      <c r="Q13" s="21"/>
      <c r="R13" s="21"/>
      <c r="W13" s="21" t="s">
        <v>64</v>
      </c>
      <c r="X13" s="21">
        <f ca="1">MIN(Zs)</f>
        <v>1277.0357508067279</v>
      </c>
      <c r="Y13" s="21"/>
      <c r="AA13" s="21"/>
      <c r="AB13" s="21"/>
      <c r="AC13" s="21"/>
    </row>
    <row r="14" spans="1:29" s="17" customFormat="1" x14ac:dyDescent="0.25">
      <c r="A14" s="8"/>
      <c r="B14" s="18"/>
      <c r="C14" s="18"/>
      <c r="D14" s="19"/>
      <c r="M14" s="50" t="s">
        <v>32</v>
      </c>
      <c r="N14" s="50"/>
      <c r="O14" s="23"/>
      <c r="P14" s="21">
        <f ca="1">P10-P11+IF(P11&gt;P10,360)</f>
        <v>111.04116229877401</v>
      </c>
      <c r="Q14" s="21"/>
      <c r="R14" s="21">
        <f ca="1">R10-R11+IF(R11&gt;R10,360)</f>
        <v>26.445606743218462</v>
      </c>
      <c r="W14" s="21"/>
      <c r="X14" s="21"/>
      <c r="Y14" s="21"/>
      <c r="AA14" s="21"/>
      <c r="AB14" s="21"/>
      <c r="AC14" s="21"/>
    </row>
    <row r="15" spans="1:29" x14ac:dyDescent="0.25">
      <c r="A15" s="1"/>
      <c r="D15" s="4"/>
      <c r="M15" s="50" t="s">
        <v>33</v>
      </c>
      <c r="N15" s="50"/>
      <c r="O15" s="23"/>
      <c r="P15" s="21">
        <f ca="1">P10-P12+IF(P12&gt;P10,360)</f>
        <v>73.155884520996267</v>
      </c>
      <c r="Q15" s="21"/>
      <c r="R15" s="21">
        <f ca="1">R10-R12+IF(R12&gt;R10,360)</f>
        <v>348.55171785432958</v>
      </c>
      <c r="W15" s="21"/>
      <c r="X15" s="21"/>
      <c r="Y15" s="21"/>
      <c r="AA15" s="23"/>
      <c r="AB15" s="23"/>
      <c r="AC15" s="23"/>
    </row>
    <row r="16" spans="1:29" x14ac:dyDescent="0.25">
      <c r="A16" s="1"/>
      <c r="B16" s="18" t="s">
        <v>68</v>
      </c>
      <c r="D16" s="4"/>
      <c r="M16" s="23"/>
      <c r="N16" s="23"/>
      <c r="O16" s="23"/>
      <c r="P16" s="23"/>
      <c r="Q16" s="23"/>
      <c r="R16" s="30"/>
      <c r="W16" s="21"/>
      <c r="X16" s="21"/>
      <c r="Y16" s="21"/>
      <c r="AA16" s="23"/>
      <c r="AB16" s="23"/>
      <c r="AC16" s="23"/>
    </row>
    <row r="17" spans="1:38" x14ac:dyDescent="0.25">
      <c r="A17" s="1"/>
      <c r="D17" s="4"/>
      <c r="M17" s="50" t="s">
        <v>39</v>
      </c>
      <c r="N17" s="50"/>
      <c r="O17" s="21">
        <f ca="1">AVERAGE(P14:P15,R14:R15)</f>
        <v>139.79859285432957</v>
      </c>
      <c r="P17" s="31"/>
      <c r="Q17" s="23"/>
      <c r="R17" s="23"/>
      <c r="W17" s="21"/>
      <c r="X17" s="21"/>
      <c r="Y17" s="23"/>
      <c r="Z17" s="2"/>
      <c r="AA17" s="23"/>
      <c r="AB17" s="23"/>
      <c r="AC17" s="23"/>
    </row>
    <row r="18" spans="1:38" x14ac:dyDescent="0.25">
      <c r="A18" s="1"/>
      <c r="D18" s="4"/>
      <c r="M18" s="19"/>
      <c r="O18" s="19"/>
      <c r="P18" s="19"/>
      <c r="Q18" s="19"/>
      <c r="R18" s="19"/>
      <c r="S18" s="19"/>
      <c r="T18" s="19"/>
      <c r="U18" s="19"/>
      <c r="V18" s="2"/>
      <c r="W18" s="2"/>
      <c r="X18" s="2"/>
      <c r="Y18" s="2"/>
      <c r="Z18" s="2"/>
      <c r="AA18" s="2"/>
    </row>
    <row r="19" spans="1:38" s="1" customFormat="1" x14ac:dyDescent="0.25">
      <c r="B19" s="11"/>
      <c r="C19" s="11"/>
      <c r="D19" s="7"/>
      <c r="E19" s="7"/>
      <c r="F19" s="7"/>
      <c r="G19" s="7"/>
      <c r="H19" s="7"/>
      <c r="I19" s="7"/>
      <c r="J19" s="7"/>
      <c r="K19" s="7"/>
      <c r="N19" s="15"/>
      <c r="O19" s="15"/>
      <c r="P19" s="15"/>
      <c r="Q19" s="15"/>
      <c r="R19" s="15"/>
      <c r="S19" s="15"/>
      <c r="T19" s="51" t="s">
        <v>20</v>
      </c>
      <c r="U19" s="51"/>
      <c r="X19" s="52" t="s">
        <v>45</v>
      </c>
      <c r="Y19" s="52"/>
      <c r="Z19" s="52" t="s">
        <v>46</v>
      </c>
      <c r="AA19" s="52"/>
      <c r="AB19" s="1" t="s">
        <v>47</v>
      </c>
      <c r="AC19" s="1" t="s">
        <v>51</v>
      </c>
      <c r="AE19" s="42" t="s">
        <v>51</v>
      </c>
      <c r="AG19" s="42"/>
      <c r="AH19" s="42"/>
      <c r="AI19" s="42"/>
    </row>
    <row r="20" spans="1:38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85</v>
      </c>
      <c r="H20" s="12" t="s">
        <v>79</v>
      </c>
      <c r="I20" s="12" t="s">
        <v>84</v>
      </c>
      <c r="J20" s="12" t="s">
        <v>83</v>
      </c>
      <c r="K20" s="3" t="s">
        <v>77</v>
      </c>
      <c r="L20" s="3" t="s">
        <v>78</v>
      </c>
      <c r="M20" s="8" t="s">
        <v>26</v>
      </c>
      <c r="N20" s="8" t="s">
        <v>27</v>
      </c>
      <c r="O20" s="8" t="s">
        <v>28</v>
      </c>
      <c r="P20" s="20" t="s">
        <v>29</v>
      </c>
      <c r="Q20" s="20" t="s">
        <v>82</v>
      </c>
      <c r="R20" s="20" t="s">
        <v>80</v>
      </c>
      <c r="S20" s="20" t="s">
        <v>81</v>
      </c>
      <c r="T20" s="20" t="s">
        <v>7</v>
      </c>
      <c r="U20" s="20" t="s">
        <v>6</v>
      </c>
      <c r="V20" s="20" t="s">
        <v>12</v>
      </c>
      <c r="W20" s="20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20" t="s">
        <v>65</v>
      </c>
      <c r="AE20" s="3" t="s">
        <v>75</v>
      </c>
      <c r="AF20" s="20" t="s">
        <v>76</v>
      </c>
      <c r="AG20" s="20"/>
      <c r="AH20" s="20"/>
      <c r="AI20" s="20"/>
    </row>
    <row r="21" spans="1:38" x14ac:dyDescent="0.25">
      <c r="A21" s="2">
        <v>1</v>
      </c>
      <c r="B21" s="18">
        <v>0</v>
      </c>
      <c r="C21" s="18">
        <v>3.5582175925925927</v>
      </c>
      <c r="D21" s="2">
        <v>16.666</v>
      </c>
      <c r="E21" s="2">
        <v>2.5950000000000002</v>
      </c>
      <c r="F21" s="40" t="s">
        <v>86</v>
      </c>
      <c r="G21" s="45">
        <f>C21*24</f>
        <v>85.397222222222226</v>
      </c>
      <c r="H21" s="45">
        <f>RADIANS(G21)</f>
        <v>1.4904626998350465</v>
      </c>
      <c r="I21" s="45">
        <f t="shared" ref="I21:I39" si="3">B21*24</f>
        <v>0</v>
      </c>
      <c r="J21" s="40">
        <f>RADIANS(I21)</f>
        <v>0</v>
      </c>
      <c r="K21" s="40">
        <f>D21*SIN(H21)</f>
        <v>16.612251968861248</v>
      </c>
      <c r="L21" s="16">
        <f>D21*COS(H21)</f>
        <v>1.3374006591390433</v>
      </c>
      <c r="M21" s="14"/>
      <c r="N21" s="17">
        <f t="shared" ref="N21:N39" si="4">I21+M21</f>
        <v>0</v>
      </c>
      <c r="O21" s="17">
        <f ca="1">$O$17</f>
        <v>139.79859285432957</v>
      </c>
      <c r="P21" s="17">
        <f ca="1">SUM(N21,O21)</f>
        <v>139.79859285432957</v>
      </c>
      <c r="Q21" s="17">
        <f ca="1">RADIANS(P21)</f>
        <v>2.4399457349630684</v>
      </c>
      <c r="R21" s="17">
        <f t="shared" ref="R21:R39" ca="1" si="5">K21*SIN(Q21)</f>
        <v>10.722817358328799</v>
      </c>
      <c r="S21" s="17">
        <f t="shared" ref="S21:S39" ca="1" si="6">K21*COS(Q21)</f>
        <v>-12.68810873916428</v>
      </c>
      <c r="T21" s="14">
        <f t="shared" ref="T21:T39" ca="1" si="7">Old_X0+R21</f>
        <v>1053627.7418173584</v>
      </c>
      <c r="U21" s="14">
        <f t="shared" ref="U21:U39" ca="1" si="8">Old_Y0+S21</f>
        <v>467767.08989126084</v>
      </c>
      <c r="V21" s="17">
        <f t="shared" ref="V21:V39" si="9">Old_Z0+HI+L21-E21</f>
        <v>1278.6714006591392</v>
      </c>
      <c r="W21" s="17">
        <f t="shared" ref="W21:W39" ca="1" si="10">IF(ISNUMBER(T21),V21+dZ,"")</f>
        <v>1280.1398387352226</v>
      </c>
      <c r="X21" s="17" t="str">
        <f t="shared" ref="X21:X39" si="11">IF(AND(A21&gt;=CS_Start,A21&lt;=CS_End),IF(OR(LEFT(UPPER(F21))="D"),"",T21),"")</f>
        <v/>
      </c>
      <c r="Y21" s="17" t="str">
        <f t="shared" ref="Y21:Y39" si="12">IF(ISNUMBER(X21),U21,"")</f>
        <v/>
      </c>
      <c r="Z21" s="17" t="str">
        <f t="shared" ref="Z21:Z39" si="13">IF(X21="","",VALUE((-mB*X21+Y21-bA)/(mA-mB)))</f>
        <v/>
      </c>
      <c r="AA21" s="17" t="str">
        <f t="shared" ref="AA21:AA39" si="14">IF(Z21="","",VALUE(mA*Z21+bA))</f>
        <v/>
      </c>
      <c r="AB21" s="17" t="str">
        <f>IF(ISNUMBER(X21),SQRT((X21-Z21)^2+(Y21-AA21)^2),"")</f>
        <v/>
      </c>
      <c r="AC21" s="17" t="str">
        <f t="shared" ref="AC21:AC39" ca="1" si="15">IF(ISNUMBER(Z21),SQRT(($Z21-OFFSET($Z$20,MATCH(CS_Start,$A$21:$A$51,0),0))^2+($AA21-OFFSET($AA$20,MATCH(CS_Start,$A$21:$A$51,0),0))^2),"")</f>
        <v/>
      </c>
      <c r="AD21" s="17" t="str">
        <f t="shared" ref="AD21:AD39" si="16">IF(ISNUMBER(X21),W21-Min_Z,"")</f>
        <v/>
      </c>
    </row>
    <row r="22" spans="1:38" x14ac:dyDescent="0.25">
      <c r="A22" s="2">
        <v>2</v>
      </c>
      <c r="B22" s="18">
        <v>3.5248148148148144</v>
      </c>
      <c r="C22" s="18">
        <v>3.5797800925925927</v>
      </c>
      <c r="D22" s="2">
        <v>12.888</v>
      </c>
      <c r="E22" s="2">
        <v>2.5950000000000002</v>
      </c>
      <c r="F22" s="40" t="s">
        <v>69</v>
      </c>
      <c r="G22" s="45">
        <f t="shared" ref="G22:G39" si="17">C22*24</f>
        <v>85.914722222222224</v>
      </c>
      <c r="H22" s="45">
        <f t="shared" ref="H22:H39" si="18">RADIANS(G22)</f>
        <v>1.4994947787141171</v>
      </c>
      <c r="I22" s="45">
        <f t="shared" si="3"/>
        <v>84.595555555555549</v>
      </c>
      <c r="J22" s="40">
        <f t="shared" ref="J22:J39" si="19">RADIANS(I22)</f>
        <v>1.4764709769982252</v>
      </c>
      <c r="K22" s="40">
        <f t="shared" ref="K22:K39" si="20">D22*SIN(H22)</f>
        <v>12.855253156100797</v>
      </c>
      <c r="L22" s="16">
        <f t="shared" ref="L22:L39" si="21">D22*COS(H22)</f>
        <v>0.91815591952591502</v>
      </c>
      <c r="M22" s="14"/>
      <c r="N22" s="17">
        <f t="shared" si="4"/>
        <v>84.595555555555549</v>
      </c>
      <c r="O22" s="17">
        <f t="shared" ref="O22:O39" ca="1" si="22">$O$17</f>
        <v>139.79859285432957</v>
      </c>
      <c r="P22" s="17">
        <f t="shared" ref="P22:P39" ca="1" si="23">SUM(N22,O22)</f>
        <v>224.39414840988513</v>
      </c>
      <c r="Q22" s="17">
        <f t="shared" ref="Q22:Q39" ca="1" si="24">RADIANS(P22)</f>
        <v>3.9164167119612938</v>
      </c>
      <c r="R22" s="17">
        <f t="shared" ca="1" si="5"/>
        <v>-8.993411287714693</v>
      </c>
      <c r="S22" s="17">
        <f t="shared" ca="1" si="6"/>
        <v>-9.1856457104247973</v>
      </c>
      <c r="T22" s="14">
        <f t="shared" ca="1" si="7"/>
        <v>1053608.0255887124</v>
      </c>
      <c r="U22" s="14">
        <f t="shared" ca="1" si="8"/>
        <v>467770.59235428955</v>
      </c>
      <c r="V22" s="17">
        <f t="shared" si="9"/>
        <v>1278.2521559195259</v>
      </c>
      <c r="W22" s="17">
        <f t="shared" ca="1" si="10"/>
        <v>1279.7205939956093</v>
      </c>
      <c r="X22" s="17" t="str">
        <f t="shared" si="11"/>
        <v/>
      </c>
      <c r="Y22" s="17" t="str">
        <f t="shared" si="12"/>
        <v/>
      </c>
      <c r="Z22" s="17" t="str">
        <f t="shared" si="13"/>
        <v/>
      </c>
      <c r="AA22" s="17" t="str">
        <f t="shared" si="14"/>
        <v/>
      </c>
      <c r="AB22" s="17" t="str">
        <f t="shared" ref="AB22:AB39" si="25">IF(ISNUMBER(X22),SQRT((X22-Z22)^2+(Y22-AA22)^2),"")</f>
        <v/>
      </c>
      <c r="AC22" s="17" t="str">
        <f t="shared" ca="1" si="15"/>
        <v/>
      </c>
      <c r="AD22" s="17" t="str">
        <f t="shared" si="16"/>
        <v/>
      </c>
    </row>
    <row r="23" spans="1:38" x14ac:dyDescent="0.25">
      <c r="A23" s="2">
        <v>3</v>
      </c>
      <c r="B23" s="18">
        <v>8.2097569444444449</v>
      </c>
      <c r="C23" s="18">
        <v>3.5866782407407407</v>
      </c>
      <c r="D23" s="2">
        <v>8.1829999999999998</v>
      </c>
      <c r="E23" s="2">
        <v>2.5950000000000002</v>
      </c>
      <c r="G23" s="45">
        <f t="shared" si="17"/>
        <v>86.080277777777781</v>
      </c>
      <c r="H23" s="45">
        <f t="shared" si="18"/>
        <v>1.50238426825353</v>
      </c>
      <c r="I23" s="45">
        <f t="shared" si="3"/>
        <v>197.03416666666669</v>
      </c>
      <c r="J23" s="40">
        <f t="shared" si="19"/>
        <v>3.4388949472565944</v>
      </c>
      <c r="K23" s="40">
        <f t="shared" si="20"/>
        <v>8.1638583891022325</v>
      </c>
      <c r="L23" s="16">
        <f t="shared" si="21"/>
        <v>0.55937930126624436</v>
      </c>
      <c r="M23" s="14">
        <v>37.9</v>
      </c>
      <c r="N23" s="17">
        <f t="shared" si="4"/>
        <v>234.9341666666667</v>
      </c>
      <c r="O23" s="17">
        <f t="shared" ca="1" si="22"/>
        <v>139.79859285432957</v>
      </c>
      <c r="P23" s="17">
        <f t="shared" ca="1" si="23"/>
        <v>374.7327595209963</v>
      </c>
      <c r="Q23" s="17">
        <f t="shared" ca="1" si="24"/>
        <v>6.5403204687255148</v>
      </c>
      <c r="R23" s="17">
        <f t="shared" ca="1" si="5"/>
        <v>2.0761585788460715</v>
      </c>
      <c r="S23" s="17">
        <f t="shared" ca="1" si="6"/>
        <v>7.8954511810788093</v>
      </c>
      <c r="T23" s="14">
        <f t="shared" ca="1" si="7"/>
        <v>1053619.0951585788</v>
      </c>
      <c r="U23" s="14">
        <f t="shared" ca="1" si="8"/>
        <v>467787.67345118109</v>
      </c>
      <c r="V23" s="17">
        <f t="shared" si="9"/>
        <v>1277.8933793012664</v>
      </c>
      <c r="W23" s="17">
        <f t="shared" ca="1" si="10"/>
        <v>1279.3618173773498</v>
      </c>
      <c r="X23" s="17">
        <f t="shared" ca="1" si="11"/>
        <v>1053619.0951585788</v>
      </c>
      <c r="Y23" s="17">
        <f t="shared" ca="1" si="12"/>
        <v>467787.67345118109</v>
      </c>
      <c r="Z23" s="17">
        <f t="shared" ca="1" si="13"/>
        <v>1053619.1469773413</v>
      </c>
      <c r="AA23" s="17">
        <f t="shared" ca="1" si="14"/>
        <v>467787.65554511826</v>
      </c>
      <c r="AB23" s="17">
        <f t="shared" ca="1" si="25"/>
        <v>5.482527908609227E-2</v>
      </c>
      <c r="AC23" s="17">
        <f t="shared" ca="1" si="15"/>
        <v>0</v>
      </c>
      <c r="AD23" s="17">
        <f t="shared" ca="1" si="16"/>
        <v>2.3260665706218333</v>
      </c>
      <c r="AE23" s="2">
        <f ca="1">ROUND(CONVERT(AC23,"m","ft"),2)</f>
        <v>0</v>
      </c>
      <c r="AF23" s="2">
        <f ca="1">ROUND(CONVERT(AD23,"m","ft"),2)</f>
        <v>7.63</v>
      </c>
      <c r="AH23" s="2">
        <v>0</v>
      </c>
      <c r="AI23" s="2">
        <f t="shared" ref="AI23:AI37" ca="1" si="26">OFFSET($AF$22,MATCH(AH23,$AE$23:$AE$49,0),0)</f>
        <v>7.63</v>
      </c>
      <c r="AJ23" s="2" t="str">
        <f ca="1">CONCATENATE(AH23,",",AI23)</f>
        <v>0,7.63</v>
      </c>
      <c r="AL23" s="2">
        <v>0</v>
      </c>
    </row>
    <row r="24" spans="1:38" x14ac:dyDescent="0.25">
      <c r="A24" s="2">
        <v>4</v>
      </c>
      <c r="B24" s="44">
        <v>8.2302314814814803</v>
      </c>
      <c r="C24" s="44">
        <v>3.7705092592592595</v>
      </c>
      <c r="D24" s="2">
        <v>9.0980000000000008</v>
      </c>
      <c r="E24" s="2">
        <v>2.5950000000000002</v>
      </c>
      <c r="G24" s="45">
        <f t="shared" si="17"/>
        <v>90.492222222222225</v>
      </c>
      <c r="H24" s="45">
        <f t="shared" si="18"/>
        <v>1.5793872252241576</v>
      </c>
      <c r="I24" s="45">
        <f t="shared" si="3"/>
        <v>197.52555555555551</v>
      </c>
      <c r="J24" s="40">
        <f t="shared" si="19"/>
        <v>3.4474713012754208</v>
      </c>
      <c r="K24" s="40">
        <f t="shared" si="20"/>
        <v>9.0976642697803953</v>
      </c>
      <c r="L24" s="16">
        <f t="shared" si="21"/>
        <v>-7.8159032498979514E-2</v>
      </c>
      <c r="M24" s="14">
        <v>37.9</v>
      </c>
      <c r="N24" s="17">
        <f t="shared" si="4"/>
        <v>235.42555555555552</v>
      </c>
      <c r="O24" s="17">
        <f t="shared" ca="1" si="22"/>
        <v>139.79859285432957</v>
      </c>
      <c r="P24" s="17">
        <f t="shared" ca="1" si="23"/>
        <v>375.22414840988506</v>
      </c>
      <c r="Q24" s="17">
        <f t="shared" ca="1" si="24"/>
        <v>6.5488968227443403</v>
      </c>
      <c r="R24" s="17">
        <f t="shared" ca="1" si="5"/>
        <v>2.3890091560596338</v>
      </c>
      <c r="S24" s="17">
        <f t="shared" ca="1" si="6"/>
        <v>8.7783899672948049</v>
      </c>
      <c r="T24" s="14">
        <f t="shared" ca="1" si="7"/>
        <v>1053619.4080091561</v>
      </c>
      <c r="U24" s="14">
        <f t="shared" ca="1" si="8"/>
        <v>467788.55638996727</v>
      </c>
      <c r="V24" s="17">
        <f t="shared" si="9"/>
        <v>1277.2558409675012</v>
      </c>
      <c r="W24" s="17">
        <f t="shared" ca="1" si="10"/>
        <v>1278.7242790435846</v>
      </c>
      <c r="X24" s="17">
        <f t="shared" ca="1" si="11"/>
        <v>1053619.4080091561</v>
      </c>
      <c r="Y24" s="17">
        <f t="shared" ca="1" si="12"/>
        <v>467788.55638996727</v>
      </c>
      <c r="Z24" s="17">
        <f t="shared" ca="1" si="13"/>
        <v>1053619.452905003</v>
      </c>
      <c r="AA24" s="17">
        <f t="shared" ca="1" si="14"/>
        <v>467788.54087613011</v>
      </c>
      <c r="AB24" s="17">
        <f t="shared" ca="1" si="25"/>
        <v>4.7500696931763974E-2</v>
      </c>
      <c r="AC24" s="17">
        <f t="shared" ca="1" si="15"/>
        <v>0.93669778196179765</v>
      </c>
      <c r="AD24" s="17">
        <f t="shared" ca="1" si="16"/>
        <v>1.688528236856655</v>
      </c>
      <c r="AE24" s="2">
        <f t="shared" ref="AE24:AE39" ca="1" si="27">ROUND(CONVERT(AC24,"m","ft"),2)</f>
        <v>3.07</v>
      </c>
      <c r="AF24" s="2">
        <f t="shared" ref="AF24:AF39" ca="1" si="28">ROUND(CONVERT(AD24,"m","ft"),2)</f>
        <v>5.54</v>
      </c>
      <c r="AH24" s="2">
        <v>3.07</v>
      </c>
      <c r="AI24" s="2">
        <f t="shared" ca="1" si="26"/>
        <v>5.54</v>
      </c>
      <c r="AJ24" s="2" t="str">
        <f t="shared" ref="AJ24:AJ37" ca="1" si="29">CONCATENATE(AH24,",",AI24)</f>
        <v>3.07,5.54</v>
      </c>
      <c r="AL24" s="2">
        <v>0</v>
      </c>
    </row>
    <row r="25" spans="1:38" x14ac:dyDescent="0.25">
      <c r="A25" s="2">
        <v>5</v>
      </c>
      <c r="B25" s="18">
        <v>8.2479398148148153</v>
      </c>
      <c r="C25" s="18">
        <v>3.9214699074074075</v>
      </c>
      <c r="D25" s="2">
        <v>9.5310000000000006</v>
      </c>
      <c r="E25" s="2">
        <v>2.5950000000000002</v>
      </c>
      <c r="G25" s="45">
        <f t="shared" si="17"/>
        <v>94.115277777777777</v>
      </c>
      <c r="H25" s="45">
        <f t="shared" si="18"/>
        <v>1.6426214736512743</v>
      </c>
      <c r="I25" s="45">
        <f t="shared" si="3"/>
        <v>197.95055555555558</v>
      </c>
      <c r="J25" s="40">
        <f t="shared" si="19"/>
        <v>3.454888950596398</v>
      </c>
      <c r="K25" s="40">
        <f t="shared" si="20"/>
        <v>9.5064260592924636</v>
      </c>
      <c r="L25" s="16">
        <f t="shared" si="21"/>
        <v>-0.68397703119708297</v>
      </c>
      <c r="M25" s="14">
        <v>37.9</v>
      </c>
      <c r="N25" s="17">
        <f t="shared" si="4"/>
        <v>235.85055555555559</v>
      </c>
      <c r="O25" s="17">
        <f t="shared" ca="1" si="22"/>
        <v>139.79859285432957</v>
      </c>
      <c r="P25" s="17">
        <f t="shared" ca="1" si="23"/>
        <v>375.64914840988513</v>
      </c>
      <c r="Q25" s="17">
        <f t="shared" ca="1" si="24"/>
        <v>6.556314472065317</v>
      </c>
      <c r="R25" s="17">
        <f t="shared" ca="1" si="5"/>
        <v>2.5643196807462596</v>
      </c>
      <c r="S25" s="17">
        <f t="shared" ca="1" si="6"/>
        <v>9.154037415027986</v>
      </c>
      <c r="T25" s="14">
        <f t="shared" ca="1" si="7"/>
        <v>1053619.5833196808</v>
      </c>
      <c r="U25" s="14">
        <f t="shared" ca="1" si="8"/>
        <v>467788.93203741504</v>
      </c>
      <c r="V25" s="17">
        <f t="shared" si="9"/>
        <v>1276.6500229688029</v>
      </c>
      <c r="W25" s="17">
        <f t="shared" ca="1" si="10"/>
        <v>1278.1184610448863</v>
      </c>
      <c r="X25" s="17">
        <f t="shared" ca="1" si="11"/>
        <v>1053619.5833196808</v>
      </c>
      <c r="Y25" s="17">
        <f t="shared" ca="1" si="12"/>
        <v>467788.93203741504</v>
      </c>
      <c r="Z25" s="17">
        <f t="shared" ca="1" si="13"/>
        <v>1053619.5875645932</v>
      </c>
      <c r="AA25" s="17">
        <f t="shared" ca="1" si="14"/>
        <v>467788.9305705782</v>
      </c>
      <c r="AB25" s="17">
        <f t="shared" ca="1" si="25"/>
        <v>4.4912015906836715E-3</v>
      </c>
      <c r="AC25" s="17">
        <f t="shared" ca="1" si="15"/>
        <v>1.3490022424138328</v>
      </c>
      <c r="AD25" s="17">
        <f t="shared" ca="1" si="16"/>
        <v>1.08271023815837</v>
      </c>
      <c r="AE25" s="2">
        <f t="shared" ca="1" si="27"/>
        <v>4.43</v>
      </c>
      <c r="AF25" s="2">
        <f t="shared" ca="1" si="28"/>
        <v>3.55</v>
      </c>
      <c r="AH25" s="2">
        <v>4.43</v>
      </c>
      <c r="AI25" s="2">
        <f t="shared" ca="1" si="26"/>
        <v>3.55</v>
      </c>
      <c r="AJ25" s="2" t="str">
        <f t="shared" ca="1" si="29"/>
        <v>4.43,3.55</v>
      </c>
      <c r="AL25" s="2">
        <v>0.21</v>
      </c>
    </row>
    <row r="26" spans="1:38" x14ac:dyDescent="0.25">
      <c r="A26" s="2">
        <v>6</v>
      </c>
      <c r="B26" s="18">
        <v>8.2640856481481482</v>
      </c>
      <c r="C26" s="18">
        <v>3.9993055555555554</v>
      </c>
      <c r="D26" s="2">
        <v>10.026999999999999</v>
      </c>
      <c r="E26" s="2">
        <v>2.5950000000000002</v>
      </c>
      <c r="G26" s="45">
        <f t="shared" si="17"/>
        <v>95.983333333333334</v>
      </c>
      <c r="H26" s="45">
        <f t="shared" si="18"/>
        <v>1.6752251937058906</v>
      </c>
      <c r="I26" s="45">
        <f t="shared" si="3"/>
        <v>198.33805555555557</v>
      </c>
      <c r="J26" s="40">
        <f t="shared" si="19"/>
        <v>3.4616521014478758</v>
      </c>
      <c r="K26" s="40">
        <f t="shared" si="20"/>
        <v>9.9723755048942238</v>
      </c>
      <c r="L26" s="16">
        <f t="shared" si="21"/>
        <v>-1.0452060989994629</v>
      </c>
      <c r="M26" s="14">
        <v>37.9</v>
      </c>
      <c r="N26" s="17">
        <f t="shared" si="4"/>
        <v>236.23805555555558</v>
      </c>
      <c r="O26" s="17">
        <f t="shared" ca="1" si="22"/>
        <v>139.79859285432957</v>
      </c>
      <c r="P26" s="17">
        <f t="shared" ca="1" si="23"/>
        <v>376.03664840988517</v>
      </c>
      <c r="Q26" s="17">
        <f t="shared" ca="1" si="24"/>
        <v>6.5630776229167962</v>
      </c>
      <c r="R26" s="17">
        <f t="shared" ca="1" si="5"/>
        <v>2.7548902378135596</v>
      </c>
      <c r="S26" s="17">
        <f t="shared" ca="1" si="6"/>
        <v>9.5843024257487759</v>
      </c>
      <c r="T26" s="14">
        <f t="shared" ca="1" si="7"/>
        <v>1053619.7738902378</v>
      </c>
      <c r="U26" s="14">
        <f t="shared" ca="1" si="8"/>
        <v>467789.36230242572</v>
      </c>
      <c r="V26" s="17">
        <f t="shared" si="9"/>
        <v>1276.2887939010006</v>
      </c>
      <c r="W26" s="17">
        <f t="shared" ca="1" si="10"/>
        <v>1277.7572319770841</v>
      </c>
      <c r="X26" s="17">
        <f t="shared" ca="1" si="11"/>
        <v>1053619.7738902378</v>
      </c>
      <c r="Y26" s="17">
        <f t="shared" ca="1" si="12"/>
        <v>467789.36230242572</v>
      </c>
      <c r="Z26" s="17">
        <f t="shared" ca="1" si="13"/>
        <v>1053619.7407119642</v>
      </c>
      <c r="AA26" s="17">
        <f t="shared" ca="1" si="14"/>
        <v>467789.37376723532</v>
      </c>
      <c r="AB26" s="17">
        <f t="shared" ca="1" si="25"/>
        <v>3.5103271888463752E-2</v>
      </c>
      <c r="AC26" s="17">
        <f t="shared" ca="1" si="15"/>
        <v>1.8179131018819996</v>
      </c>
      <c r="AD26" s="17">
        <f t="shared" ca="1" si="16"/>
        <v>0.72148117035612813</v>
      </c>
      <c r="AE26" s="2">
        <f t="shared" ca="1" si="27"/>
        <v>5.96</v>
      </c>
      <c r="AF26" s="2">
        <f t="shared" ca="1" si="28"/>
        <v>2.37</v>
      </c>
      <c r="AH26" s="2">
        <v>5.96</v>
      </c>
      <c r="AI26" s="2">
        <f t="shared" ca="1" si="26"/>
        <v>2.37</v>
      </c>
      <c r="AJ26" s="2" t="str">
        <f t="shared" ca="1" si="29"/>
        <v>5.96,2.37</v>
      </c>
      <c r="AL26" s="2">
        <v>0.6</v>
      </c>
    </row>
    <row r="27" spans="1:38" x14ac:dyDescent="0.25">
      <c r="A27" s="2">
        <v>7</v>
      </c>
      <c r="B27" s="18">
        <v>8.2313657407407401</v>
      </c>
      <c r="C27" s="18">
        <v>4.0585879629629629</v>
      </c>
      <c r="D27" s="2">
        <v>10.467000000000001</v>
      </c>
      <c r="E27" s="2">
        <v>2.5950000000000002</v>
      </c>
      <c r="G27" s="45">
        <f t="shared" si="17"/>
        <v>97.406111111111102</v>
      </c>
      <c r="H27" s="45">
        <f t="shared" si="18"/>
        <v>1.7000573504523209</v>
      </c>
      <c r="I27" s="45">
        <f t="shared" si="3"/>
        <v>197.55277777777775</v>
      </c>
      <c r="J27" s="40">
        <f t="shared" si="19"/>
        <v>3.4479464186829083</v>
      </c>
      <c r="K27" s="40">
        <f t="shared" si="20"/>
        <v>10.379678210237426</v>
      </c>
      <c r="L27" s="16">
        <f t="shared" si="21"/>
        <v>-1.3492106032500597</v>
      </c>
      <c r="M27" s="14">
        <v>37.9</v>
      </c>
      <c r="N27" s="17">
        <f t="shared" si="4"/>
        <v>235.45277777777775</v>
      </c>
      <c r="O27" s="17">
        <f t="shared" ca="1" si="22"/>
        <v>139.79859285432957</v>
      </c>
      <c r="P27" s="17">
        <f t="shared" ca="1" si="23"/>
        <v>375.2513706321073</v>
      </c>
      <c r="Q27" s="17">
        <f t="shared" ca="1" si="24"/>
        <v>6.5493719401518273</v>
      </c>
      <c r="R27" s="17">
        <f t="shared" ca="1" si="5"/>
        <v>2.7304189242330916</v>
      </c>
      <c r="S27" s="17">
        <f t="shared" ca="1" si="6"/>
        <v>10.014116648325373</v>
      </c>
      <c r="T27" s="14">
        <f t="shared" ca="1" si="7"/>
        <v>1053619.7494189243</v>
      </c>
      <c r="U27" s="14">
        <f t="shared" ca="1" si="8"/>
        <v>467789.79211664834</v>
      </c>
      <c r="V27" s="17">
        <f t="shared" si="9"/>
        <v>1275.9847893967501</v>
      </c>
      <c r="W27" s="17">
        <f t="shared" ca="1" si="10"/>
        <v>1277.4532274728335</v>
      </c>
      <c r="X27" s="17">
        <f t="shared" ca="1" si="11"/>
        <v>1053619.7494189243</v>
      </c>
      <c r="Y27" s="17">
        <f t="shared" ca="1" si="12"/>
        <v>467789.79211664834</v>
      </c>
      <c r="Z27" s="17">
        <f t="shared" ca="1" si="13"/>
        <v>1053619.8707818643</v>
      </c>
      <c r="AA27" s="17">
        <f t="shared" ca="1" si="14"/>
        <v>467789.75017947471</v>
      </c>
      <c r="AB27" s="17">
        <f t="shared" ca="1" si="25"/>
        <v>0.12840439916151494</v>
      </c>
      <c r="AC27" s="17">
        <f t="shared" ca="1" si="15"/>
        <v>2.216164721926615</v>
      </c>
      <c r="AD27" s="17">
        <f t="shared" ca="1" si="16"/>
        <v>0.41747666610558554</v>
      </c>
      <c r="AE27" s="2">
        <f t="shared" ca="1" si="27"/>
        <v>7.27</v>
      </c>
      <c r="AF27" s="2">
        <f t="shared" ca="1" si="28"/>
        <v>1.37</v>
      </c>
      <c r="AG27" s="2" t="s">
        <v>92</v>
      </c>
      <c r="AH27" s="2">
        <v>7.27</v>
      </c>
      <c r="AI27" s="2">
        <f t="shared" ca="1" si="26"/>
        <v>1.37</v>
      </c>
      <c r="AJ27" s="2" t="str">
        <f t="shared" ca="1" si="29"/>
        <v>7.27,1.37</v>
      </c>
      <c r="AL27" s="2">
        <v>0.66</v>
      </c>
    </row>
    <row r="28" spans="1:38" x14ac:dyDescent="0.25">
      <c r="A28" s="2">
        <v>8</v>
      </c>
      <c r="B28" s="18">
        <v>8.2369907407407403</v>
      </c>
      <c r="C28" s="18">
        <v>4.0765509259259263</v>
      </c>
      <c r="D28" s="2">
        <v>10.694000000000001</v>
      </c>
      <c r="E28" s="2">
        <v>2.5950000000000002</v>
      </c>
      <c r="F28" s="40" t="s">
        <v>70</v>
      </c>
      <c r="G28" s="45">
        <f t="shared" si="17"/>
        <v>97.837222222222238</v>
      </c>
      <c r="H28" s="45">
        <f t="shared" si="18"/>
        <v>1.7075816587831414</v>
      </c>
      <c r="I28" s="45">
        <f t="shared" si="3"/>
        <v>197.68777777777777</v>
      </c>
      <c r="J28" s="40">
        <f t="shared" si="19"/>
        <v>3.4503026131731009</v>
      </c>
      <c r="K28" s="40">
        <f t="shared" si="20"/>
        <v>10.594112305241005</v>
      </c>
      <c r="L28" s="16">
        <f t="shared" si="21"/>
        <v>-1.4582251074306574</v>
      </c>
      <c r="M28" s="14">
        <v>37.9</v>
      </c>
      <c r="N28" s="17">
        <f t="shared" si="4"/>
        <v>235.58777777777777</v>
      </c>
      <c r="O28" s="17">
        <f t="shared" ca="1" si="22"/>
        <v>139.79859285432957</v>
      </c>
      <c r="P28" s="17">
        <f t="shared" ca="1" si="23"/>
        <v>375.38637063210734</v>
      </c>
      <c r="Q28" s="17">
        <f t="shared" ca="1" si="24"/>
        <v>6.5517281346420209</v>
      </c>
      <c r="R28" s="17">
        <f t="shared" ca="1" si="5"/>
        <v>2.8109016362671526</v>
      </c>
      <c r="S28" s="17">
        <f t="shared" ca="1" si="6"/>
        <v>10.214403924228252</v>
      </c>
      <c r="T28" s="14">
        <f t="shared" ca="1" si="7"/>
        <v>1053619.8299016363</v>
      </c>
      <c r="U28" s="14">
        <f t="shared" ca="1" si="8"/>
        <v>467789.99240392423</v>
      </c>
      <c r="V28" s="17">
        <f t="shared" si="9"/>
        <v>1275.8757748925693</v>
      </c>
      <c r="W28" s="17">
        <f t="shared" ca="1" si="10"/>
        <v>1277.3442129686528</v>
      </c>
      <c r="X28" s="17">
        <f t="shared" ca="1" si="11"/>
        <v>1053619.8299016363</v>
      </c>
      <c r="Y28" s="17">
        <f t="shared" ca="1" si="12"/>
        <v>467789.99240392423</v>
      </c>
      <c r="Z28" s="17">
        <f t="shared" ca="1" si="13"/>
        <v>1053619.9411939697</v>
      </c>
      <c r="AA28" s="17">
        <f t="shared" ca="1" si="14"/>
        <v>467789.95394666679</v>
      </c>
      <c r="AB28" s="17">
        <f t="shared" ca="1" si="25"/>
        <v>0.11774949728371431</v>
      </c>
      <c r="AC28" s="17">
        <f t="shared" ca="1" si="15"/>
        <v>2.4317544553531225</v>
      </c>
      <c r="AD28" s="17">
        <f t="shared" ca="1" si="16"/>
        <v>0.30846216192480824</v>
      </c>
      <c r="AE28" s="2">
        <f t="shared" ca="1" si="27"/>
        <v>7.98</v>
      </c>
      <c r="AF28" s="2">
        <f t="shared" ca="1" si="28"/>
        <v>1.01</v>
      </c>
      <c r="AH28" s="2">
        <v>7.98</v>
      </c>
      <c r="AI28" s="2">
        <f t="shared" ca="1" si="26"/>
        <v>1.01</v>
      </c>
      <c r="AJ28" s="2" t="str">
        <f t="shared" ca="1" si="29"/>
        <v>7.98,1.01</v>
      </c>
      <c r="AL28" s="2">
        <v>1.01</v>
      </c>
    </row>
    <row r="29" spans="1:38" x14ac:dyDescent="0.25">
      <c r="A29" s="2">
        <v>9</v>
      </c>
      <c r="B29" s="18">
        <v>8.2360416666666669</v>
      </c>
      <c r="C29" s="18">
        <v>4.0917245370370372</v>
      </c>
      <c r="D29" s="2">
        <v>10.974</v>
      </c>
      <c r="E29" s="2">
        <v>2.5950000000000002</v>
      </c>
      <c r="G29" s="45">
        <f t="shared" si="17"/>
        <v>98.201388888888886</v>
      </c>
      <c r="H29" s="45">
        <f t="shared" si="18"/>
        <v>1.7139375661424869</v>
      </c>
      <c r="I29" s="45">
        <f t="shared" si="3"/>
        <v>197.66500000000002</v>
      </c>
      <c r="J29" s="40">
        <f t="shared" si="19"/>
        <v>3.4499050659545918</v>
      </c>
      <c r="K29" s="40">
        <f t="shared" si="20"/>
        <v>10.86176641303171</v>
      </c>
      <c r="L29" s="16">
        <f t="shared" si="21"/>
        <v>-1.5654732155921043</v>
      </c>
      <c r="M29" s="14">
        <v>37.9</v>
      </c>
      <c r="N29" s="17">
        <f t="shared" si="4"/>
        <v>235.56500000000003</v>
      </c>
      <c r="O29" s="17">
        <f t="shared" ca="1" si="22"/>
        <v>139.79859285432957</v>
      </c>
      <c r="P29" s="17">
        <f t="shared" ca="1" si="23"/>
        <v>375.36359285432957</v>
      </c>
      <c r="Q29" s="17">
        <f t="shared" ca="1" si="24"/>
        <v>6.5513305874235108</v>
      </c>
      <c r="R29" s="17">
        <f t="shared" ca="1" si="5"/>
        <v>2.8777539101821308</v>
      </c>
      <c r="S29" s="17">
        <f t="shared" ca="1" si="6"/>
        <v>10.473609790501801</v>
      </c>
      <c r="T29" s="14">
        <f t="shared" ca="1" si="7"/>
        <v>1053619.8967539102</v>
      </c>
      <c r="U29" s="14">
        <f t="shared" ca="1" si="8"/>
        <v>467790.25160979049</v>
      </c>
      <c r="V29" s="17">
        <f t="shared" si="9"/>
        <v>1275.7685267844079</v>
      </c>
      <c r="W29" s="17">
        <f t="shared" ca="1" si="10"/>
        <v>1277.2369648604913</v>
      </c>
      <c r="X29" s="17">
        <f t="shared" ca="1" si="11"/>
        <v>1053619.8967539102</v>
      </c>
      <c r="Y29" s="17">
        <f t="shared" ca="1" si="12"/>
        <v>467790.25160979049</v>
      </c>
      <c r="Z29" s="17">
        <f t="shared" ca="1" si="13"/>
        <v>1053620.0283398288</v>
      </c>
      <c r="AA29" s="17">
        <f t="shared" ca="1" si="14"/>
        <v>467790.2061400488</v>
      </c>
      <c r="AB29" s="17">
        <f t="shared" ca="1" si="25"/>
        <v>0.13922051351274126</v>
      </c>
      <c r="AC29" s="17">
        <f t="shared" ca="1" si="15"/>
        <v>2.6985800588759177</v>
      </c>
      <c r="AD29" s="17">
        <f t="shared" ca="1" si="16"/>
        <v>0.20121405376335133</v>
      </c>
      <c r="AE29" s="2">
        <f t="shared" ca="1" si="27"/>
        <v>8.85</v>
      </c>
      <c r="AF29" s="2">
        <f t="shared" ca="1" si="28"/>
        <v>0.66</v>
      </c>
      <c r="AH29" s="2">
        <v>8.85</v>
      </c>
      <c r="AI29" s="2">
        <f t="shared" ca="1" si="26"/>
        <v>0.66</v>
      </c>
      <c r="AJ29" s="2" t="str">
        <f t="shared" ca="1" si="29"/>
        <v>8.85,0.66</v>
      </c>
      <c r="AL29" s="2">
        <v>1.37</v>
      </c>
    </row>
    <row r="30" spans="1:38" x14ac:dyDescent="0.25">
      <c r="A30" s="2">
        <v>10</v>
      </c>
      <c r="B30" s="18">
        <v>8.2185532407407411</v>
      </c>
      <c r="C30" s="18">
        <v>4.1122106481481486</v>
      </c>
      <c r="D30" s="2">
        <v>11.689</v>
      </c>
      <c r="E30" s="2">
        <v>2.5950000000000002</v>
      </c>
      <c r="G30" s="45">
        <f t="shared" si="17"/>
        <v>98.69305555555556</v>
      </c>
      <c r="H30" s="45">
        <f t="shared" si="18"/>
        <v>1.722518768298126</v>
      </c>
      <c r="I30" s="45">
        <f t="shared" si="3"/>
        <v>197.2452777777778</v>
      </c>
      <c r="J30" s="40">
        <f t="shared" si="19"/>
        <v>3.4425795312330267</v>
      </c>
      <c r="K30" s="40">
        <f t="shared" si="20"/>
        <v>11.554719256316751</v>
      </c>
      <c r="L30" s="16">
        <f t="shared" si="21"/>
        <v>-1.7666872693555202</v>
      </c>
      <c r="M30" s="14">
        <v>37.9</v>
      </c>
      <c r="N30" s="17">
        <f t="shared" si="4"/>
        <v>235.14527777777781</v>
      </c>
      <c r="O30" s="17">
        <f t="shared" ca="1" si="22"/>
        <v>139.79859285432957</v>
      </c>
      <c r="P30" s="17">
        <f t="shared" ca="1" si="23"/>
        <v>374.94387063210741</v>
      </c>
      <c r="Q30" s="17">
        <f t="shared" ca="1" si="24"/>
        <v>6.5440050527019471</v>
      </c>
      <c r="R30" s="17">
        <f t="shared" ca="1" si="5"/>
        <v>2.9796461819066979</v>
      </c>
      <c r="S30" s="17">
        <f t="shared" ca="1" si="6"/>
        <v>11.163926089102613</v>
      </c>
      <c r="T30" s="14">
        <f t="shared" ca="1" si="7"/>
        <v>1053619.998646182</v>
      </c>
      <c r="U30" s="14">
        <f t="shared" ca="1" si="8"/>
        <v>467790.94192608912</v>
      </c>
      <c r="V30" s="17">
        <f t="shared" si="9"/>
        <v>1275.5673127306445</v>
      </c>
      <c r="W30" s="17">
        <f t="shared" ca="1" si="10"/>
        <v>1277.0357508067279</v>
      </c>
      <c r="X30" s="17">
        <f t="shared" ca="1" si="11"/>
        <v>1053619.998646182</v>
      </c>
      <c r="Y30" s="17">
        <f t="shared" ca="1" si="12"/>
        <v>467790.94192608912</v>
      </c>
      <c r="Z30" s="17">
        <f t="shared" ca="1" si="13"/>
        <v>1053620.2523037342</v>
      </c>
      <c r="AA30" s="17">
        <f t="shared" ca="1" si="14"/>
        <v>467790.85427428363</v>
      </c>
      <c r="AB30" s="17">
        <f t="shared" ca="1" si="25"/>
        <v>0.26837472456140449</v>
      </c>
      <c r="AC30" s="17">
        <f t="shared" ca="1" si="15"/>
        <v>3.3843189430427052</v>
      </c>
      <c r="AD30" s="17">
        <f t="shared" ca="1" si="16"/>
        <v>0</v>
      </c>
      <c r="AE30" s="2">
        <f t="shared" ca="1" si="27"/>
        <v>11.1</v>
      </c>
      <c r="AF30" s="2">
        <f t="shared" ca="1" si="28"/>
        <v>0</v>
      </c>
      <c r="AH30" s="2">
        <v>11.1</v>
      </c>
      <c r="AI30" s="2">
        <f t="shared" ca="1" si="26"/>
        <v>0</v>
      </c>
      <c r="AJ30" s="2" t="str">
        <f t="shared" ca="1" si="29"/>
        <v>11.1,0</v>
      </c>
      <c r="AL30" s="2">
        <v>1.37</v>
      </c>
    </row>
    <row r="31" spans="1:38" x14ac:dyDescent="0.25">
      <c r="A31" s="2">
        <v>11</v>
      </c>
      <c r="B31" s="18">
        <v>8.4481712962962963</v>
      </c>
      <c r="C31" s="18">
        <v>3.8601157407407407</v>
      </c>
      <c r="D31" s="2">
        <v>34.347999999999999</v>
      </c>
      <c r="E31" s="2">
        <v>2.5950000000000002</v>
      </c>
      <c r="G31" s="45">
        <f t="shared" si="17"/>
        <v>92.642777777777781</v>
      </c>
      <c r="H31" s="45">
        <f t="shared" si="18"/>
        <v>1.6169215004156579</v>
      </c>
      <c r="I31" s="45">
        <f t="shared" si="3"/>
        <v>202.75611111111112</v>
      </c>
      <c r="J31" s="40">
        <f t="shared" si="19"/>
        <v>3.5387617174283474</v>
      </c>
      <c r="K31" s="40">
        <f t="shared" si="20"/>
        <v>34.311468249148469</v>
      </c>
      <c r="L31" s="16">
        <f t="shared" si="21"/>
        <v>-1.5837457459064057</v>
      </c>
      <c r="M31" s="14">
        <v>37.9</v>
      </c>
      <c r="N31" s="17">
        <f t="shared" si="4"/>
        <v>240.65611111111113</v>
      </c>
      <c r="O31" s="17">
        <f t="shared" ca="1" si="22"/>
        <v>139.79859285432957</v>
      </c>
      <c r="P31" s="17">
        <f t="shared" ca="1" si="23"/>
        <v>380.45470396544067</v>
      </c>
      <c r="Q31" s="17">
        <f t="shared" ca="1" si="24"/>
        <v>6.6401872388972665</v>
      </c>
      <c r="R31" s="17">
        <f t="shared" ca="1" si="5"/>
        <v>11.990718041449499</v>
      </c>
      <c r="S31" s="17">
        <f t="shared" ca="1" si="6"/>
        <v>32.148087567735359</v>
      </c>
      <c r="T31" s="14">
        <f t="shared" ca="1" si="7"/>
        <v>1053629.0097180416</v>
      </c>
      <c r="U31" s="14">
        <f t="shared" ca="1" si="8"/>
        <v>467811.9260875677</v>
      </c>
      <c r="V31" s="17">
        <f t="shared" si="9"/>
        <v>1275.7502542540938</v>
      </c>
      <c r="W31" s="17">
        <f t="shared" ca="1" si="10"/>
        <v>1277.2186923301772</v>
      </c>
      <c r="X31" s="17">
        <f t="shared" ca="1" si="11"/>
        <v>1053629.0097180416</v>
      </c>
      <c r="Y31" s="17">
        <f t="shared" ca="1" si="12"/>
        <v>467811.9260875677</v>
      </c>
      <c r="Z31" s="17">
        <f t="shared" ca="1" si="13"/>
        <v>1053627.6911501561</v>
      </c>
      <c r="AA31" s="17">
        <f t="shared" ca="1" si="14"/>
        <v>467812.38172098016</v>
      </c>
      <c r="AB31" s="17">
        <f t="shared" ca="1" si="25"/>
        <v>1.3950709929469849</v>
      </c>
      <c r="AC31" s="17">
        <f t="shared" ca="1" si="15"/>
        <v>26.160784809385216</v>
      </c>
      <c r="AD31" s="17">
        <f t="shared" ca="1" si="16"/>
        <v>0.18294152344924441</v>
      </c>
      <c r="AE31" s="2">
        <f t="shared" ca="1" si="27"/>
        <v>85.83</v>
      </c>
      <c r="AF31" s="2">
        <f t="shared" ca="1" si="28"/>
        <v>0.6</v>
      </c>
      <c r="AH31" s="2">
        <v>85.83</v>
      </c>
      <c r="AI31" s="2">
        <f t="shared" ca="1" si="26"/>
        <v>0.6</v>
      </c>
      <c r="AJ31" s="2" t="str">
        <f t="shared" ca="1" si="29"/>
        <v>85.83,0.6</v>
      </c>
      <c r="AL31" s="2">
        <v>2.37</v>
      </c>
    </row>
    <row r="32" spans="1:38" x14ac:dyDescent="0.25">
      <c r="A32" s="2">
        <v>12</v>
      </c>
      <c r="B32" s="18">
        <v>8.3515046296296287</v>
      </c>
      <c r="C32" s="18">
        <v>3.8098263888888888</v>
      </c>
      <c r="D32" s="2">
        <v>70.465999999999994</v>
      </c>
      <c r="E32" s="2">
        <v>2.5950000000000002</v>
      </c>
      <c r="G32" s="45">
        <f t="shared" si="17"/>
        <v>91.435833333333335</v>
      </c>
      <c r="H32" s="45">
        <f t="shared" si="18"/>
        <v>1.5958563459714485</v>
      </c>
      <c r="I32" s="45">
        <f t="shared" si="3"/>
        <v>200.43611111111107</v>
      </c>
      <c r="J32" s="40">
        <f t="shared" si="19"/>
        <v>3.498270078782078</v>
      </c>
      <c r="K32" s="40">
        <f t="shared" si="20"/>
        <v>70.443874673234603</v>
      </c>
      <c r="L32" s="16">
        <f t="shared" si="21"/>
        <v>-1.765694487054877</v>
      </c>
      <c r="M32" s="14">
        <v>37.9</v>
      </c>
      <c r="N32" s="17">
        <f t="shared" si="4"/>
        <v>238.33611111111108</v>
      </c>
      <c r="O32" s="17">
        <f t="shared" ca="1" si="22"/>
        <v>139.79859285432957</v>
      </c>
      <c r="P32" s="17">
        <f t="shared" ca="1" si="23"/>
        <v>378.13470396544062</v>
      </c>
      <c r="Q32" s="17">
        <f t="shared" ca="1" si="24"/>
        <v>6.599695600250997</v>
      </c>
      <c r="R32" s="17">
        <f t="shared" ca="1" si="5"/>
        <v>21.925803820048884</v>
      </c>
      <c r="S32" s="17">
        <f t="shared" ca="1" si="6"/>
        <v>66.944742928949353</v>
      </c>
      <c r="T32" s="14">
        <f t="shared" ca="1" si="7"/>
        <v>1053638.9448038202</v>
      </c>
      <c r="U32" s="14">
        <f t="shared" ca="1" si="8"/>
        <v>467846.72274292895</v>
      </c>
      <c r="V32" s="17">
        <f t="shared" si="9"/>
        <v>1275.5683055129452</v>
      </c>
      <c r="W32" s="17">
        <f t="shared" ca="1" si="10"/>
        <v>1277.0367435890287</v>
      </c>
      <c r="X32" s="17">
        <f t="shared" ca="1" si="11"/>
        <v>1053638.9448038202</v>
      </c>
      <c r="Y32" s="17">
        <f t="shared" ca="1" si="12"/>
        <v>467846.72274292895</v>
      </c>
      <c r="Z32" s="17">
        <f t="shared" ca="1" si="13"/>
        <v>1053639.4923672953</v>
      </c>
      <c r="AA32" s="17">
        <f t="shared" ca="1" si="14"/>
        <v>467846.53353142366</v>
      </c>
      <c r="AB32" s="17">
        <f t="shared" ca="1" si="25"/>
        <v>0.57933302425122735</v>
      </c>
      <c r="AC32" s="17">
        <f t="shared" ca="1" si="15"/>
        <v>62.294078079383482</v>
      </c>
      <c r="AD32" s="17">
        <f ca="1">IF(ISNUMBER(X32),W32-Min_Z,"")</f>
        <v>9.927823007274128E-4</v>
      </c>
      <c r="AE32" s="2">
        <f t="shared" ca="1" si="27"/>
        <v>204.38</v>
      </c>
      <c r="AF32" s="2">
        <f t="shared" ca="1" si="28"/>
        <v>0</v>
      </c>
      <c r="AH32" s="2">
        <v>204.38</v>
      </c>
      <c r="AI32" s="2">
        <f t="shared" ca="1" si="26"/>
        <v>0</v>
      </c>
      <c r="AJ32" s="2" t="str">
        <f t="shared" ca="1" si="29"/>
        <v>204.38,0</v>
      </c>
      <c r="AL32" s="2">
        <v>2.68</v>
      </c>
    </row>
    <row r="33" spans="1:38" x14ac:dyDescent="0.25">
      <c r="A33" s="2">
        <v>13</v>
      </c>
      <c r="B33" s="18">
        <v>8.3642824074074067</v>
      </c>
      <c r="C33" s="18">
        <v>3.8064930555555558</v>
      </c>
      <c r="D33" s="2">
        <v>72.022000000000006</v>
      </c>
      <c r="E33" s="2">
        <v>2.5950000000000002</v>
      </c>
      <c r="G33" s="45">
        <f t="shared" si="17"/>
        <v>91.355833333333337</v>
      </c>
      <c r="H33" s="45">
        <f t="shared" si="18"/>
        <v>1.5944600825698532</v>
      </c>
      <c r="I33" s="45">
        <f t="shared" si="3"/>
        <v>200.74277777777775</v>
      </c>
      <c r="J33" s="40">
        <f t="shared" si="19"/>
        <v>3.5036224218215275</v>
      </c>
      <c r="K33" s="40">
        <f t="shared" si="20"/>
        <v>72.001835741128019</v>
      </c>
      <c r="L33" s="16">
        <f t="shared" si="21"/>
        <v>-1.7041519614225507</v>
      </c>
      <c r="M33" s="14">
        <v>37.9</v>
      </c>
      <c r="N33" s="17">
        <f t="shared" si="4"/>
        <v>238.64277777777775</v>
      </c>
      <c r="O33" s="17">
        <f t="shared" ca="1" si="22"/>
        <v>139.79859285432957</v>
      </c>
      <c r="P33" s="17">
        <f t="shared" ca="1" si="23"/>
        <v>378.44137063210735</v>
      </c>
      <c r="Q33" s="17">
        <f t="shared" ca="1" si="24"/>
        <v>6.6050479432904474</v>
      </c>
      <c r="R33" s="17">
        <f t="shared" ca="1" si="5"/>
        <v>22.776635481312475</v>
      </c>
      <c r="S33" s="17">
        <f t="shared" ca="1" si="6"/>
        <v>68.304386581271615</v>
      </c>
      <c r="T33" s="14">
        <f t="shared" ca="1" si="7"/>
        <v>1053639.7956354814</v>
      </c>
      <c r="U33" s="14">
        <f t="shared" ca="1" si="8"/>
        <v>467848.08238658129</v>
      </c>
      <c r="V33" s="17">
        <f t="shared" si="9"/>
        <v>1275.6298480385776</v>
      </c>
      <c r="W33" s="17">
        <f t="shared" ca="1" si="10"/>
        <v>1277.0982861146611</v>
      </c>
      <c r="X33" s="17">
        <f t="shared" ca="1" si="11"/>
        <v>1053639.7956354814</v>
      </c>
      <c r="Y33" s="17">
        <f t="shared" ca="1" si="12"/>
        <v>467848.08238658129</v>
      </c>
      <c r="Z33" s="17">
        <f t="shared" ca="1" si="13"/>
        <v>1053640.0028359001</v>
      </c>
      <c r="AA33" s="17">
        <f t="shared" ca="1" si="14"/>
        <v>467848.01078811893</v>
      </c>
      <c r="AB33" s="17">
        <f t="shared" ca="1" si="25"/>
        <v>0.2192221551702459</v>
      </c>
      <c r="AC33" s="17">
        <f t="shared" ca="1" si="15"/>
        <v>63.85704498247501</v>
      </c>
      <c r="AD33" s="17">
        <f t="shared" ca="1" si="16"/>
        <v>6.2535307933103468E-2</v>
      </c>
      <c r="AE33" s="2">
        <f t="shared" ca="1" si="27"/>
        <v>209.5</v>
      </c>
      <c r="AF33" s="2">
        <f t="shared" ca="1" si="28"/>
        <v>0.21</v>
      </c>
      <c r="AH33" s="2">
        <v>208.77</v>
      </c>
      <c r="AI33" s="2">
        <f t="shared" ca="1" si="26"/>
        <v>4.09</v>
      </c>
      <c r="AJ33" s="2" t="str">
        <f t="shared" ca="1" si="29"/>
        <v>208.77,4.09</v>
      </c>
      <c r="AL33" s="2">
        <v>3.55</v>
      </c>
    </row>
    <row r="34" spans="1:38" x14ac:dyDescent="0.25">
      <c r="A34" s="2">
        <v>14</v>
      </c>
      <c r="B34" s="18">
        <v>8.37255787037037</v>
      </c>
      <c r="C34" s="18">
        <v>3.7947685185185183</v>
      </c>
      <c r="D34" s="2">
        <v>71.905000000000001</v>
      </c>
      <c r="E34" s="2">
        <v>2.5950000000000002</v>
      </c>
      <c r="G34" s="45">
        <f t="shared" si="17"/>
        <v>91.074444444444438</v>
      </c>
      <c r="H34" s="45">
        <f t="shared" si="18"/>
        <v>1.5895489199802133</v>
      </c>
      <c r="I34" s="45">
        <f t="shared" si="3"/>
        <v>200.94138888888887</v>
      </c>
      <c r="J34" s="40">
        <f t="shared" si="19"/>
        <v>3.5070888396414608</v>
      </c>
      <c r="K34" s="40">
        <f t="shared" si="20"/>
        <v>71.892357323295812</v>
      </c>
      <c r="L34" s="16">
        <f t="shared" si="21"/>
        <v>-1.3483261844061538</v>
      </c>
      <c r="M34" s="14">
        <v>37.9</v>
      </c>
      <c r="N34" s="17">
        <f t="shared" si="4"/>
        <v>238.84138888888887</v>
      </c>
      <c r="O34" s="17">
        <f t="shared" ca="1" si="22"/>
        <v>139.79859285432957</v>
      </c>
      <c r="P34" s="17">
        <f t="shared" ca="1" si="23"/>
        <v>378.63998174321841</v>
      </c>
      <c r="Q34" s="17">
        <f t="shared" ca="1" si="24"/>
        <v>6.6085143611103803</v>
      </c>
      <c r="R34" s="17">
        <f t="shared" ca="1" si="5"/>
        <v>22.978278150234264</v>
      </c>
      <c r="S34" s="17">
        <f t="shared" ca="1" si="6"/>
        <v>68.121287236449902</v>
      </c>
      <c r="T34" s="14">
        <f t="shared" ca="1" si="7"/>
        <v>1053639.9972781504</v>
      </c>
      <c r="U34" s="14">
        <f t="shared" ca="1" si="8"/>
        <v>467847.89928723645</v>
      </c>
      <c r="V34" s="17">
        <f t="shared" si="9"/>
        <v>1275.9856738155938</v>
      </c>
      <c r="W34" s="17">
        <f t="shared" ca="1" si="10"/>
        <v>1277.4541118916773</v>
      </c>
      <c r="X34" s="17">
        <f t="shared" ca="1" si="11"/>
        <v>1053639.9972781504</v>
      </c>
      <c r="Y34" s="17">
        <f t="shared" ca="1" si="12"/>
        <v>467847.89928723645</v>
      </c>
      <c r="Z34" s="17">
        <f t="shared" ca="1" si="13"/>
        <v>1053639.9678236246</v>
      </c>
      <c r="AA34" s="17">
        <f t="shared" ca="1" si="14"/>
        <v>467847.90946529945</v>
      </c>
      <c r="AB34" s="17">
        <f t="shared" ca="1" si="25"/>
        <v>3.1163473109639905E-2</v>
      </c>
      <c r="AC34" s="17">
        <f t="shared" ca="1" si="15"/>
        <v>63.74984342847948</v>
      </c>
      <c r="AD34" s="17">
        <f t="shared" ca="1" si="16"/>
        <v>0.41836108494931068</v>
      </c>
      <c r="AE34" s="2">
        <f t="shared" ca="1" si="27"/>
        <v>209.15</v>
      </c>
      <c r="AF34" s="2">
        <f t="shared" ca="1" si="28"/>
        <v>1.37</v>
      </c>
      <c r="AG34" s="2" t="s">
        <v>92</v>
      </c>
      <c r="AH34" s="2">
        <v>209.15</v>
      </c>
      <c r="AI34" s="2">
        <f t="shared" ca="1" si="26"/>
        <v>1.37</v>
      </c>
      <c r="AJ34" s="2" t="str">
        <f t="shared" ca="1" si="29"/>
        <v>209.15,1.37</v>
      </c>
      <c r="AL34" s="2">
        <v>4.09</v>
      </c>
    </row>
    <row r="35" spans="1:38" x14ac:dyDescent="0.25">
      <c r="A35" s="2">
        <v>15</v>
      </c>
      <c r="B35" s="18">
        <v>8.3729976851851848</v>
      </c>
      <c r="C35" s="18">
        <v>3.7815277777777774</v>
      </c>
      <c r="D35" s="2">
        <v>71.971999999999994</v>
      </c>
      <c r="E35" s="2">
        <v>2.5950000000000002</v>
      </c>
      <c r="G35" s="45">
        <f t="shared" si="17"/>
        <v>90.756666666666661</v>
      </c>
      <c r="H35" s="45">
        <f t="shared" si="18"/>
        <v>1.5840026514683203</v>
      </c>
      <c r="I35" s="45">
        <f t="shared" si="3"/>
        <v>200.95194444444445</v>
      </c>
      <c r="J35" s="40">
        <f t="shared" si="19"/>
        <v>3.5072730688402829</v>
      </c>
      <c r="K35" s="40">
        <f t="shared" si="20"/>
        <v>71.965723880505877</v>
      </c>
      <c r="L35" s="16">
        <f t="shared" si="21"/>
        <v>-0.95045797107778784</v>
      </c>
      <c r="M35" s="14">
        <v>37.9</v>
      </c>
      <c r="N35" s="17">
        <f t="shared" si="4"/>
        <v>238.85194444444446</v>
      </c>
      <c r="O35" s="17">
        <f t="shared" ca="1" si="22"/>
        <v>139.79859285432957</v>
      </c>
      <c r="P35" s="17">
        <f t="shared" ca="1" si="23"/>
        <v>378.650537298774</v>
      </c>
      <c r="Q35" s="17">
        <f t="shared" ca="1" si="24"/>
        <v>6.6086985903092019</v>
      </c>
      <c r="R35" s="17">
        <f t="shared" ca="1" si="5"/>
        <v>23.014289960062079</v>
      </c>
      <c r="S35" s="17">
        <f t="shared" ca="1" si="6"/>
        <v>68.186566648273171</v>
      </c>
      <c r="T35" s="14">
        <f t="shared" ca="1" si="7"/>
        <v>1053640.0332899601</v>
      </c>
      <c r="U35" s="14">
        <f t="shared" ca="1" si="8"/>
        <v>467847.96456664824</v>
      </c>
      <c r="V35" s="17">
        <f t="shared" si="9"/>
        <v>1276.3835420289222</v>
      </c>
      <c r="W35" s="17">
        <f t="shared" ca="1" si="10"/>
        <v>1277.8519801050056</v>
      </c>
      <c r="X35" s="17">
        <f t="shared" ca="1" si="11"/>
        <v>1053640.0332899601</v>
      </c>
      <c r="Y35" s="17">
        <f t="shared" ca="1" si="12"/>
        <v>467847.96456664824</v>
      </c>
      <c r="Z35" s="17">
        <f t="shared" ca="1" si="13"/>
        <v>1053639.9918162061</v>
      </c>
      <c r="AA35" s="17">
        <f t="shared" ca="1" si="14"/>
        <v>467847.97889797622</v>
      </c>
      <c r="AB35" s="17">
        <f t="shared" ca="1" si="25"/>
        <v>4.3880055050596473E-2</v>
      </c>
      <c r="AC35" s="17">
        <f t="shared" ca="1" si="15"/>
        <v>63.823304578563665</v>
      </c>
      <c r="AD35" s="17">
        <f t="shared" ca="1" si="16"/>
        <v>0.81622929827767621</v>
      </c>
      <c r="AE35" s="2">
        <f t="shared" ca="1" si="27"/>
        <v>209.39</v>
      </c>
      <c r="AF35" s="2">
        <f t="shared" ca="1" si="28"/>
        <v>2.68</v>
      </c>
      <c r="AH35" s="2">
        <v>209.39</v>
      </c>
      <c r="AI35" s="2">
        <f t="shared" ca="1" si="26"/>
        <v>2.68</v>
      </c>
      <c r="AJ35" s="2" t="str">
        <f t="shared" ca="1" si="29"/>
        <v>209.39,2.68</v>
      </c>
      <c r="AL35" s="2">
        <v>5.0199999999999996</v>
      </c>
    </row>
    <row r="36" spans="1:38" x14ac:dyDescent="0.25">
      <c r="A36" s="2">
        <v>16</v>
      </c>
      <c r="B36" s="18">
        <v>8.3691898148148152</v>
      </c>
      <c r="C36" s="18">
        <v>3.7673032407407407</v>
      </c>
      <c r="D36" s="2">
        <v>71.778999999999996</v>
      </c>
      <c r="E36" s="2">
        <v>2.5950000000000002</v>
      </c>
      <c r="G36" s="45">
        <f t="shared" si="17"/>
        <v>90.415277777777774</v>
      </c>
      <c r="H36" s="45">
        <f t="shared" si="18"/>
        <v>1.5780442913274841</v>
      </c>
      <c r="I36" s="45">
        <f t="shared" si="3"/>
        <v>200.86055555555555</v>
      </c>
      <c r="J36" s="40">
        <f t="shared" si="19"/>
        <v>3.5056780318294325</v>
      </c>
      <c r="K36" s="40">
        <f t="shared" si="20"/>
        <v>71.777114625513931</v>
      </c>
      <c r="L36" s="16">
        <f t="shared" si="21"/>
        <v>-0.52024709113415468</v>
      </c>
      <c r="M36" s="14">
        <v>37.9</v>
      </c>
      <c r="N36" s="17">
        <f t="shared" si="4"/>
        <v>238.76055555555556</v>
      </c>
      <c r="O36" s="17">
        <f t="shared" ca="1" si="22"/>
        <v>139.79859285432957</v>
      </c>
      <c r="P36" s="17">
        <f t="shared" ca="1" si="23"/>
        <v>378.5591484098851</v>
      </c>
      <c r="Q36" s="17">
        <f t="shared" ca="1" si="24"/>
        <v>6.6071035532983515</v>
      </c>
      <c r="R36" s="17">
        <f t="shared" ca="1" si="5"/>
        <v>22.845469423936287</v>
      </c>
      <c r="S36" s="17">
        <f t="shared" ca="1" si="6"/>
        <v>68.04438779770274</v>
      </c>
      <c r="T36" s="14">
        <f t="shared" ca="1" si="7"/>
        <v>1053639.8644694241</v>
      </c>
      <c r="U36" s="14">
        <f t="shared" ca="1" si="8"/>
        <v>467847.8223877977</v>
      </c>
      <c r="V36" s="17">
        <f t="shared" si="9"/>
        <v>1276.8137529088658</v>
      </c>
      <c r="W36" s="17">
        <f t="shared" ca="1" si="10"/>
        <v>1278.2821909849492</v>
      </c>
      <c r="X36" s="17">
        <f t="shared" ca="1" si="11"/>
        <v>1053639.8644694241</v>
      </c>
      <c r="Y36" s="17">
        <f t="shared" ca="1" si="12"/>
        <v>467847.8223877977</v>
      </c>
      <c r="Z36" s="17">
        <f t="shared" ca="1" si="13"/>
        <v>1053639.9299187961</v>
      </c>
      <c r="AA36" s="17">
        <f t="shared" ca="1" si="14"/>
        <v>467847.79977165442</v>
      </c>
      <c r="AB36" s="17">
        <f t="shared" ca="1" si="25"/>
        <v>6.9246734388101042E-2</v>
      </c>
      <c r="AC36" s="17">
        <f t="shared" ca="1" si="15"/>
        <v>63.633785374952147</v>
      </c>
      <c r="AD36" s="17">
        <f t="shared" ca="1" si="16"/>
        <v>1.2464401782212917</v>
      </c>
      <c r="AE36" s="2">
        <f t="shared" ca="1" si="27"/>
        <v>208.77</v>
      </c>
      <c r="AF36" s="2">
        <f t="shared" ca="1" si="28"/>
        <v>4.09</v>
      </c>
      <c r="AH36" s="2">
        <v>209.5</v>
      </c>
      <c r="AI36" s="2">
        <f t="shared" ca="1" si="26"/>
        <v>0.21</v>
      </c>
      <c r="AJ36" s="2" t="str">
        <f t="shared" ca="1" si="29"/>
        <v>209.5,0.21</v>
      </c>
      <c r="AL36" s="2">
        <v>5.54</v>
      </c>
    </row>
    <row r="37" spans="1:38" x14ac:dyDescent="0.25">
      <c r="A37" s="2">
        <v>17</v>
      </c>
      <c r="B37" s="18">
        <v>8.375648148148148</v>
      </c>
      <c r="C37" s="18">
        <v>3.7578009259259257</v>
      </c>
      <c r="D37" s="2">
        <v>72.069000000000003</v>
      </c>
      <c r="E37" s="2">
        <v>2.5950000000000002</v>
      </c>
      <c r="G37" s="45">
        <f t="shared" si="17"/>
        <v>90.187222222222218</v>
      </c>
      <c r="H37" s="45">
        <f t="shared" si="18"/>
        <v>1.5740639710055748</v>
      </c>
      <c r="I37" s="45">
        <f t="shared" si="3"/>
        <v>201.01555555555555</v>
      </c>
      <c r="J37" s="40">
        <f t="shared" si="19"/>
        <v>3.5083832921700235</v>
      </c>
      <c r="K37" s="40">
        <f t="shared" si="20"/>
        <v>72.068615242015895</v>
      </c>
      <c r="L37" s="16">
        <f t="shared" si="21"/>
        <v>-0.23549543153515201</v>
      </c>
      <c r="M37" s="14">
        <v>37.9</v>
      </c>
      <c r="N37" s="17">
        <f t="shared" si="4"/>
        <v>238.91555555555556</v>
      </c>
      <c r="O37" s="17">
        <f t="shared" ca="1" si="22"/>
        <v>139.79859285432957</v>
      </c>
      <c r="P37" s="17">
        <f t="shared" ca="1" si="23"/>
        <v>378.71414840988513</v>
      </c>
      <c r="Q37" s="17">
        <f t="shared" ca="1" si="24"/>
        <v>6.609808813638943</v>
      </c>
      <c r="R37" s="17">
        <f t="shared" ca="1" si="5"/>
        <v>23.122990450388631</v>
      </c>
      <c r="S37" s="17">
        <f t="shared" ca="1" si="6"/>
        <v>68.258425234786671</v>
      </c>
      <c r="T37" s="14">
        <f t="shared" ca="1" si="7"/>
        <v>1053640.1419904504</v>
      </c>
      <c r="U37" s="14">
        <f t="shared" ca="1" si="8"/>
        <v>467848.03642523475</v>
      </c>
      <c r="V37" s="17">
        <f t="shared" si="9"/>
        <v>1277.0985045684649</v>
      </c>
      <c r="W37" s="17">
        <f t="shared" ca="1" si="10"/>
        <v>1278.5669426445484</v>
      </c>
      <c r="X37" s="17">
        <f t="shared" ca="1" si="11"/>
        <v>1053640.1419904504</v>
      </c>
      <c r="Y37" s="17">
        <f t="shared" ca="1" si="12"/>
        <v>467848.03642523475</v>
      </c>
      <c r="Z37" s="17">
        <f t="shared" ca="1" si="13"/>
        <v>1053640.0255933604</v>
      </c>
      <c r="AA37" s="17">
        <f t="shared" ca="1" si="14"/>
        <v>467848.07664645044</v>
      </c>
      <c r="AB37" s="17">
        <f t="shared" ca="1" si="25"/>
        <v>0.12315043141462058</v>
      </c>
      <c r="AC37" s="17">
        <f t="shared" ca="1" si="15"/>
        <v>63.926724404339168</v>
      </c>
      <c r="AD37" s="17">
        <f t="shared" ca="1" si="16"/>
        <v>1.5311918378204155</v>
      </c>
      <c r="AE37" s="2">
        <f t="shared" ca="1" si="27"/>
        <v>209.73</v>
      </c>
      <c r="AF37" s="2">
        <f t="shared" ca="1" si="28"/>
        <v>5.0199999999999996</v>
      </c>
      <c r="AH37" s="2">
        <v>209.73</v>
      </c>
      <c r="AI37" s="2">
        <f t="shared" ca="1" si="26"/>
        <v>5.0199999999999996</v>
      </c>
      <c r="AJ37" s="2" t="str">
        <f t="shared" ca="1" si="29"/>
        <v>209.73,5.02</v>
      </c>
      <c r="AL37" s="2">
        <v>7.63</v>
      </c>
    </row>
    <row r="38" spans="1:38" x14ac:dyDescent="0.25">
      <c r="A38" s="2">
        <v>18</v>
      </c>
      <c r="B38" s="18">
        <v>14.999386574074073</v>
      </c>
      <c r="C38" s="18">
        <v>3.556539351851852</v>
      </c>
      <c r="D38" s="2">
        <v>16.687000000000001</v>
      </c>
      <c r="E38" s="2">
        <v>2.5950000000000002</v>
      </c>
      <c r="F38" s="40" t="s">
        <v>71</v>
      </c>
      <c r="G38" s="45">
        <f t="shared" si="17"/>
        <v>85.356944444444451</v>
      </c>
      <c r="H38" s="45">
        <f t="shared" si="18"/>
        <v>1.4897597199974377</v>
      </c>
      <c r="I38" s="45">
        <f t="shared" si="3"/>
        <v>359.98527777777775</v>
      </c>
      <c r="J38" s="40">
        <f t="shared" si="19"/>
        <v>6.2829283559285978</v>
      </c>
      <c r="K38" s="40">
        <f t="shared" si="20"/>
        <v>16.632238783457446</v>
      </c>
      <c r="L38" s="16">
        <f t="shared" si="21"/>
        <v>1.3507783126975499</v>
      </c>
      <c r="M38" s="14">
        <v>37.9</v>
      </c>
      <c r="N38" s="17">
        <f t="shared" si="4"/>
        <v>397.88527777777773</v>
      </c>
      <c r="O38" s="17">
        <f t="shared" ca="1" si="22"/>
        <v>139.79859285432957</v>
      </c>
      <c r="P38" s="17">
        <f t="shared" ca="1" si="23"/>
        <v>537.6838706321073</v>
      </c>
      <c r="Q38" s="17">
        <f t="shared" ca="1" si="24"/>
        <v>9.3843538773975173</v>
      </c>
      <c r="R38" s="17">
        <f t="shared" ca="1" si="5"/>
        <v>0.67215990885572352</v>
      </c>
      <c r="S38" s="17">
        <f t="shared" ca="1" si="6"/>
        <v>-16.618651209014317</v>
      </c>
      <c r="T38" s="14">
        <f t="shared" ca="1" si="7"/>
        <v>1053617.6911599089</v>
      </c>
      <c r="U38" s="14">
        <f t="shared" ca="1" si="8"/>
        <v>467763.159348791</v>
      </c>
      <c r="V38" s="17">
        <f t="shared" si="9"/>
        <v>1278.6847783126975</v>
      </c>
      <c r="W38" s="17">
        <f t="shared" ca="1" si="10"/>
        <v>1280.1532163887809</v>
      </c>
      <c r="X38" s="17" t="str">
        <f t="shared" si="11"/>
        <v/>
      </c>
      <c r="Y38" s="17" t="str">
        <f t="shared" si="12"/>
        <v/>
      </c>
      <c r="Z38" s="17" t="str">
        <f t="shared" si="13"/>
        <v/>
      </c>
      <c r="AA38" s="17" t="str">
        <f t="shared" si="14"/>
        <v/>
      </c>
      <c r="AB38" s="17" t="str">
        <f t="shared" si="25"/>
        <v/>
      </c>
      <c r="AC38" s="17" t="str">
        <f t="shared" ca="1" si="15"/>
        <v/>
      </c>
      <c r="AD38" s="17" t="str">
        <f t="shared" si="16"/>
        <v/>
      </c>
      <c r="AE38" s="2" t="e">
        <f t="shared" ca="1" si="27"/>
        <v>#VALUE!</v>
      </c>
      <c r="AF38" s="2" t="e">
        <f t="shared" si="28"/>
        <v>#VALUE!</v>
      </c>
    </row>
    <row r="39" spans="1:38" x14ac:dyDescent="0.25">
      <c r="A39" s="2">
        <v>19</v>
      </c>
      <c r="B39" s="18">
        <v>3.5245601851851851</v>
      </c>
      <c r="C39" s="18">
        <v>3.5793865740740745</v>
      </c>
      <c r="D39" s="2">
        <v>12.904</v>
      </c>
      <c r="E39" s="2">
        <v>2.5950000000000002</v>
      </c>
      <c r="F39" s="40" t="s">
        <v>72</v>
      </c>
      <c r="G39" s="45">
        <f t="shared" si="17"/>
        <v>85.905277777777783</v>
      </c>
      <c r="H39" s="45">
        <f t="shared" si="18"/>
        <v>1.4993299420625399</v>
      </c>
      <c r="I39" s="45">
        <f t="shared" si="3"/>
        <v>84.589444444444439</v>
      </c>
      <c r="J39" s="40">
        <f t="shared" si="19"/>
        <v>1.476364317988381</v>
      </c>
      <c r="K39" s="40">
        <f t="shared" si="20"/>
        <v>12.871060793542782</v>
      </c>
      <c r="L39" s="16">
        <f t="shared" si="21"/>
        <v>0.92141741297082602</v>
      </c>
      <c r="M39" s="14">
        <v>37.9</v>
      </c>
      <c r="N39" s="17">
        <f t="shared" si="4"/>
        <v>122.48944444444444</v>
      </c>
      <c r="O39" s="17">
        <f t="shared" ca="1" si="22"/>
        <v>139.79859285432957</v>
      </c>
      <c r="P39" s="17">
        <f t="shared" ca="1" si="23"/>
        <v>262.28803729877404</v>
      </c>
      <c r="Q39" s="17">
        <f t="shared" ca="1" si="24"/>
        <v>4.5777898394573011</v>
      </c>
      <c r="R39" s="17">
        <f t="shared" ca="1" si="5"/>
        <v>-12.754644665832998</v>
      </c>
      <c r="S39" s="17">
        <f t="shared" ca="1" si="6"/>
        <v>-1.7272073990728525</v>
      </c>
      <c r="T39" s="14">
        <f t="shared" ca="1" si="7"/>
        <v>1053604.2643553342</v>
      </c>
      <c r="U39" s="14">
        <f t="shared" ca="1" si="8"/>
        <v>467778.0507926009</v>
      </c>
      <c r="V39" s="17">
        <f t="shared" si="9"/>
        <v>1278.2554174129709</v>
      </c>
      <c r="W39" s="17">
        <f t="shared" ca="1" si="10"/>
        <v>1279.7238554890544</v>
      </c>
      <c r="X39" s="17" t="str">
        <f t="shared" si="11"/>
        <v/>
      </c>
      <c r="Y39" s="17" t="str">
        <f t="shared" si="12"/>
        <v/>
      </c>
      <c r="Z39" s="17" t="str">
        <f t="shared" si="13"/>
        <v/>
      </c>
      <c r="AA39" s="17" t="str">
        <f t="shared" si="14"/>
        <v/>
      </c>
      <c r="AB39" s="17" t="str">
        <f t="shared" si="25"/>
        <v/>
      </c>
      <c r="AC39" s="17" t="str">
        <f t="shared" ca="1" si="15"/>
        <v/>
      </c>
      <c r="AD39" s="17" t="str">
        <f t="shared" si="16"/>
        <v/>
      </c>
      <c r="AE39" s="2" t="e">
        <f t="shared" ca="1" si="27"/>
        <v>#VALUE!</v>
      </c>
      <c r="AF39" s="2" t="e">
        <f t="shared" si="28"/>
        <v>#VALUE!</v>
      </c>
    </row>
    <row r="40" spans="1:38" x14ac:dyDescent="0.25">
      <c r="A40" s="40"/>
      <c r="B40" s="41"/>
      <c r="E40" s="17"/>
      <c r="G40" s="45"/>
      <c r="H40" s="45"/>
      <c r="I40" s="45"/>
      <c r="J40" s="40"/>
      <c r="K40" s="40"/>
      <c r="L40" s="16"/>
      <c r="M40" s="14"/>
      <c r="T40" s="14"/>
      <c r="U40" s="14"/>
      <c r="AB40" s="17"/>
      <c r="AC40" s="17"/>
      <c r="AD40" s="17"/>
    </row>
    <row r="41" spans="1:38" x14ac:dyDescent="0.25">
      <c r="A41" s="40"/>
      <c r="E41" s="17"/>
      <c r="G41" s="45"/>
      <c r="H41" s="45"/>
      <c r="I41" s="45"/>
      <c r="J41" s="40"/>
      <c r="K41" s="40"/>
      <c r="L41" s="16"/>
      <c r="M41" s="14"/>
      <c r="T41" s="14"/>
      <c r="U41" s="14"/>
      <c r="AB41" s="17"/>
      <c r="AC41" s="17"/>
      <c r="AD41" s="17"/>
    </row>
    <row r="42" spans="1:38" x14ac:dyDescent="0.25">
      <c r="A42" s="40"/>
      <c r="E42" s="17"/>
      <c r="G42" s="45"/>
      <c r="H42" s="45"/>
      <c r="I42" s="45"/>
      <c r="J42" s="40"/>
      <c r="K42" s="40"/>
      <c r="L42" s="16"/>
      <c r="M42" s="14"/>
      <c r="T42" s="14"/>
      <c r="U42" s="14"/>
      <c r="AB42" s="17"/>
      <c r="AC42" s="17"/>
      <c r="AD42" s="17"/>
    </row>
    <row r="43" spans="1:38" x14ac:dyDescent="0.25">
      <c r="A43" s="40"/>
      <c r="E43" s="17"/>
      <c r="G43" s="45"/>
      <c r="H43" s="45"/>
      <c r="I43" s="45"/>
      <c r="J43" s="40"/>
      <c r="K43" s="40"/>
      <c r="L43" s="16"/>
      <c r="M43" s="14"/>
      <c r="T43" s="14"/>
      <c r="U43" s="14"/>
      <c r="AB43" s="17"/>
      <c r="AC43" s="17"/>
      <c r="AD43" s="17"/>
    </row>
    <row r="44" spans="1:38" x14ac:dyDescent="0.25">
      <c r="A44" s="40"/>
      <c r="E44" s="17"/>
      <c r="G44" s="45"/>
      <c r="H44" s="45"/>
      <c r="I44" s="45"/>
      <c r="J44" s="40"/>
      <c r="K44" s="40"/>
      <c r="L44" s="16"/>
      <c r="M44" s="14"/>
      <c r="T44" s="14"/>
      <c r="U44" s="14"/>
      <c r="AB44" s="17"/>
      <c r="AC44" s="17"/>
      <c r="AD44" s="17"/>
    </row>
    <row r="45" spans="1:38" x14ac:dyDescent="0.25">
      <c r="A45" s="40"/>
      <c r="E45" s="17"/>
      <c r="G45" s="45"/>
      <c r="H45" s="45"/>
      <c r="I45" s="45"/>
      <c r="J45" s="40"/>
      <c r="K45" s="40"/>
      <c r="L45" s="16"/>
      <c r="M45" s="14"/>
      <c r="T45" s="14"/>
      <c r="U45" s="14"/>
      <c r="AB45" s="17"/>
      <c r="AC45" s="17"/>
      <c r="AD45" s="17"/>
    </row>
    <row r="46" spans="1:38" x14ac:dyDescent="0.25">
      <c r="A46" s="40"/>
      <c r="E46" s="17"/>
      <c r="G46" s="45"/>
      <c r="H46" s="45"/>
      <c r="I46" s="45"/>
      <c r="J46" s="40"/>
      <c r="K46" s="40"/>
      <c r="L46" s="16"/>
      <c r="M46" s="14"/>
      <c r="T46" s="14"/>
      <c r="U46" s="14"/>
      <c r="AB46" s="17"/>
      <c r="AC46" s="17"/>
      <c r="AD46" s="17"/>
    </row>
    <row r="47" spans="1:38" x14ac:dyDescent="0.25">
      <c r="A47" s="40"/>
      <c r="E47" s="17"/>
      <c r="G47" s="45"/>
      <c r="H47" s="45"/>
      <c r="I47" s="45"/>
      <c r="J47" s="40"/>
      <c r="K47" s="40"/>
      <c r="L47" s="16"/>
      <c r="M47" s="14"/>
      <c r="T47" s="14"/>
      <c r="U47" s="14"/>
      <c r="AB47" s="17"/>
      <c r="AC47" s="17"/>
      <c r="AD47" s="17"/>
    </row>
    <row r="48" spans="1:38" x14ac:dyDescent="0.25">
      <c r="A48" s="40"/>
      <c r="E48" s="17"/>
      <c r="G48" s="45"/>
      <c r="H48" s="45"/>
      <c r="I48" s="45"/>
      <c r="J48" s="40"/>
      <c r="K48" s="40"/>
      <c r="L48" s="16"/>
      <c r="M48" s="14"/>
      <c r="T48" s="14"/>
      <c r="U48" s="14"/>
      <c r="AB48" s="17"/>
      <c r="AC48" s="17"/>
      <c r="AD48" s="17"/>
    </row>
    <row r="49" spans="1:31" x14ac:dyDescent="0.25">
      <c r="A49" s="40"/>
      <c r="E49" s="17"/>
      <c r="G49" s="45"/>
      <c r="H49" s="45"/>
      <c r="I49" s="45"/>
      <c r="J49" s="40"/>
      <c r="K49" s="40"/>
      <c r="L49" s="16"/>
      <c r="M49" s="14"/>
      <c r="T49" s="14"/>
      <c r="U49" s="14"/>
      <c r="AB49" s="17"/>
      <c r="AC49" s="17"/>
      <c r="AD49" s="17"/>
    </row>
    <row r="50" spans="1:31" x14ac:dyDescent="0.25">
      <c r="A50" s="40"/>
      <c r="E50" s="17"/>
      <c r="F50" s="40"/>
      <c r="G50" s="45"/>
      <c r="H50" s="45"/>
      <c r="I50" s="45"/>
      <c r="J50" s="40"/>
      <c r="K50" s="40"/>
      <c r="L50" s="16"/>
      <c r="M50" s="14"/>
      <c r="T50" s="14"/>
      <c r="U50" s="14"/>
      <c r="AB50" s="17"/>
      <c r="AC50" s="17"/>
      <c r="AD50" s="17"/>
    </row>
    <row r="51" spans="1:31" x14ac:dyDescent="0.25">
      <c r="A51" s="40"/>
      <c r="E51" s="17"/>
      <c r="F51" s="40"/>
      <c r="G51" s="45"/>
      <c r="H51" s="45"/>
      <c r="I51" s="45"/>
      <c r="J51" s="40"/>
      <c r="K51" s="40"/>
      <c r="L51" s="16"/>
      <c r="M51" s="14"/>
      <c r="T51" s="14"/>
      <c r="U51" s="14"/>
      <c r="AB51" s="17"/>
      <c r="AC51" s="17"/>
      <c r="AD51" s="17"/>
    </row>
    <row r="52" spans="1:31" x14ac:dyDescent="0.25">
      <c r="L52" s="17"/>
      <c r="AE52" s="17"/>
    </row>
    <row r="53" spans="1:31" x14ac:dyDescent="0.25">
      <c r="AE53" s="17"/>
    </row>
    <row r="54" spans="1:31" x14ac:dyDescent="0.25">
      <c r="A54" s="12"/>
      <c r="B54" s="12"/>
      <c r="C54" s="3"/>
      <c r="D54"/>
      <c r="E54"/>
      <c r="F54"/>
      <c r="G54" s="10"/>
      <c r="H54" s="10"/>
      <c r="I54"/>
      <c r="J54"/>
      <c r="K54"/>
      <c r="L54"/>
      <c r="M54"/>
      <c r="V54" s="2"/>
      <c r="W54" s="2"/>
      <c r="X54" s="2"/>
      <c r="Y54" s="2"/>
      <c r="Z54" s="2"/>
    </row>
    <row r="55" spans="1:31" x14ac:dyDescent="0.25">
      <c r="A55" s="18"/>
      <c r="C55" s="2"/>
      <c r="D55" s="43"/>
      <c r="E55" s="43"/>
      <c r="F55" s="43"/>
      <c r="G55" s="43"/>
      <c r="H55" s="43"/>
      <c r="I55"/>
      <c r="J55"/>
      <c r="K55"/>
      <c r="L55"/>
      <c r="M55"/>
      <c r="V55" s="2"/>
      <c r="W55" s="14"/>
      <c r="X55" s="2"/>
      <c r="Y55" s="2"/>
      <c r="Z55" s="2"/>
    </row>
    <row r="56" spans="1:31" x14ac:dyDescent="0.25">
      <c r="A56" s="41"/>
      <c r="C56" s="2"/>
      <c r="D56" s="43"/>
      <c r="E56" s="43"/>
      <c r="F56" s="43"/>
      <c r="G56" s="43"/>
      <c r="H56" s="43"/>
      <c r="I56" s="10"/>
      <c r="J56" s="10"/>
      <c r="K56" s="10"/>
      <c r="L56" s="10"/>
      <c r="M56" s="10"/>
      <c r="V56" s="2"/>
      <c r="W56" s="14"/>
      <c r="X56" s="2"/>
      <c r="Y56" s="2"/>
      <c r="Z56" s="2"/>
    </row>
    <row r="57" spans="1:31" x14ac:dyDescent="0.25">
      <c r="A57" s="41"/>
      <c r="C57" s="2"/>
      <c r="D57" s="43"/>
      <c r="E57" s="43"/>
      <c r="F57" s="43"/>
      <c r="G57" s="43"/>
      <c r="H57" s="43"/>
      <c r="I57" s="10"/>
      <c r="J57" s="10"/>
      <c r="K57" s="10"/>
      <c r="L57" s="10"/>
      <c r="M57" s="10"/>
      <c r="V57" s="2"/>
      <c r="W57" s="14"/>
      <c r="X57" s="2"/>
      <c r="Y57" s="2"/>
      <c r="Z57" s="2"/>
    </row>
    <row r="58" spans="1:31" x14ac:dyDescent="0.25">
      <c r="A58" s="41"/>
      <c r="C58" s="2"/>
      <c r="D58" s="43"/>
      <c r="E58" s="43"/>
      <c r="F58" s="43"/>
      <c r="G58" s="43"/>
      <c r="H58" s="43"/>
      <c r="I58" s="10"/>
      <c r="J58" s="10"/>
      <c r="K58" s="10"/>
      <c r="L58" s="10"/>
      <c r="M58" s="10"/>
      <c r="V58" s="2"/>
      <c r="W58" s="14"/>
      <c r="X58" s="2"/>
      <c r="Y58" s="2"/>
      <c r="Z58" s="2"/>
    </row>
    <row r="59" spans="1:31" x14ac:dyDescent="0.25">
      <c r="A59" s="41"/>
      <c r="C59" s="2"/>
      <c r="D59" s="43"/>
      <c r="E59" s="43"/>
      <c r="F59" s="43"/>
      <c r="G59" s="43"/>
      <c r="H59" s="43"/>
      <c r="I59" s="10"/>
      <c r="J59" s="10"/>
      <c r="K59" s="10"/>
      <c r="L59" s="10"/>
      <c r="M59" s="10"/>
      <c r="V59" s="2"/>
      <c r="W59" s="14"/>
      <c r="X59" s="2"/>
      <c r="Y59" s="2"/>
      <c r="Z59" s="2"/>
    </row>
    <row r="60" spans="1:31" x14ac:dyDescent="0.25">
      <c r="A60" s="41"/>
      <c r="C60" s="2"/>
      <c r="D60" s="43"/>
      <c r="E60" s="43"/>
      <c r="F60" s="43"/>
      <c r="G60" s="43"/>
      <c r="H60" s="43"/>
      <c r="I60" s="10"/>
      <c r="J60" s="10"/>
      <c r="K60" s="10"/>
      <c r="L60" s="10"/>
      <c r="M60" s="10"/>
      <c r="V60" s="2"/>
      <c r="W60" s="14"/>
      <c r="X60" s="2"/>
      <c r="Y60" s="2"/>
      <c r="Z60" s="2"/>
    </row>
    <row r="61" spans="1:31" x14ac:dyDescent="0.25">
      <c r="A61" s="41"/>
      <c r="C61" s="2"/>
      <c r="D61" s="43"/>
      <c r="E61" s="43"/>
      <c r="F61" s="43"/>
      <c r="G61" s="43"/>
      <c r="H61" s="43"/>
      <c r="I61" s="10"/>
      <c r="J61" s="10"/>
      <c r="K61" s="10"/>
      <c r="L61" s="10"/>
      <c r="M61" s="10"/>
      <c r="V61" s="2"/>
      <c r="W61" s="14"/>
      <c r="X61" s="2"/>
      <c r="Y61" s="2"/>
      <c r="Z61" s="2"/>
    </row>
    <row r="62" spans="1:31" x14ac:dyDescent="0.25">
      <c r="A62" s="41"/>
      <c r="C62" s="2"/>
      <c r="D62" s="43"/>
      <c r="E62" s="43"/>
      <c r="F62" s="43"/>
      <c r="G62" s="43"/>
      <c r="H62" s="43"/>
      <c r="I62" s="10"/>
      <c r="J62" s="10"/>
      <c r="K62" s="10"/>
      <c r="L62" s="10"/>
      <c r="M62" s="10"/>
      <c r="V62" s="2"/>
      <c r="W62" s="14"/>
      <c r="X62" s="2"/>
      <c r="Y62" s="2"/>
      <c r="Z62" s="2"/>
    </row>
    <row r="63" spans="1:31" x14ac:dyDescent="0.25">
      <c r="A63" s="41"/>
      <c r="C63" s="2"/>
      <c r="D63" s="43"/>
      <c r="E63" s="43"/>
      <c r="F63" s="43"/>
      <c r="G63" s="43"/>
      <c r="H63" s="43"/>
      <c r="I63" s="10"/>
      <c r="J63" s="10"/>
      <c r="K63" s="10"/>
      <c r="L63" s="10"/>
      <c r="M63" s="10"/>
      <c r="V63" s="2"/>
      <c r="W63" s="14"/>
      <c r="X63" s="2"/>
      <c r="Y63" s="2"/>
      <c r="Z63" s="2"/>
    </row>
    <row r="64" spans="1:31" x14ac:dyDescent="0.25">
      <c r="A64" s="41"/>
      <c r="C64" s="2"/>
      <c r="D64" s="43"/>
      <c r="E64" s="43"/>
      <c r="F64" s="43"/>
      <c r="G64" s="43"/>
      <c r="H64" s="43"/>
      <c r="I64" s="10"/>
      <c r="J64" s="10"/>
      <c r="K64" s="10"/>
      <c r="L64" s="10"/>
      <c r="M64" s="10"/>
      <c r="V64" s="2"/>
      <c r="W64" s="14"/>
      <c r="X64" s="2"/>
      <c r="Y64" s="2"/>
      <c r="Z64" s="2"/>
    </row>
    <row r="65" spans="1:27" x14ac:dyDescent="0.25">
      <c r="A65" s="41"/>
      <c r="C65" s="2"/>
      <c r="D65" s="43"/>
      <c r="E65" s="43"/>
      <c r="F65" s="43"/>
      <c r="G65" s="43"/>
      <c r="H65" s="43"/>
      <c r="I65" s="10"/>
      <c r="J65" s="10"/>
      <c r="K65" s="10"/>
      <c r="L65" s="10"/>
      <c r="M65" s="10"/>
      <c r="V65" s="2"/>
      <c r="W65" s="14"/>
      <c r="X65" s="2"/>
      <c r="Y65" s="2"/>
      <c r="Z65" s="2"/>
    </row>
    <row r="66" spans="1:27" x14ac:dyDescent="0.25">
      <c r="A66" s="41"/>
      <c r="C66" s="2"/>
      <c r="D66" s="43"/>
      <c r="E66" s="43"/>
      <c r="F66" s="43"/>
      <c r="G66" s="43"/>
      <c r="H66" s="43"/>
      <c r="I66" s="10"/>
      <c r="J66" s="10"/>
      <c r="K66" s="10"/>
      <c r="L66" s="10"/>
      <c r="M66" s="10"/>
      <c r="V66" s="2"/>
      <c r="W66" s="14"/>
      <c r="X66" s="2"/>
      <c r="Y66" s="2"/>
      <c r="Z66" s="2"/>
    </row>
    <row r="67" spans="1:27" x14ac:dyDescent="0.25">
      <c r="A67" s="41"/>
      <c r="C67" s="2"/>
      <c r="D67" s="43"/>
      <c r="E67" s="43"/>
      <c r="F67" s="43"/>
      <c r="G67" s="43"/>
      <c r="H67" s="43"/>
      <c r="I67" s="10"/>
      <c r="J67" s="10"/>
      <c r="K67" s="10"/>
      <c r="L67" s="10"/>
      <c r="M67" s="10"/>
      <c r="V67" s="2"/>
      <c r="W67" s="14"/>
      <c r="X67" s="2"/>
      <c r="Y67" s="2"/>
      <c r="Z67" s="2"/>
    </row>
    <row r="68" spans="1:27" x14ac:dyDescent="0.25">
      <c r="A68" s="41"/>
      <c r="C68" s="2"/>
      <c r="D68" s="43"/>
      <c r="E68" s="43"/>
      <c r="F68" s="43"/>
      <c r="G68" s="43"/>
      <c r="H68" s="43"/>
      <c r="I68" s="10"/>
      <c r="J68" s="10"/>
      <c r="K68" s="10"/>
      <c r="L68" s="10"/>
      <c r="M68" s="10"/>
      <c r="V68" s="2"/>
      <c r="W68" s="14"/>
      <c r="X68" s="2"/>
      <c r="Y68" s="2"/>
      <c r="Z68" s="2"/>
      <c r="AA68" s="2"/>
    </row>
    <row r="69" spans="1:27" x14ac:dyDescent="0.25">
      <c r="A69" s="41"/>
      <c r="C69" s="2"/>
      <c r="D69" s="43"/>
      <c r="E69" s="43"/>
      <c r="F69" s="43"/>
      <c r="G69" s="43"/>
      <c r="H69" s="43"/>
      <c r="I69" s="10"/>
      <c r="J69" s="10"/>
      <c r="K69" s="10"/>
      <c r="L69" s="10"/>
      <c r="M69" s="10"/>
      <c r="V69" s="2"/>
      <c r="W69" s="14"/>
      <c r="X69" s="2"/>
      <c r="Y69" s="2"/>
      <c r="Z69" s="2"/>
      <c r="AA69" s="2"/>
    </row>
    <row r="70" spans="1:27" x14ac:dyDescent="0.25">
      <c r="A70" s="41"/>
      <c r="C70" s="2"/>
      <c r="D70" s="43"/>
      <c r="E70" s="43"/>
      <c r="F70" s="43"/>
      <c r="G70" s="43"/>
      <c r="H70" s="43"/>
      <c r="I70" s="10"/>
      <c r="J70" s="10"/>
      <c r="K70" s="10"/>
      <c r="L70" s="10"/>
      <c r="M70" s="10"/>
      <c r="V70" s="2"/>
      <c r="W70" s="14"/>
      <c r="X70" s="2"/>
      <c r="Y70" s="2"/>
      <c r="Z70" s="2"/>
      <c r="AA70" s="2"/>
    </row>
    <row r="71" spans="1:27" x14ac:dyDescent="0.25">
      <c r="A71" s="41"/>
      <c r="C71" s="2"/>
      <c r="D71" s="43"/>
      <c r="E71" s="43"/>
      <c r="F71" s="43"/>
      <c r="G71" s="43"/>
      <c r="H71" s="43"/>
      <c r="I71" s="10"/>
      <c r="J71" s="10"/>
      <c r="K71" s="10"/>
      <c r="L71" s="10"/>
      <c r="M71" s="10"/>
      <c r="W71" s="2"/>
      <c r="X71" s="14"/>
      <c r="Y71" s="2"/>
      <c r="Z71" s="2"/>
      <c r="AA71" s="2"/>
    </row>
    <row r="72" spans="1:27" x14ac:dyDescent="0.25">
      <c r="A72" s="41"/>
      <c r="C72" s="2"/>
      <c r="D72" s="43"/>
      <c r="E72" s="43"/>
      <c r="F72" s="43"/>
      <c r="G72" s="43"/>
      <c r="H72" s="43"/>
      <c r="I72" s="10"/>
      <c r="J72" s="10"/>
      <c r="K72" s="10"/>
      <c r="L72" s="10"/>
      <c r="M72" s="10"/>
      <c r="W72" s="2"/>
      <c r="X72" s="14"/>
      <c r="Y72" s="2"/>
      <c r="Z72" s="2"/>
      <c r="AA72" s="2"/>
    </row>
    <row r="73" spans="1:27" x14ac:dyDescent="0.25">
      <c r="A73" s="41"/>
      <c r="C73" s="2"/>
      <c r="D73" s="43"/>
      <c r="E73" s="43"/>
      <c r="F73" s="43"/>
      <c r="G73" s="43"/>
      <c r="H73" s="43"/>
      <c r="I73" s="10"/>
      <c r="J73" s="10"/>
      <c r="K73" s="10"/>
      <c r="L73" s="10"/>
      <c r="M73" s="10"/>
      <c r="W73" s="2"/>
      <c r="X73" s="14"/>
      <c r="Y73" s="2"/>
      <c r="Z73" s="2"/>
      <c r="AA73" s="2"/>
    </row>
    <row r="74" spans="1:27" x14ac:dyDescent="0.25">
      <c r="A74" s="41"/>
      <c r="C74" s="2"/>
      <c r="D74" s="43"/>
      <c r="E74" s="43"/>
      <c r="F74" s="43"/>
      <c r="G74" s="43"/>
      <c r="H74" s="43"/>
      <c r="I74" s="10"/>
      <c r="J74" s="10"/>
      <c r="K74" s="10"/>
      <c r="L74" s="10"/>
      <c r="M74" s="10"/>
      <c r="X74" s="14"/>
      <c r="Y74" s="2"/>
      <c r="Z74" s="2"/>
      <c r="AA74" s="2"/>
    </row>
    <row r="75" spans="1:27" x14ac:dyDescent="0.25">
      <c r="A75" s="18"/>
      <c r="C75" s="2"/>
      <c r="D75" s="43"/>
      <c r="E75" s="43"/>
      <c r="F75" s="43"/>
      <c r="G75" s="43"/>
      <c r="H75" s="43"/>
      <c r="I75" s="10"/>
      <c r="J75" s="10"/>
      <c r="K75" s="10"/>
      <c r="L75" s="10"/>
      <c r="M75" s="10"/>
      <c r="X75" s="14"/>
      <c r="Y75" s="2"/>
      <c r="Z75" s="2"/>
      <c r="AA75" s="2"/>
    </row>
    <row r="76" spans="1:27" x14ac:dyDescent="0.25">
      <c r="A76" s="18"/>
      <c r="C76" s="2"/>
      <c r="D76" s="43"/>
      <c r="E76" s="43"/>
      <c r="F76" s="43"/>
      <c r="G76" s="43"/>
      <c r="H76" s="43"/>
      <c r="I76" s="10"/>
      <c r="J76" s="10"/>
      <c r="K76" s="10"/>
      <c r="L76" s="10"/>
      <c r="M76" s="10"/>
      <c r="X76" s="14"/>
      <c r="Y76" s="2"/>
      <c r="Z76" s="2"/>
      <c r="AA76" s="2"/>
    </row>
    <row r="77" spans="1:27" x14ac:dyDescent="0.25">
      <c r="A77" s="18"/>
      <c r="C77" s="2"/>
      <c r="D77" s="43"/>
      <c r="E77" s="43"/>
      <c r="F77" s="43"/>
      <c r="G77" s="43"/>
      <c r="H77" s="43"/>
      <c r="I77" s="10"/>
      <c r="J77" s="10"/>
      <c r="K77" s="10"/>
      <c r="L77" s="10"/>
      <c r="M77" s="10"/>
      <c r="X77" s="14"/>
      <c r="Y77" s="2"/>
      <c r="Z77" s="2"/>
      <c r="AA77" s="2"/>
    </row>
    <row r="78" spans="1:27" x14ac:dyDescent="0.25">
      <c r="A78" s="18"/>
      <c r="C78" s="2"/>
      <c r="D78" s="43"/>
      <c r="E78" s="43"/>
      <c r="F78" s="43"/>
      <c r="G78" s="43"/>
      <c r="H78" s="43"/>
      <c r="I78" s="10"/>
      <c r="J78" s="10"/>
      <c r="K78" s="10"/>
      <c r="L78" s="10"/>
      <c r="M78" s="10"/>
      <c r="X78" s="14"/>
      <c r="Y78" s="2"/>
      <c r="Z78" s="2"/>
      <c r="AA78" s="2"/>
    </row>
    <row r="79" spans="1:27" x14ac:dyDescent="0.25">
      <c r="A79" s="18"/>
      <c r="C79" s="2"/>
      <c r="D79" s="43"/>
      <c r="E79" s="43"/>
      <c r="F79" s="43"/>
      <c r="G79" s="43"/>
      <c r="H79" s="43"/>
      <c r="I79" s="10"/>
      <c r="J79" s="10"/>
      <c r="K79" s="10"/>
      <c r="L79" s="10"/>
      <c r="M79" s="10"/>
      <c r="X79" s="14"/>
      <c r="Y79" s="2"/>
      <c r="Z79" s="2"/>
      <c r="AA79" s="2"/>
    </row>
    <row r="80" spans="1:27" x14ac:dyDescent="0.25">
      <c r="A80" s="18"/>
      <c r="C80" s="2"/>
      <c r="D80" s="43"/>
      <c r="E80" s="43"/>
      <c r="F80" s="43"/>
      <c r="G80" s="43"/>
      <c r="H80" s="43"/>
      <c r="I80" s="10"/>
      <c r="J80" s="10"/>
      <c r="K80" s="10"/>
      <c r="L80" s="10"/>
      <c r="M80" s="10"/>
      <c r="X80" s="14"/>
      <c r="Y80" s="2"/>
      <c r="Z80" s="2"/>
      <c r="AA80" s="2"/>
    </row>
    <row r="81" spans="1:27" x14ac:dyDescent="0.25">
      <c r="A81" s="18"/>
      <c r="C81" s="2"/>
      <c r="D81" s="43"/>
      <c r="E81" s="43"/>
      <c r="F81" s="43"/>
      <c r="G81" s="43"/>
      <c r="H81" s="43"/>
      <c r="I81" s="10"/>
      <c r="J81" s="10"/>
      <c r="K81" s="10"/>
      <c r="L81" s="10"/>
      <c r="M81" s="10"/>
      <c r="X81" s="14"/>
      <c r="Y81" s="2"/>
      <c r="Z81" s="2"/>
      <c r="AA81" s="2"/>
    </row>
    <row r="82" spans="1:27" x14ac:dyDescent="0.25">
      <c r="A82" s="18"/>
      <c r="C82" s="2"/>
      <c r="D82" s="43"/>
      <c r="E82" s="43"/>
      <c r="F82" s="43"/>
      <c r="G82" s="43"/>
      <c r="H82" s="43"/>
      <c r="I82" s="10"/>
      <c r="J82" s="10"/>
      <c r="K82" s="10"/>
      <c r="L82" s="10"/>
      <c r="M82" s="10"/>
      <c r="X82" s="14"/>
      <c r="Y82" s="2"/>
      <c r="Z82" s="2"/>
      <c r="AA82" s="2"/>
    </row>
    <row r="83" spans="1:27" x14ac:dyDescent="0.25">
      <c r="A83" s="18"/>
      <c r="C83" s="2"/>
      <c r="D83" s="43"/>
      <c r="E83" s="43"/>
      <c r="F83" s="43"/>
      <c r="G83" s="43"/>
      <c r="H83" s="43"/>
      <c r="I83" s="10"/>
      <c r="J83" s="10"/>
      <c r="K83" s="10"/>
      <c r="L83" s="10"/>
      <c r="M83" s="10"/>
      <c r="X83" s="14"/>
      <c r="Y83" s="2"/>
      <c r="Z83" s="2"/>
      <c r="AA83" s="2"/>
    </row>
    <row r="84" spans="1:27" x14ac:dyDescent="0.25">
      <c r="A84" s="18"/>
      <c r="C84" s="2"/>
      <c r="D84" s="43"/>
      <c r="E84" s="43"/>
      <c r="F84" s="43"/>
      <c r="G84" s="43"/>
      <c r="H84" s="43"/>
      <c r="I84" s="10"/>
      <c r="J84" s="10"/>
      <c r="K84" s="10"/>
      <c r="L84" s="10"/>
      <c r="M84" s="10"/>
      <c r="X84" s="14"/>
      <c r="Y84" s="2"/>
      <c r="Z84" s="2"/>
      <c r="AA84" s="2"/>
    </row>
    <row r="85" spans="1:27" x14ac:dyDescent="0.25">
      <c r="A85" s="18"/>
      <c r="C85" s="2"/>
      <c r="D85" s="43"/>
      <c r="E85" s="43"/>
      <c r="F85" s="43"/>
      <c r="G85" s="43"/>
      <c r="H85" s="43"/>
      <c r="I85" s="10"/>
      <c r="J85" s="10"/>
      <c r="K85" s="10"/>
      <c r="L85" s="10"/>
      <c r="M85" s="10"/>
      <c r="X85" s="14"/>
      <c r="Y85" s="2"/>
      <c r="Z85" s="2"/>
      <c r="AA85" s="2"/>
    </row>
  </sheetData>
  <sortState ref="AL23:AL37">
    <sortCondition ref="AL23"/>
  </sortState>
  <mergeCells count="20"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  <mergeCell ref="A1:B1"/>
    <mergeCell ref="A6:B6"/>
    <mergeCell ref="A7:B7"/>
    <mergeCell ref="A4:B4"/>
    <mergeCell ref="A3:B3"/>
    <mergeCell ref="A2:B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4" bestFit="1" customWidth="1"/>
    <col min="4" max="4" width="11.5703125" style="34" customWidth="1"/>
    <col min="5" max="5" width="47.42578125" bestFit="1" customWidth="1"/>
    <col min="6" max="6" width="8.85546875" style="35"/>
  </cols>
  <sheetData>
    <row r="1" spans="1:8" x14ac:dyDescent="0.25">
      <c r="A1" t="s">
        <v>57</v>
      </c>
      <c r="B1" s="34" t="s">
        <v>7</v>
      </c>
      <c r="C1" s="34" t="s">
        <v>6</v>
      </c>
      <c r="D1" s="34" t="s">
        <v>58</v>
      </c>
      <c r="E1" t="s">
        <v>63</v>
      </c>
      <c r="F1" s="35" t="s">
        <v>59</v>
      </c>
      <c r="G1" s="34" t="s">
        <v>61</v>
      </c>
      <c r="H1" s="34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4">
        <f>IF(ISNUMBER(Calculations!N4),CONVERT(Calculations!N4,Units_In,Units_Out),"")</f>
        <v>3456748.75</v>
      </c>
      <c r="C2" s="34">
        <f>IF(ISNUMBER(Calculations!O4),CONVERT(Calculations!O4,Units_In,Units_Out),"")</f>
        <v>1534710.5577427822</v>
      </c>
      <c r="D2" s="34" t="s">
        <v>60</v>
      </c>
      <c r="E2" s="10" t="str">
        <f>CONCATENATE("0503 ",B2,"EUSft ",C2,"NUSft")</f>
        <v>0503 3456748.75EUSft 1534710.55774278NUSft</v>
      </c>
      <c r="F2" s="35">
        <v>98</v>
      </c>
      <c r="G2" s="10" t="str">
        <f>IF(F2=98,"Lime",IF(F2=94,"Yellow",""))</f>
        <v>Lime</v>
      </c>
      <c r="H2" s="10" t="str">
        <f>Calculations!$A$1</f>
        <v>CSS2</v>
      </c>
    </row>
    <row r="3" spans="1:8" s="10" customFormat="1" x14ac:dyDescent="0.25">
      <c r="A3" s="10" t="str">
        <f>IF(ISNUMBER(Calculations!M5),CONCATENATE("GPS",Calculations!M5),"")</f>
        <v>GPS1</v>
      </c>
      <c r="B3" s="34">
        <f>IF(ISNUMBER(Calculations!N5),CONVERT(Calculations!N5,Units_In,Units_Out),"")</f>
        <v>3456797.0472440943</v>
      </c>
      <c r="C3" s="34">
        <f>IF(ISNUMBER(Calculations!O5),CONVERT(Calculations!O5,Units_In,Units_Out),"")</f>
        <v>1534691.9783464568</v>
      </c>
      <c r="D3" s="34" t="s">
        <v>60</v>
      </c>
      <c r="E3" s="10" t="str">
        <f t="shared" ref="E3:E4" si="0">CONCATENATE("0503 ",B3,"EUSft ",C3,"NUSft")</f>
        <v>0503 3456797.04724409EUSft 1534691.97834646NUSft</v>
      </c>
      <c r="F3" s="35">
        <v>98</v>
      </c>
      <c r="G3" s="10" t="str">
        <f t="shared" ref="G3:G65" si="1">IF(F3=98,"Lime",IF(F3=94,"Yellow",""))</f>
        <v>Lime</v>
      </c>
      <c r="H3" s="10" t="str">
        <f>Calculations!$A$1</f>
        <v>CSS2</v>
      </c>
    </row>
    <row r="4" spans="1:8" s="10" customFormat="1" x14ac:dyDescent="0.25">
      <c r="A4" s="10" t="str">
        <f>IF(ISNUMBER(Calculations!M6),CONCATENATE("GPS",Calculations!M6),"")</f>
        <v>GPS2</v>
      </c>
      <c r="B4" s="34">
        <f>IF(ISNUMBER(Calculations!N6),CONVERT(Calculations!N6,Units_In,Units_Out),"")</f>
        <v>3456737.6870078747</v>
      </c>
      <c r="C4" s="34">
        <f>IF(ISNUMBER(Calculations!O6),CONVERT(Calculations!O6,Units_In,Units_Out),"")</f>
        <v>1534668.9304461943</v>
      </c>
      <c r="D4" s="34" t="s">
        <v>60</v>
      </c>
      <c r="E4" s="10" t="str">
        <f t="shared" si="0"/>
        <v>0503 3456737.68700787EUSft 1534668.93044619NUSft</v>
      </c>
      <c r="F4" s="35">
        <v>98</v>
      </c>
      <c r="G4" s="10" t="str">
        <f t="shared" si="1"/>
        <v>Lime</v>
      </c>
      <c r="H4" s="10" t="str">
        <f>Calculations!$A$1</f>
        <v>CSS2</v>
      </c>
    </row>
    <row r="5" spans="1:8" x14ac:dyDescent="0.25">
      <c r="A5">
        <f>IF(ISNUMBER(Calculations!A21),Calculations!A21,"")</f>
        <v>1</v>
      </c>
      <c r="B5" s="34">
        <f ca="1">IF(ISNUMBER(A5),CONVERT(Calculations!T21,Units_In,Units_Out),"")</f>
        <v>3456783.9298469764</v>
      </c>
      <c r="C5" s="34">
        <f ca="1">IF(ISNUMBER(A5),CONVERT(Calculations!U21,Units_In,Units_Out),"")</f>
        <v>1534668.9300894383</v>
      </c>
      <c r="D5" s="34" t="str">
        <f>IF(ISTEXT(Calculations!F21),Calculations!F21,"")</f>
        <v>ZERO/BS</v>
      </c>
      <c r="E5" t="str">
        <f ca="1">IF(ISNUMBER(A5),CONCATENATE("0503 ",B5,"EUSft ",C5,"NUSft"),"")</f>
        <v>0503 3456783.92984698EUSft 1534668.93008944NUSft</v>
      </c>
      <c r="F5" s="35">
        <f>IF(ISNUMBER(A5),94,"")</f>
        <v>94</v>
      </c>
      <c r="G5" s="10" t="str">
        <f t="shared" si="1"/>
        <v>Yellow</v>
      </c>
      <c r="H5" s="10" t="str">
        <f>IF(ISNUMBER(A5),Calculations!$A$1,"")</f>
        <v>CSS2</v>
      </c>
    </row>
    <row r="6" spans="1:8" x14ac:dyDescent="0.25">
      <c r="A6" s="10">
        <f>IF(ISNUMBER(Calculations!A22),Calculations!A22,"")</f>
        <v>2</v>
      </c>
      <c r="B6" s="34">
        <f ca="1">IF(ISNUMBER(A6),CONVERT(Calculations!T22,Units_In,Units_Out),"")</f>
        <v>3456719.2440574556</v>
      </c>
      <c r="C6" s="34">
        <f ca="1">IF(ISNUMBER(A6),CONVERT(Calculations!U22,Units_In,Units_Out),"")</f>
        <v>1534680.4211098738</v>
      </c>
      <c r="D6" s="34" t="str">
        <f>IF(ISTEXT(Calculations!F22),Calculations!F22,"")</f>
        <v>BS</v>
      </c>
      <c r="E6" s="10" t="str">
        <f t="shared" ref="E6:E65" ca="1" si="2">IF(ISNUMBER(A6),CONCATENATE("0503 ",B6,"EUSft ",C6,"NUSft"),"")</f>
        <v>0503 3456719.24405746EUSft 1534680.42110987NUSft</v>
      </c>
      <c r="F6" s="35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CSS2</v>
      </c>
    </row>
    <row r="7" spans="1:8" x14ac:dyDescent="0.25">
      <c r="A7" s="10">
        <f>IF(ISNUMBER(Calculations!A23),Calculations!A23,"")</f>
        <v>3</v>
      </c>
      <c r="B7" s="34">
        <f ca="1">IF(ISNUMBER(A7),CONVERT(Calculations!T23,Units_In,Units_Out),"")</f>
        <v>3456755.5615438935</v>
      </c>
      <c r="C7" s="34">
        <f ca="1">IF(ISNUMBER(A7),CONVERT(Calculations!U23,Units_In,Units_Out),"")</f>
        <v>1534736.4614540061</v>
      </c>
      <c r="D7" s="34" t="str">
        <f>IF(ISTEXT(Calculations!F23),Calculations!F23,"")</f>
        <v/>
      </c>
      <c r="E7" s="10" t="str">
        <f t="shared" ca="1" si="2"/>
        <v>0503 3456755.56154389EUSft 1534736.46145401NUSft</v>
      </c>
      <c r="F7" s="35">
        <f t="shared" si="3"/>
        <v>94</v>
      </c>
      <c r="G7" s="10" t="str">
        <f t="shared" si="1"/>
        <v>Yellow</v>
      </c>
      <c r="H7" s="10" t="str">
        <f>IF(ISNUMBER(A7),Calculations!$A$1,"")</f>
        <v>CSS2</v>
      </c>
    </row>
    <row r="8" spans="1:8" x14ac:dyDescent="0.25">
      <c r="A8" s="10">
        <f>IF(ISNUMBER(Calculations!A24),Calculations!A24,"")</f>
        <v>4</v>
      </c>
      <c r="B8" s="34">
        <f ca="1">IF(ISNUMBER(A8),CONVERT(Calculations!T24,Units_In,Units_Out),"")</f>
        <v>3456756.5879565491</v>
      </c>
      <c r="C8" s="34">
        <f ca="1">IF(ISNUMBER(A8),CONVERT(Calculations!U24,Units_In,Units_Out),"")</f>
        <v>1534739.3582348009</v>
      </c>
      <c r="D8" s="34" t="str">
        <f>IF(ISTEXT(Calculations!F24),Calculations!F24,"")</f>
        <v/>
      </c>
      <c r="E8" s="10" t="str">
        <f t="shared" ca="1" si="2"/>
        <v>0503 3456756.58795655EUSft 1534739.3582348NUSft</v>
      </c>
      <c r="F8" s="35">
        <f t="shared" si="3"/>
        <v>94</v>
      </c>
      <c r="G8" s="10" t="str">
        <f t="shared" si="1"/>
        <v>Yellow</v>
      </c>
      <c r="H8" s="10" t="str">
        <f>IF(ISNUMBER(A8),Calculations!$A$1,"")</f>
        <v>CSS2</v>
      </c>
    </row>
    <row r="9" spans="1:8" x14ac:dyDescent="0.25">
      <c r="A9" s="10">
        <f>IF(ISNUMBER(Calculations!A25),Calculations!A25,"")</f>
        <v>5</v>
      </c>
      <c r="B9" s="34">
        <f ca="1">IF(ISNUMBER(A9),CONVERT(Calculations!T25,Units_In,Units_Out),"")</f>
        <v>3456757.1631223122</v>
      </c>
      <c r="C9" s="34">
        <f ca="1">IF(ISNUMBER(A9),CONVERT(Calculations!U25,Units_In,Units_Out),"")</f>
        <v>1534740.5906739337</v>
      </c>
      <c r="D9" s="34" t="str">
        <f>IF(ISTEXT(Calculations!F25),Calculations!F25,"")</f>
        <v/>
      </c>
      <c r="E9" s="10" t="str">
        <f t="shared" ca="1" si="2"/>
        <v>0503 3456757.16312231EUSft 1534740.59067393NUSft</v>
      </c>
      <c r="F9" s="35">
        <f t="shared" si="3"/>
        <v>94</v>
      </c>
      <c r="G9" s="10" t="str">
        <f t="shared" si="1"/>
        <v>Yellow</v>
      </c>
      <c r="H9" s="10" t="str">
        <f>IF(ISNUMBER(A9),Calculations!$A$1,"")</f>
        <v>CSS2</v>
      </c>
    </row>
    <row r="10" spans="1:8" x14ac:dyDescent="0.25">
      <c r="A10" s="10">
        <f>IF(ISNUMBER(Calculations!A26),Calculations!A26,"")</f>
        <v>6</v>
      </c>
      <c r="B10" s="34">
        <f ca="1">IF(ISNUMBER(A10),CONVERT(Calculations!T26,Units_In,Units_Out),"")</f>
        <v>3456757.7883537984</v>
      </c>
      <c r="C10" s="34">
        <f ca="1">IF(ISNUMBER(A10),CONVERT(Calculations!U26,Units_In,Units_Out),"")</f>
        <v>1534742.0023045463</v>
      </c>
      <c r="D10" s="34" t="str">
        <f>IF(ISTEXT(Calculations!F26),Calculations!F26,"")</f>
        <v/>
      </c>
      <c r="E10" s="10" t="str">
        <f t="shared" ca="1" si="2"/>
        <v>0503 3456757.7883538EUSft 1534742.00230455NUSft</v>
      </c>
      <c r="F10" s="35">
        <f t="shared" si="3"/>
        <v>94</v>
      </c>
      <c r="G10" s="10" t="str">
        <f t="shared" si="1"/>
        <v>Yellow</v>
      </c>
      <c r="H10" s="10" t="str">
        <f>IF(ISNUMBER(A10),Calculations!$A$1,"")</f>
        <v>CSS2</v>
      </c>
    </row>
    <row r="11" spans="1:8" x14ac:dyDescent="0.25">
      <c r="A11" s="10">
        <f>IF(ISNUMBER(Calculations!A27),Calculations!A27,"")</f>
        <v>7</v>
      </c>
      <c r="B11" s="34">
        <f ca="1">IF(ISNUMBER(A11),CONVERT(Calculations!T27,Units_In,Units_Out),"")</f>
        <v>3456757.7080673371</v>
      </c>
      <c r="C11" s="34">
        <f ca="1">IF(ISNUMBER(A11),CONVERT(Calculations!U27,Units_In,Units_Out),"")</f>
        <v>1534743.4124561951</v>
      </c>
      <c r="D11" s="34" t="str">
        <f>IF(ISTEXT(Calculations!F27),Calculations!F27,"")</f>
        <v/>
      </c>
      <c r="E11" s="10" t="str">
        <f t="shared" ca="1" si="2"/>
        <v>0503 3456757.70806734EUSft 1534743.4124562NUSft</v>
      </c>
      <c r="F11" s="35">
        <f t="shared" si="3"/>
        <v>94</v>
      </c>
      <c r="G11" s="10" t="str">
        <f t="shared" si="1"/>
        <v>Yellow</v>
      </c>
      <c r="H11" s="10" t="str">
        <f>IF(ISNUMBER(A11),Calculations!$A$1,"")</f>
        <v>CSS2</v>
      </c>
    </row>
    <row r="12" spans="1:8" x14ac:dyDescent="0.25">
      <c r="A12" s="10">
        <f>IF(ISNUMBER(Calculations!A28),Calculations!A28,"")</f>
        <v>8</v>
      </c>
      <c r="B12" s="34">
        <f ca="1">IF(ISNUMBER(A12),CONVERT(Calculations!T28,Units_In,Units_Out),"")</f>
        <v>3456757.9721182296</v>
      </c>
      <c r="C12" s="34">
        <f ca="1">IF(ISNUMBER(A12),CONVERT(Calculations!U28,Units_In,Units_Out),"")</f>
        <v>1534744.0695666804</v>
      </c>
      <c r="D12" s="34" t="str">
        <f>IF(ISTEXT(Calculations!F28),Calculations!F28,"")</f>
        <v>WS</v>
      </c>
      <c r="E12" s="10" t="str">
        <f t="shared" ca="1" si="2"/>
        <v>0503 3456757.97211823EUSft 1534744.06956668NUSft</v>
      </c>
      <c r="F12" s="35">
        <f t="shared" si="3"/>
        <v>94</v>
      </c>
      <c r="G12" s="10" t="str">
        <f t="shared" si="1"/>
        <v>Yellow</v>
      </c>
      <c r="H12" s="10" t="str">
        <f>IF(ISNUMBER(A12),Calculations!$A$1,"")</f>
        <v>CSS2</v>
      </c>
    </row>
    <row r="13" spans="1:8" x14ac:dyDescent="0.25">
      <c r="A13" s="10">
        <f>IF(ISNUMBER(Calculations!A29),Calculations!A29,"")</f>
        <v>9</v>
      </c>
      <c r="B13" s="34">
        <f ca="1">IF(ISNUMBER(A13),CONVERT(Calculations!T29,Units_In,Units_Out),"")</f>
        <v>3456758.1914498368</v>
      </c>
      <c r="C13" s="34">
        <f ca="1">IF(ISNUMBER(A13),CONVERT(Calculations!U29,Units_In,Units_Out),"")</f>
        <v>1534744.9199796277</v>
      </c>
      <c r="D13" s="34" t="str">
        <f>IF(ISTEXT(Calculations!F29),Calculations!F29,"")</f>
        <v/>
      </c>
      <c r="E13" s="10" t="str">
        <f t="shared" ca="1" si="2"/>
        <v>0503 3456758.19144984EUSft 1534744.91997963NUSft</v>
      </c>
      <c r="F13" s="35">
        <f t="shared" si="3"/>
        <v>94</v>
      </c>
      <c r="G13" s="10" t="str">
        <f t="shared" si="1"/>
        <v>Yellow</v>
      </c>
      <c r="H13" s="10" t="str">
        <f>IF(ISNUMBER(A13),Calculations!$A$1,"")</f>
        <v>CSS2</v>
      </c>
    </row>
    <row r="14" spans="1:8" x14ac:dyDescent="0.25">
      <c r="A14" s="10">
        <f>IF(ISNUMBER(Calculations!A30),Calculations!A30,"")</f>
        <v>10</v>
      </c>
      <c r="B14" s="34">
        <f ca="1">IF(ISNUMBER(A14),CONVERT(Calculations!T30,Units_In,Units_Out),"")</f>
        <v>3456758.525742067</v>
      </c>
      <c r="C14" s="34">
        <f ca="1">IF(ISNUMBER(A14),CONVERT(Calculations!U30,Units_In,Units_Out),"")</f>
        <v>1534747.1847968802</v>
      </c>
      <c r="D14" s="34" t="str">
        <f>IF(ISTEXT(Calculations!F30),Calculations!F30,"")</f>
        <v/>
      </c>
      <c r="E14" s="10" t="str">
        <f t="shared" ca="1" si="2"/>
        <v>0503 3456758.52574207EUSft 1534747.18479688NUSft</v>
      </c>
      <c r="F14" s="35">
        <f t="shared" si="3"/>
        <v>94</v>
      </c>
      <c r="G14" s="10" t="str">
        <f t="shared" si="1"/>
        <v>Yellow</v>
      </c>
      <c r="H14" s="10" t="str">
        <f>IF(ISNUMBER(A14),Calculations!$A$1,"")</f>
        <v>CSS2</v>
      </c>
    </row>
    <row r="15" spans="1:8" x14ac:dyDescent="0.25">
      <c r="A15" s="10">
        <f>IF(ISNUMBER(Calculations!A31),Calculations!A31,"")</f>
        <v>11</v>
      </c>
      <c r="B15" s="34">
        <f ca="1">IF(ISNUMBER(A15),CONVERT(Calculations!T31,Units_In,Units_Out),"")</f>
        <v>3456788.0896261209</v>
      </c>
      <c r="C15" s="34">
        <f ca="1">IF(ISNUMBER(A15),CONVERT(Calculations!U31,Units_In,Units_Out),"")</f>
        <v>1534816.0304710227</v>
      </c>
      <c r="D15" s="34" t="str">
        <f>IF(ISTEXT(Calculations!F31),Calculations!F31,"")</f>
        <v/>
      </c>
      <c r="E15" s="10" t="str">
        <f t="shared" ca="1" si="2"/>
        <v>0503 3456788.08962612EUSft 1534816.03047102NUSft</v>
      </c>
      <c r="F15" s="35">
        <f t="shared" si="3"/>
        <v>94</v>
      </c>
      <c r="G15" s="10" t="str">
        <f t="shared" si="1"/>
        <v>Yellow</v>
      </c>
      <c r="H15" s="10" t="str">
        <f>IF(ISNUMBER(A15),Calculations!$A$1,"")</f>
        <v>CSS2</v>
      </c>
    </row>
    <row r="16" spans="1:8" x14ac:dyDescent="0.25">
      <c r="A16" s="10">
        <f>IF(ISNUMBER(Calculations!A32),Calculations!A32,"")</f>
        <v>12</v>
      </c>
      <c r="B16" s="34">
        <f ca="1">IF(ISNUMBER(A16),CONVERT(Calculations!T32,Units_In,Units_Out),"")</f>
        <v>3456820.6850519036</v>
      </c>
      <c r="C16" s="34">
        <f ca="1">IF(ISNUMBER(A16),CONVERT(Calculations!U32,Units_In,Units_Out),"")</f>
        <v>1534930.1927261448</v>
      </c>
      <c r="D16" s="34" t="str">
        <f>IF(ISTEXT(Calculations!F32),Calculations!F32,"")</f>
        <v/>
      </c>
      <c r="E16" s="10" t="str">
        <f t="shared" ca="1" si="2"/>
        <v>0503 3456820.6850519EUSft 1534930.19272614NUSft</v>
      </c>
      <c r="F16" s="35">
        <f t="shared" si="3"/>
        <v>94</v>
      </c>
      <c r="G16" s="10" t="str">
        <f t="shared" si="1"/>
        <v>Yellow</v>
      </c>
      <c r="H16" s="10" t="str">
        <f>IF(ISNUMBER(A16),Calculations!$A$1,"")</f>
        <v>CSS2</v>
      </c>
    </row>
    <row r="17" spans="1:8" x14ac:dyDescent="0.25">
      <c r="A17" s="10">
        <f>IF(ISNUMBER(Calculations!A33),Calculations!A33,"")</f>
        <v>13</v>
      </c>
      <c r="B17" s="34">
        <f ca="1">IF(ISNUMBER(A17),CONVERT(Calculations!T33,Units_In,Units_Out),"")</f>
        <v>3456823.4764943616</v>
      </c>
      <c r="C17" s="34">
        <f ca="1">IF(ISNUMBER(A17),CONVERT(Calculations!U33,Units_In,Units_Out),"")</f>
        <v>1534934.6534992824</v>
      </c>
      <c r="D17" s="34" t="str">
        <f>IF(ISTEXT(Calculations!F33),Calculations!F33,"")</f>
        <v/>
      </c>
      <c r="E17" s="10" t="str">
        <f t="shared" ca="1" si="2"/>
        <v>0503 3456823.47649436EUSft 1534934.65349928NUSft</v>
      </c>
      <c r="F17" s="35">
        <f t="shared" si="3"/>
        <v>94</v>
      </c>
      <c r="G17" s="10" t="str">
        <f t="shared" si="1"/>
        <v>Yellow</v>
      </c>
      <c r="H17" s="10" t="str">
        <f>IF(ISNUMBER(A17),Calculations!$A$1,"")</f>
        <v>CSS2</v>
      </c>
    </row>
    <row r="18" spans="1:8" x14ac:dyDescent="0.25">
      <c r="A18" s="10">
        <f>IF(ISNUMBER(Calculations!A34),Calculations!A34,"")</f>
        <v>14</v>
      </c>
      <c r="B18" s="34">
        <f ca="1">IF(ISNUMBER(A18),CONVERT(Calculations!T34,Units_In,Units_Out),"")</f>
        <v>3456824.1380516747</v>
      </c>
      <c r="C18" s="34">
        <f ca="1">IF(ISNUMBER(A18),CONVERT(Calculations!U34,Units_In,Units_Out),"")</f>
        <v>1534934.0527796471</v>
      </c>
      <c r="D18" s="34" t="str">
        <f>IF(ISTEXT(Calculations!F34),Calculations!F34,"")</f>
        <v/>
      </c>
      <c r="E18" s="10" t="str">
        <f t="shared" ca="1" si="2"/>
        <v>0503 3456824.13805167EUSft 1534934.05277965NUSft</v>
      </c>
      <c r="F18" s="35">
        <f t="shared" si="3"/>
        <v>94</v>
      </c>
      <c r="G18" s="10" t="str">
        <f t="shared" si="1"/>
        <v>Yellow</v>
      </c>
      <c r="H18" s="10" t="str">
        <f>IF(ISNUMBER(A18),Calculations!$A$1,"")</f>
        <v>CSS2</v>
      </c>
    </row>
    <row r="19" spans="1:8" x14ac:dyDescent="0.25">
      <c r="A19" s="10">
        <f>IF(ISNUMBER(Calculations!A35),Calculations!A35,"")</f>
        <v>15</v>
      </c>
      <c r="B19" s="34">
        <f ca="1">IF(ISNUMBER(A19),CONVERT(Calculations!T35,Units_In,Units_Out),"")</f>
        <v>3456824.2562006568</v>
      </c>
      <c r="C19" s="34">
        <f ca="1">IF(ISNUMBER(A19),CONVERT(Calculations!U35,Units_In,Units_Out),"")</f>
        <v>1534934.2669509456</v>
      </c>
      <c r="D19" s="34" t="str">
        <f>IF(ISTEXT(Calculations!F35),Calculations!F35,"")</f>
        <v/>
      </c>
      <c r="E19" s="10" t="str">
        <f t="shared" ca="1" si="2"/>
        <v>0503 3456824.25620066EUSft 1534934.26695095NUSft</v>
      </c>
      <c r="F19" s="35">
        <f t="shared" si="3"/>
        <v>94</v>
      </c>
      <c r="G19" s="10" t="str">
        <f t="shared" si="1"/>
        <v>Yellow</v>
      </c>
      <c r="H19" s="10" t="str">
        <f>IF(ISNUMBER(A19),Calculations!$A$1,"")</f>
        <v>CSS2</v>
      </c>
    </row>
    <row r="20" spans="1:8" x14ac:dyDescent="0.25">
      <c r="A20" s="10">
        <f>IF(ISNUMBER(Calculations!A36),Calculations!A36,"")</f>
        <v>16</v>
      </c>
      <c r="B20" s="34">
        <f ca="1">IF(ISNUMBER(A20),CONVERT(Calculations!T36,Units_In,Units_Out),"")</f>
        <v>3456823.7023275071</v>
      </c>
      <c r="C20" s="34">
        <f ca="1">IF(ISNUMBER(A20),CONVERT(Calculations!U36,Units_In,Units_Out),"")</f>
        <v>1534933.8004849006</v>
      </c>
      <c r="D20" s="34" t="str">
        <f>IF(ISTEXT(Calculations!F36),Calculations!F36,"")</f>
        <v/>
      </c>
      <c r="E20" s="10" t="str">
        <f t="shared" ca="1" si="2"/>
        <v>0503 3456823.70232751EUSft 1534933.8004849NUSft</v>
      </c>
      <c r="F20" s="35">
        <f t="shared" si="3"/>
        <v>94</v>
      </c>
      <c r="G20" s="10" t="str">
        <f t="shared" si="1"/>
        <v>Yellow</v>
      </c>
      <c r="H20" s="10" t="str">
        <f>IF(ISNUMBER(A20),Calculations!$A$1,"")</f>
        <v>CSS2</v>
      </c>
    </row>
    <row r="21" spans="1:8" x14ac:dyDescent="0.25">
      <c r="A21" s="10">
        <f>IF(ISNUMBER(Calculations!A37),Calculations!A37,"")</f>
        <v>17</v>
      </c>
      <c r="B21" s="34">
        <f ca="1">IF(ISNUMBER(A21),CONVERT(Calculations!T37,Units_In,Units_Out),"")</f>
        <v>3456824.6128295618</v>
      </c>
      <c r="C21" s="34">
        <f ca="1">IF(ISNUMBER(A21),CONVERT(Calculations!U37,Units_In,Units_Out),"")</f>
        <v>1534934.502707463</v>
      </c>
      <c r="D21" s="34" t="str">
        <f>IF(ISTEXT(Calculations!F37),Calculations!F37,"")</f>
        <v/>
      </c>
      <c r="E21" s="10" t="str">
        <f t="shared" ca="1" si="2"/>
        <v>0503 3456824.61282956EUSft 1534934.50270746NUSft</v>
      </c>
      <c r="F21" s="35">
        <f t="shared" si="3"/>
        <v>94</v>
      </c>
      <c r="G21" s="10" t="str">
        <f t="shared" si="1"/>
        <v>Yellow</v>
      </c>
      <c r="H21" s="10" t="str">
        <f>IF(ISNUMBER(A21),Calculations!$A$1,"")</f>
        <v>CSS2</v>
      </c>
    </row>
    <row r="22" spans="1:8" x14ac:dyDescent="0.25">
      <c r="A22" s="10">
        <f>IF(ISNUMBER(Calculations!A38),Calculations!A38,"")</f>
        <v>18</v>
      </c>
      <c r="B22" s="34">
        <f ca="1">IF(ISNUMBER(A22),CONVERT(Calculations!T38,Units_In,Units_Out),"")</f>
        <v>3456750.9552490446</v>
      </c>
      <c r="C22" s="34">
        <f ca="1">IF(ISNUMBER(A22),CONVERT(Calculations!U38,Units_In,Units_Out),"")</f>
        <v>1534656.0346088943</v>
      </c>
      <c r="D22" s="34" t="str">
        <f>IF(ISTEXT(Calculations!F38),Calculations!F38,"")</f>
        <v>PT1</v>
      </c>
      <c r="E22" s="10" t="str">
        <f t="shared" ca="1" si="2"/>
        <v>0503 3456750.95524904EUSft 1534656.03460889NUSft</v>
      </c>
      <c r="F22" s="35">
        <f t="shared" si="3"/>
        <v>94</v>
      </c>
      <c r="G22" s="10" t="str">
        <f t="shared" si="1"/>
        <v>Yellow</v>
      </c>
      <c r="H22" s="10" t="str">
        <f>IF(ISNUMBER(A22),Calculations!$A$1,"")</f>
        <v>CSS2</v>
      </c>
    </row>
    <row r="23" spans="1:8" x14ac:dyDescent="0.25">
      <c r="A23" s="10">
        <f>IF(ISNUMBER(Calculations!A39),Calculations!A39,"")</f>
        <v>19</v>
      </c>
      <c r="B23" s="34">
        <f ca="1">IF(ISNUMBER(A23),CONVERT(Calculations!T39,Units_In,Units_Out),"")</f>
        <v>3456706.9040529337</v>
      </c>
      <c r="C23" s="34">
        <f ca="1">IF(ISNUMBER(A23),CONVERT(Calculations!U39,Units_In,Units_Out),"")</f>
        <v>1534704.8910518403</v>
      </c>
      <c r="D23" s="34" t="str">
        <f>IF(ISTEXT(Calculations!F39),Calculations!F39,"")</f>
        <v>PT2</v>
      </c>
      <c r="E23" s="10" t="str">
        <f t="shared" ca="1" si="2"/>
        <v>0503 3456706.90405293EUSft 1534704.89105184NUSft</v>
      </c>
      <c r="F23" s="35">
        <f t="shared" si="3"/>
        <v>94</v>
      </c>
      <c r="G23" s="10" t="str">
        <f t="shared" si="1"/>
        <v>Yellow</v>
      </c>
      <c r="H23" s="10" t="str">
        <f>IF(ISNUMBER(A23),Calculations!$A$1,"")</f>
        <v>CSS2</v>
      </c>
    </row>
    <row r="24" spans="1:8" x14ac:dyDescent="0.25">
      <c r="A24" s="10" t="str">
        <f>IF(ISNUMBER(Calculations!A40),Calculations!A40,"")</f>
        <v/>
      </c>
      <c r="B24" s="34" t="str">
        <f>IF(ISNUMBER(A24),CONVERT(Calculations!T40,Units_In,Units_Out),"")</f>
        <v/>
      </c>
      <c r="C24" s="34" t="str">
        <f>IF(ISNUMBER(A24),CONVERT(Calculations!U40,Units_In,Units_Out),"")</f>
        <v/>
      </c>
      <c r="D24" s="34" t="str">
        <f>IF(ISTEXT(Calculations!F40),Calculations!F40,"")</f>
        <v/>
      </c>
      <c r="E24" s="10" t="str">
        <f t="shared" si="2"/>
        <v/>
      </c>
      <c r="F24" s="35" t="str">
        <f t="shared" si="3"/>
        <v/>
      </c>
      <c r="G24" s="10" t="str">
        <f t="shared" si="1"/>
        <v/>
      </c>
      <c r="H24" s="10" t="str">
        <f>IF(ISNUMBER(A24),Calculations!$A$1,"")</f>
        <v/>
      </c>
    </row>
    <row r="25" spans="1:8" x14ac:dyDescent="0.25">
      <c r="A25" s="10" t="str">
        <f>IF(ISNUMBER(Calculations!A41),Calculations!A41,"")</f>
        <v/>
      </c>
      <c r="B25" s="34" t="str">
        <f>IF(ISNUMBER(A25),CONVERT(Calculations!T41,Units_In,Units_Out),"")</f>
        <v/>
      </c>
      <c r="C25" s="34" t="str">
        <f>IF(ISNUMBER(A25),CONVERT(Calculations!U41,Units_In,Units_Out),"")</f>
        <v/>
      </c>
      <c r="D25" s="34" t="str">
        <f>IF(ISTEXT(Calculations!F41),Calculations!F41,"")</f>
        <v/>
      </c>
      <c r="E25" s="10" t="str">
        <f t="shared" si="2"/>
        <v/>
      </c>
      <c r="F25" s="35" t="str">
        <f t="shared" si="3"/>
        <v/>
      </c>
      <c r="G25" s="10" t="str">
        <f t="shared" si="1"/>
        <v/>
      </c>
      <c r="H25" s="10" t="str">
        <f>IF(ISNUMBER(A25),Calculations!$A$1,"")</f>
        <v/>
      </c>
    </row>
    <row r="26" spans="1:8" x14ac:dyDescent="0.25">
      <c r="A26" s="10" t="str">
        <f>IF(ISNUMBER(Calculations!A42),Calculations!A42,"")</f>
        <v/>
      </c>
      <c r="B26" s="34" t="str">
        <f>IF(ISNUMBER(A26),CONVERT(Calculations!T42,Units_In,Units_Out),"")</f>
        <v/>
      </c>
      <c r="C26" s="34" t="str">
        <f>IF(ISNUMBER(A26),CONVERT(Calculations!U42,Units_In,Units_Out),"")</f>
        <v/>
      </c>
      <c r="D26" s="34" t="str">
        <f>IF(ISTEXT(Calculations!F42),Calculations!F42,"")</f>
        <v/>
      </c>
      <c r="E26" s="10" t="str">
        <f t="shared" si="2"/>
        <v/>
      </c>
      <c r="F26" s="35" t="str">
        <f t="shared" si="3"/>
        <v/>
      </c>
      <c r="G26" s="10" t="str">
        <f t="shared" si="1"/>
        <v/>
      </c>
      <c r="H26" s="10" t="str">
        <f>IF(ISNUMBER(A26),Calculations!$A$1,"")</f>
        <v/>
      </c>
    </row>
    <row r="27" spans="1:8" x14ac:dyDescent="0.25">
      <c r="A27" s="10" t="str">
        <f>IF(ISNUMBER(Calculations!A43),Calculations!A43,"")</f>
        <v/>
      </c>
      <c r="B27" s="34" t="str">
        <f>IF(ISNUMBER(A27),CONVERT(Calculations!T43,Units_In,Units_Out),"")</f>
        <v/>
      </c>
      <c r="C27" s="34" t="str">
        <f>IF(ISNUMBER(A27),CONVERT(Calculations!U43,Units_In,Units_Out),"")</f>
        <v/>
      </c>
      <c r="D27" s="34" t="str">
        <f>IF(ISTEXT(Calculations!F43),Calculations!F43,"")</f>
        <v/>
      </c>
      <c r="E27" s="10" t="str">
        <f t="shared" si="2"/>
        <v/>
      </c>
      <c r="F27" s="35" t="str">
        <f t="shared" si="3"/>
        <v/>
      </c>
      <c r="G27" s="10" t="str">
        <f t="shared" si="1"/>
        <v/>
      </c>
      <c r="H27" s="10" t="str">
        <f>IF(ISNUMBER(A27),Calculations!$A$1,"")</f>
        <v/>
      </c>
    </row>
    <row r="28" spans="1:8" x14ac:dyDescent="0.25">
      <c r="A28" s="10" t="str">
        <f>IF(ISNUMBER(Calculations!A44),Calculations!A44,"")</f>
        <v/>
      </c>
      <c r="B28" s="34" t="str">
        <f>IF(ISNUMBER(A28),CONVERT(Calculations!T44,Units_In,Units_Out),"")</f>
        <v/>
      </c>
      <c r="C28" s="34" t="str">
        <f>IF(ISNUMBER(A28),CONVERT(Calculations!U44,Units_In,Units_Out),"")</f>
        <v/>
      </c>
      <c r="D28" s="34" t="str">
        <f>IF(ISTEXT(Calculations!F44),Calculations!F44,"")</f>
        <v/>
      </c>
      <c r="E28" s="10" t="str">
        <f t="shared" si="2"/>
        <v/>
      </c>
      <c r="F28" s="35" t="str">
        <f t="shared" si="3"/>
        <v/>
      </c>
      <c r="G28" s="10" t="str">
        <f t="shared" si="1"/>
        <v/>
      </c>
      <c r="H28" s="10" t="str">
        <f>IF(ISNUMBER(A28),Calculations!$A$1,"")</f>
        <v/>
      </c>
    </row>
    <row r="29" spans="1:8" x14ac:dyDescent="0.25">
      <c r="A29" s="10" t="str">
        <f>IF(ISNUMBER(Calculations!A45),Calculations!A45,"")</f>
        <v/>
      </c>
      <c r="B29" s="34" t="str">
        <f>IF(ISNUMBER(A29),CONVERT(Calculations!T45,Units_In,Units_Out),"")</f>
        <v/>
      </c>
      <c r="C29" s="34" t="str">
        <f>IF(ISNUMBER(A29),CONVERT(Calculations!U45,Units_In,Units_Out),"")</f>
        <v/>
      </c>
      <c r="D29" s="34" t="str">
        <f>IF(ISTEXT(Calculations!F45),Calculations!F45,"")</f>
        <v/>
      </c>
      <c r="E29" s="10" t="str">
        <f t="shared" si="2"/>
        <v/>
      </c>
      <c r="F29" s="35" t="str">
        <f t="shared" si="3"/>
        <v/>
      </c>
      <c r="G29" s="10" t="str">
        <f t="shared" si="1"/>
        <v/>
      </c>
      <c r="H29" s="10" t="str">
        <f>IF(ISNUMBER(A29),Calculations!$A$1,"")</f>
        <v/>
      </c>
    </row>
    <row r="30" spans="1:8" x14ac:dyDescent="0.25">
      <c r="A30" s="10" t="str">
        <f>IF(ISNUMBER(Calculations!A46),Calculations!A46,"")</f>
        <v/>
      </c>
      <c r="B30" s="34" t="str">
        <f>IF(ISNUMBER(A30),CONVERT(Calculations!T46,Units_In,Units_Out),"")</f>
        <v/>
      </c>
      <c r="C30" s="34" t="str">
        <f>IF(ISNUMBER(A30),CONVERT(Calculations!U46,Units_In,Units_Out),"")</f>
        <v/>
      </c>
      <c r="D30" s="34" t="str">
        <f>IF(ISTEXT(Calculations!F46),Calculations!F46,"")</f>
        <v/>
      </c>
      <c r="E30" s="10" t="str">
        <f t="shared" si="2"/>
        <v/>
      </c>
      <c r="F30" s="35" t="str">
        <f t="shared" si="3"/>
        <v/>
      </c>
      <c r="G30" s="10" t="str">
        <f t="shared" si="1"/>
        <v/>
      </c>
      <c r="H30" s="10" t="str">
        <f>IF(ISNUMBER(A30),Calculations!$A$1,"")</f>
        <v/>
      </c>
    </row>
    <row r="31" spans="1:8" x14ac:dyDescent="0.25">
      <c r="A31" s="10" t="str">
        <f>IF(ISNUMBER(Calculations!A47),Calculations!A47,"")</f>
        <v/>
      </c>
      <c r="B31" s="34" t="str">
        <f>IF(ISNUMBER(A31),CONVERT(Calculations!T47,Units_In,Units_Out),"")</f>
        <v/>
      </c>
      <c r="C31" s="34" t="str">
        <f>IF(ISNUMBER(A31),CONVERT(Calculations!U47,Units_In,Units_Out),"")</f>
        <v/>
      </c>
      <c r="D31" s="34" t="str">
        <f>IF(ISTEXT(Calculations!F47),Calculations!F47,"")</f>
        <v/>
      </c>
      <c r="E31" s="10" t="str">
        <f t="shared" si="2"/>
        <v/>
      </c>
      <c r="F31" s="35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IF(ISNUMBER(Calculations!A48),Calculations!A48,"")</f>
        <v/>
      </c>
      <c r="B32" s="34" t="str">
        <f>IF(ISNUMBER(A32),CONVERT(Calculations!T48,Units_In,Units_Out),"")</f>
        <v/>
      </c>
      <c r="C32" s="34" t="str">
        <f>IF(ISNUMBER(A32),CONVERT(Calculations!U48,Units_In,Units_Out),"")</f>
        <v/>
      </c>
      <c r="D32" s="34" t="str">
        <f>IF(ISTEXT(Calculations!F48),Calculations!F48,"")</f>
        <v/>
      </c>
      <c r="E32" s="10" t="str">
        <f t="shared" si="2"/>
        <v/>
      </c>
      <c r="F32" s="35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IF(ISNUMBER(Calculations!A49),Calculations!A49,"")</f>
        <v/>
      </c>
      <c r="B33" s="34" t="str">
        <f>IF(ISNUMBER(A33),CONVERT(Calculations!T49,Units_In,Units_Out),"")</f>
        <v/>
      </c>
      <c r="C33" s="34" t="str">
        <f>IF(ISNUMBER(A33),CONVERT(Calculations!U49,Units_In,Units_Out),"")</f>
        <v/>
      </c>
      <c r="D33" s="34" t="str">
        <f>IF(ISTEXT(Calculations!F49),Calculations!F49,"")</f>
        <v/>
      </c>
      <c r="E33" s="10" t="str">
        <f t="shared" si="2"/>
        <v/>
      </c>
      <c r="F33" s="35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IF(ISNUMBER(Calculations!A50),Calculations!A50,"")</f>
        <v/>
      </c>
      <c r="B34" s="34" t="str">
        <f>IF(ISNUMBER(A34),CONVERT(Calculations!T50,Units_In,Units_Out),"")</f>
        <v/>
      </c>
      <c r="C34" s="34" t="str">
        <f>IF(ISNUMBER(A34),CONVERT(Calculations!U50,Units_In,Units_Out),"")</f>
        <v/>
      </c>
      <c r="D34" s="34" t="str">
        <f>IF(ISTEXT(Calculations!F50),Calculations!F50,"")</f>
        <v/>
      </c>
      <c r="E34" s="10" t="str">
        <f t="shared" si="2"/>
        <v/>
      </c>
      <c r="F34" s="35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IF(ISNUMBER(Calculations!A51),Calculations!A51,"")</f>
        <v/>
      </c>
      <c r="B35" s="34" t="str">
        <f>IF(ISNUMBER(A35),CONVERT(Calculations!T51,Units_In,Units_Out),"")</f>
        <v/>
      </c>
      <c r="C35" s="34" t="str">
        <f>IF(ISNUMBER(A35),CONVERT(Calculations!U51,Units_In,Units_Out),"")</f>
        <v/>
      </c>
      <c r="D35" s="34" t="str">
        <f>IF(ISTEXT(Calculations!F51),Calculations!F51,"")</f>
        <v/>
      </c>
      <c r="E35" s="10" t="str">
        <f t="shared" si="2"/>
        <v/>
      </c>
      <c r="F35" s="35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IF(ISNUMBER(Calculations!A52),Calculations!A52,"")</f>
        <v/>
      </c>
      <c r="B36" s="34" t="str">
        <f>IF(ISNUMBER(A36),CONVERT(Calculations!U52,Units_In,Units_Out),"")</f>
        <v/>
      </c>
      <c r="C36" s="34" t="str">
        <f>IF(ISNUMBER(A36),CONVERT(Calculations!V52,Units_In,Units_Out),"")</f>
        <v/>
      </c>
      <c r="D36" s="34" t="str">
        <f>IF(ISTEXT(Calculations!F52),Calculations!F52,"")</f>
        <v/>
      </c>
      <c r="E36" s="10" t="str">
        <f t="shared" si="2"/>
        <v/>
      </c>
      <c r="F36" s="35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IF(ISNUMBER(Calculations!A53),Calculations!A53,"")</f>
        <v/>
      </c>
      <c r="B37" s="34" t="str">
        <f>IF(ISNUMBER(A37),CONVERT(Calculations!U53,Units_In,Units_Out),"")</f>
        <v/>
      </c>
      <c r="C37" s="34" t="str">
        <f>IF(ISNUMBER(A37),CONVERT(Calculations!V53,Units_In,Units_Out),"")</f>
        <v/>
      </c>
      <c r="D37" s="34" t="str">
        <f>IF(ISTEXT(Calculations!F53),Calculations!F53,"")</f>
        <v/>
      </c>
      <c r="E37" s="10" t="str">
        <f t="shared" si="2"/>
        <v/>
      </c>
      <c r="F37" s="35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4" t="str">
        <f>IF(ISNUMBER(A38),CONVERT(Calculations!#REF!,Units_In,Units_Out),"")</f>
        <v/>
      </c>
      <c r="C38" s="34" t="str">
        <f>IF(ISNUMBER(A38),CONVERT(Calculations!#REF!,Units_In,Units_Out),"")</f>
        <v/>
      </c>
      <c r="D38" s="34" t="str">
        <f>IF(ISTEXT(Calculations!#REF!),Calculations!#REF!,"")</f>
        <v/>
      </c>
      <c r="E38" s="10" t="str">
        <f t="shared" si="2"/>
        <v/>
      </c>
      <c r="F38" s="35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4" t="str">
        <f>IF(ISNUMBER(A39),CONVERT(Calculations!#REF!,Units_In,Units_Out),"")</f>
        <v/>
      </c>
      <c r="C39" s="34" t="str">
        <f>IF(ISNUMBER(A39),CONVERT(Calculations!#REF!,Units_In,Units_Out),"")</f>
        <v/>
      </c>
      <c r="D39" s="34" t="str">
        <f>IF(ISTEXT(Calculations!#REF!),Calculations!#REF!,"")</f>
        <v/>
      </c>
      <c r="E39" s="10" t="str">
        <f t="shared" si="2"/>
        <v/>
      </c>
      <c r="F39" s="35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4" t="str">
        <f>IF(ISNUMBER(A40),CONVERT(Calculations!#REF!,Units_In,Units_Out),"")</f>
        <v/>
      </c>
      <c r="C40" s="34" t="str">
        <f>IF(ISNUMBER(A40),CONVERT(Calculations!#REF!,Units_In,Units_Out),"")</f>
        <v/>
      </c>
      <c r="D40" s="34" t="str">
        <f>IF(ISTEXT(Calculations!#REF!),Calculations!#REF!,"")</f>
        <v/>
      </c>
      <c r="E40" s="10" t="str">
        <f t="shared" si="2"/>
        <v/>
      </c>
      <c r="F40" s="35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4" t="str">
        <f>IF(ISNUMBER(A41),CONVERT(Calculations!#REF!,Units_In,Units_Out),"")</f>
        <v/>
      </c>
      <c r="C41" s="34" t="str">
        <f>IF(ISNUMBER(A41),CONVERT(Calculations!#REF!,Units_In,Units_Out),"")</f>
        <v/>
      </c>
      <c r="D41" s="34" t="str">
        <f>IF(ISTEXT(Calculations!#REF!),Calculations!#REF!,"")</f>
        <v/>
      </c>
      <c r="E41" s="10" t="str">
        <f t="shared" si="2"/>
        <v/>
      </c>
      <c r="F41" s="35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4" t="str">
        <f>IF(ISNUMBER(A42),CONVERT(Calculations!#REF!,Units_In,Units_Out),"")</f>
        <v/>
      </c>
      <c r="C42" s="34" t="str">
        <f>IF(ISNUMBER(A42),CONVERT(Calculations!#REF!,Units_In,Units_Out),"")</f>
        <v/>
      </c>
      <c r="D42" s="34" t="str">
        <f>IF(ISTEXT(Calculations!#REF!),Calculations!#REF!,"")</f>
        <v/>
      </c>
      <c r="E42" s="10" t="str">
        <f t="shared" si="2"/>
        <v/>
      </c>
      <c r="F42" s="35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4" t="str">
        <f>IF(ISNUMBER(A43),CONVERT(Calculations!#REF!,Units_In,Units_Out),"")</f>
        <v/>
      </c>
      <c r="C43" s="34" t="str">
        <f>IF(ISNUMBER(A43),CONVERT(Calculations!#REF!,Units_In,Units_Out),"")</f>
        <v/>
      </c>
      <c r="D43" s="34" t="str">
        <f>IF(ISTEXT(Calculations!#REF!),Calculations!#REF!,"")</f>
        <v/>
      </c>
      <c r="E43" s="10" t="str">
        <f t="shared" si="2"/>
        <v/>
      </c>
      <c r="F43" s="35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4" t="str">
        <f>IF(ISNUMBER(A44),CONVERT(Calculations!#REF!,Units_In,Units_Out),"")</f>
        <v/>
      </c>
      <c r="C44" s="34" t="str">
        <f>IF(ISNUMBER(A44),CONVERT(Calculations!#REF!,Units_In,Units_Out),"")</f>
        <v/>
      </c>
      <c r="D44" s="34" t="str">
        <f>IF(ISTEXT(Calculations!#REF!),Calculations!#REF!,"")</f>
        <v/>
      </c>
      <c r="E44" s="10" t="str">
        <f t="shared" si="2"/>
        <v/>
      </c>
      <c r="F44" s="35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4" t="str">
        <f>IF(ISNUMBER(A45),CONVERT(Calculations!#REF!,Units_In,Units_Out),"")</f>
        <v/>
      </c>
      <c r="C45" s="34" t="str">
        <f>IF(ISNUMBER(A45),CONVERT(Calculations!#REF!,Units_In,Units_Out),"")</f>
        <v/>
      </c>
      <c r="D45" s="34" t="str">
        <f>IF(ISTEXT(Calculations!#REF!),Calculations!#REF!,"")</f>
        <v/>
      </c>
      <c r="E45" s="10" t="str">
        <f t="shared" si="2"/>
        <v/>
      </c>
      <c r="F45" s="35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4" t="str">
        <f>IF(ISNUMBER(A46),CONVERT(Calculations!#REF!,Units_In,Units_Out),"")</f>
        <v/>
      </c>
      <c r="C46" s="34" t="str">
        <f>IF(ISNUMBER(A46),CONVERT(Calculations!#REF!,Units_In,Units_Out),"")</f>
        <v/>
      </c>
      <c r="D46" s="34" t="str">
        <f>IF(ISTEXT(Calculations!#REF!),Calculations!#REF!,"")</f>
        <v/>
      </c>
      <c r="E46" s="10" t="str">
        <f t="shared" si="2"/>
        <v/>
      </c>
      <c r="F46" s="35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4" t="str">
        <f>IF(ISNUMBER(A47),CONVERT(Calculations!#REF!,Units_In,Units_Out),"")</f>
        <v/>
      </c>
      <c r="C47" s="34" t="str">
        <f>IF(ISNUMBER(A47),CONVERT(Calculations!#REF!,Units_In,Units_Out),"")</f>
        <v/>
      </c>
      <c r="D47" s="34" t="str">
        <f>IF(ISTEXT(Calculations!#REF!),Calculations!#REF!,"")</f>
        <v/>
      </c>
      <c r="E47" s="10" t="str">
        <f t="shared" si="2"/>
        <v/>
      </c>
      <c r="F47" s="35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4" t="str">
        <f>IF(ISNUMBER(A48),CONVERT(Calculations!#REF!,Units_In,Units_Out),"")</f>
        <v/>
      </c>
      <c r="C48" s="34" t="str">
        <f>IF(ISNUMBER(A48),CONVERT(Calculations!#REF!,Units_In,Units_Out),"")</f>
        <v/>
      </c>
      <c r="D48" s="34" t="str">
        <f>IF(ISTEXT(Calculations!#REF!),Calculations!#REF!,"")</f>
        <v/>
      </c>
      <c r="E48" s="10" t="str">
        <f t="shared" si="2"/>
        <v/>
      </c>
      <c r="F48" s="35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4" t="str">
        <f>IF(ISNUMBER(A49),CONVERT(Calculations!#REF!,Units_In,Units_Out),"")</f>
        <v/>
      </c>
      <c r="C49" s="34" t="str">
        <f>IF(ISNUMBER(A49),CONVERT(Calculations!#REF!,Units_In,Units_Out),"")</f>
        <v/>
      </c>
      <c r="D49" s="34" t="str">
        <f>IF(ISTEXT(Calculations!#REF!),Calculations!#REF!,"")</f>
        <v/>
      </c>
      <c r="E49" s="10" t="str">
        <f t="shared" si="2"/>
        <v/>
      </c>
      <c r="F49" s="35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4" t="str">
        <f>IF(ISNUMBER(A50),CONVERT(Calculations!#REF!,Units_In,Units_Out),"")</f>
        <v/>
      </c>
      <c r="C50" s="34" t="str">
        <f>IF(ISNUMBER(A50),CONVERT(Calculations!#REF!,Units_In,Units_Out),"")</f>
        <v/>
      </c>
      <c r="D50" s="34" t="str">
        <f>IF(ISTEXT(Calculations!#REF!),Calculations!#REF!,"")</f>
        <v/>
      </c>
      <c r="E50" s="10" t="str">
        <f t="shared" si="2"/>
        <v/>
      </c>
      <c r="F50" s="35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4" t="str">
        <f>IF(ISNUMBER(A51),CONVERT(Calculations!#REF!,Units_In,Units_Out),"")</f>
        <v/>
      </c>
      <c r="C51" s="34" t="str">
        <f>IF(ISNUMBER(A51),CONVERT(Calculations!#REF!,Units_In,Units_Out),"")</f>
        <v/>
      </c>
      <c r="D51" s="34" t="str">
        <f>IF(ISTEXT(Calculations!#REF!),Calculations!#REF!,"")</f>
        <v/>
      </c>
      <c r="E51" s="10" t="str">
        <f t="shared" si="2"/>
        <v/>
      </c>
      <c r="F51" s="35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4" t="str">
        <f>IF(ISNUMBER(A52),CONVERT(Calculations!#REF!,Units_In,Units_Out),"")</f>
        <v/>
      </c>
      <c r="C52" s="34" t="str">
        <f>IF(ISNUMBER(A52),CONVERT(Calculations!#REF!,Units_In,Units_Out),"")</f>
        <v/>
      </c>
      <c r="D52" s="34" t="str">
        <f>IF(ISTEXT(Calculations!#REF!),Calculations!#REF!,"")</f>
        <v/>
      </c>
      <c r="E52" s="10" t="str">
        <f t="shared" si="2"/>
        <v/>
      </c>
      <c r="F52" s="35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4" t="str">
        <f>IF(ISNUMBER(A53),CONVERT(Calculations!#REF!,Units_In,Units_Out),"")</f>
        <v/>
      </c>
      <c r="C53" s="34" t="str">
        <f>IF(ISNUMBER(A53),CONVERT(Calculations!#REF!,Units_In,Units_Out),"")</f>
        <v/>
      </c>
      <c r="D53" s="34" t="str">
        <f>IF(ISTEXT(Calculations!#REF!),Calculations!#REF!,"")</f>
        <v/>
      </c>
      <c r="E53" s="10" t="str">
        <f t="shared" si="2"/>
        <v/>
      </c>
      <c r="F53" s="35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4" t="str">
        <f>IF(ISNUMBER(A54),CONVERT(Calculations!#REF!,Units_In,Units_Out),"")</f>
        <v/>
      </c>
      <c r="C54" s="34" t="str">
        <f>IF(ISNUMBER(A54),CONVERT(Calculations!#REF!,Units_In,Units_Out),"")</f>
        <v/>
      </c>
      <c r="D54" s="34" t="str">
        <f>IF(ISTEXT(Calculations!#REF!),Calculations!#REF!,"")</f>
        <v/>
      </c>
      <c r="E54" s="10" t="str">
        <f t="shared" si="2"/>
        <v/>
      </c>
      <c r="F54" s="35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4" t="str">
        <f>IF(ISNUMBER(A55),CONVERT(Calculations!#REF!,Units_In,Units_Out),"")</f>
        <v/>
      </c>
      <c r="C55" s="34" t="str">
        <f>IF(ISNUMBER(A55),CONVERT(Calculations!#REF!,Units_In,Units_Out),"")</f>
        <v/>
      </c>
      <c r="D55" s="34" t="str">
        <f>IF(ISTEXT(Calculations!#REF!),Calculations!#REF!,"")</f>
        <v/>
      </c>
      <c r="E55" s="10" t="str">
        <f t="shared" si="2"/>
        <v/>
      </c>
      <c r="F55" s="35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4" t="str">
        <f>IF(ISNUMBER(A56),CONVERT(Calculations!#REF!,Units_In,Units_Out),"")</f>
        <v/>
      </c>
      <c r="C56" s="34" t="str">
        <f>IF(ISNUMBER(A56),CONVERT(Calculations!#REF!,Units_In,Units_Out),"")</f>
        <v/>
      </c>
      <c r="D56" s="34" t="str">
        <f>IF(ISTEXT(Calculations!#REF!),Calculations!#REF!,"")</f>
        <v/>
      </c>
      <c r="E56" s="10" t="str">
        <f t="shared" si="2"/>
        <v/>
      </c>
      <c r="F56" s="35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4" t="str">
        <f>IF(ISNUMBER(A57),CONVERT(Calculations!#REF!,Units_In,Units_Out),"")</f>
        <v/>
      </c>
      <c r="C57" s="34" t="str">
        <f>IF(ISNUMBER(A57),CONVERT(Calculations!#REF!,Units_In,Units_Out),"")</f>
        <v/>
      </c>
      <c r="D57" s="34" t="str">
        <f>IF(ISTEXT(Calculations!#REF!),Calculations!#REF!,"")</f>
        <v/>
      </c>
      <c r="E57" s="10" t="str">
        <f t="shared" si="2"/>
        <v/>
      </c>
      <c r="F57" s="35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4" t="str">
        <f>IF(ISNUMBER(A58),CONVERT(Calculations!#REF!,Units_In,Units_Out),"")</f>
        <v/>
      </c>
      <c r="C58" s="34" t="str">
        <f>IF(ISNUMBER(A58),CONVERT(Calculations!#REF!,Units_In,Units_Out),"")</f>
        <v/>
      </c>
      <c r="D58" s="34" t="str">
        <f>IF(ISTEXT(Calculations!#REF!),Calculations!#REF!,"")</f>
        <v/>
      </c>
      <c r="E58" s="10" t="str">
        <f t="shared" si="2"/>
        <v/>
      </c>
      <c r="F58" s="35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4" t="str">
        <f>IF(ISNUMBER(A59),CONVERT(Calculations!#REF!,Units_In,Units_Out),"")</f>
        <v/>
      </c>
      <c r="C59" s="34" t="str">
        <f>IF(ISNUMBER(A59),CONVERT(Calculations!#REF!,Units_In,Units_Out),"")</f>
        <v/>
      </c>
      <c r="D59" s="34" t="str">
        <f>IF(ISTEXT(Calculations!#REF!),Calculations!#REF!,"")</f>
        <v/>
      </c>
      <c r="E59" s="10" t="str">
        <f t="shared" si="2"/>
        <v/>
      </c>
      <c r="F59" s="35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4" t="str">
        <f>IF(ISNUMBER(A60),CONVERT(Calculations!#REF!,Units_In,Units_Out),"")</f>
        <v/>
      </c>
      <c r="C60" s="34" t="str">
        <f>IF(ISNUMBER(A60),CONVERT(Calculations!#REF!,Units_In,Units_Out),"")</f>
        <v/>
      </c>
      <c r="D60" s="34" t="str">
        <f>IF(ISTEXT(Calculations!#REF!),Calculations!#REF!,"")</f>
        <v/>
      </c>
      <c r="E60" s="10" t="str">
        <f t="shared" si="2"/>
        <v/>
      </c>
      <c r="F60" s="35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4" t="str">
        <f>IF(ISNUMBER(A61),CONVERT(Calculations!#REF!,Units_In,Units_Out),"")</f>
        <v/>
      </c>
      <c r="C61" s="34" t="str">
        <f>IF(ISNUMBER(A61),CONVERT(Calculations!#REF!,Units_In,Units_Out),"")</f>
        <v/>
      </c>
      <c r="D61" s="34" t="str">
        <f>IF(ISTEXT(Calculations!#REF!),Calculations!#REF!,"")</f>
        <v/>
      </c>
      <c r="E61" s="10" t="str">
        <f t="shared" si="2"/>
        <v/>
      </c>
      <c r="F61" s="35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4" t="str">
        <f>IF(ISNUMBER(A62),CONVERT(Calculations!#REF!,Units_In,Units_Out),"")</f>
        <v/>
      </c>
      <c r="C62" s="34" t="str">
        <f>IF(ISNUMBER(A62),CONVERT(Calculations!#REF!,Units_In,Units_Out),"")</f>
        <v/>
      </c>
      <c r="D62" s="34" t="str">
        <f>IF(ISTEXT(Calculations!#REF!),Calculations!#REF!,"")</f>
        <v/>
      </c>
      <c r="E62" s="10" t="str">
        <f t="shared" si="2"/>
        <v/>
      </c>
      <c r="F62" s="35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4" t="str">
        <f>IF(ISNUMBER(A63),CONVERT(Calculations!#REF!,Units_In,Units_Out),"")</f>
        <v/>
      </c>
      <c r="C63" s="34" t="str">
        <f>IF(ISNUMBER(A63),CONVERT(Calculations!#REF!,Units_In,Units_Out),"")</f>
        <v/>
      </c>
      <c r="D63" s="34" t="str">
        <f>IF(ISTEXT(Calculations!#REF!),Calculations!#REF!,"")</f>
        <v/>
      </c>
      <c r="E63" s="10" t="str">
        <f t="shared" si="2"/>
        <v/>
      </c>
      <c r="F63" s="35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4" t="str">
        <f>IF(ISNUMBER(A64),CONVERT(Calculations!#REF!,Units_In,Units_Out),"")</f>
        <v/>
      </c>
      <c r="C64" s="34" t="str">
        <f>IF(ISNUMBER(A64),CONVERT(Calculations!#REF!,Units_In,Units_Out),"")</f>
        <v/>
      </c>
      <c r="D64" s="34" t="str">
        <f>IF(ISTEXT(Calculations!#REF!),Calculations!#REF!,"")</f>
        <v/>
      </c>
      <c r="E64" s="10" t="str">
        <f t="shared" si="2"/>
        <v/>
      </c>
      <c r="F64" s="35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4" t="str">
        <f>IF(ISNUMBER(A65),CONVERT(Calculations!#REF!,Units_In,Units_Out),"")</f>
        <v/>
      </c>
      <c r="C65" s="34" t="str">
        <f>IF(ISNUMBER(A65),CONVERT(Calculations!#REF!,Units_In,Units_Out),"")</f>
        <v/>
      </c>
      <c r="D65" s="34" t="str">
        <f>IF(ISTEXT(Calculations!#REF!),Calculations!#REF!,"")</f>
        <v/>
      </c>
      <c r="E65" s="10" t="str">
        <f t="shared" si="2"/>
        <v/>
      </c>
      <c r="F65" s="35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Keith Morse</cp:lastModifiedBy>
  <dcterms:created xsi:type="dcterms:W3CDTF">2011-11-09T05:33:48Z</dcterms:created>
  <dcterms:modified xsi:type="dcterms:W3CDTF">2014-05-15T15:20:50Z</dcterms:modified>
</cp:coreProperties>
</file>