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hesis\LARB\03 Thesis-Calcs\1 Data\survey\USR Survey\1 Fieldbooks\"/>
    </mc:Choice>
  </mc:AlternateContent>
  <bookViews>
    <workbookView xWindow="-435" yWindow="330" windowWidth="18180" windowHeight="1242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52511"/>
</workbook>
</file>

<file path=xl/calcChain.xml><?xml version="1.0" encoding="utf-8"?>
<calcChain xmlns="http://schemas.openxmlformats.org/spreadsheetml/2006/main">
  <c r="X43" i="1" l="1"/>
  <c r="AB43" i="1" s="1"/>
  <c r="X44" i="1"/>
  <c r="Z44" i="1" s="1"/>
  <c r="G40" i="1"/>
  <c r="H40" i="1" s="1"/>
  <c r="I40" i="1"/>
  <c r="J40" i="1"/>
  <c r="N40" i="1"/>
  <c r="G41" i="1"/>
  <c r="H41" i="1" s="1"/>
  <c r="I41" i="1"/>
  <c r="J41" i="1"/>
  <c r="N41" i="1"/>
  <c r="G42" i="1"/>
  <c r="H42" i="1" s="1"/>
  <c r="I42" i="1"/>
  <c r="J42" i="1"/>
  <c r="N42" i="1"/>
  <c r="G43" i="1"/>
  <c r="H43" i="1" s="1"/>
  <c r="I43" i="1"/>
  <c r="J43" i="1"/>
  <c r="N43" i="1"/>
  <c r="G44" i="1"/>
  <c r="H44" i="1" s="1"/>
  <c r="I44" i="1"/>
  <c r="J44" i="1"/>
  <c r="N44" i="1"/>
  <c r="Y44" i="1" l="1"/>
  <c r="Y43" i="1"/>
  <c r="Z43" i="1"/>
  <c r="AA43" i="1" s="1"/>
  <c r="AA44" i="1"/>
  <c r="AC44" i="1"/>
  <c r="AE44" i="1" s="1"/>
  <c r="AD43" i="1"/>
  <c r="AF43" i="1" s="1"/>
  <c r="AB44" i="1"/>
  <c r="AC43" i="1"/>
  <c r="AE43" i="1" s="1"/>
  <c r="AD44" i="1"/>
  <c r="AF44" i="1" s="1"/>
  <c r="K43" i="1"/>
  <c r="L43" i="1"/>
  <c r="K41" i="1"/>
  <c r="L41" i="1"/>
  <c r="K44" i="1"/>
  <c r="L44" i="1"/>
  <c r="K42" i="1"/>
  <c r="L42" i="1"/>
  <c r="K40" i="1"/>
  <c r="L40" i="1"/>
  <c r="P5" i="1"/>
  <c r="P6" i="1"/>
  <c r="P4" i="1"/>
  <c r="O5" i="1"/>
  <c r="O6" i="1"/>
  <c r="O4" i="1"/>
  <c r="N5" i="1"/>
  <c r="N6" i="1"/>
  <c r="N4" i="1"/>
  <c r="V44" i="1" l="1"/>
  <c r="V41" i="1"/>
  <c r="Q5" i="1"/>
  <c r="V40" i="1"/>
  <c r="V43" i="1"/>
  <c r="V42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G31" i="1"/>
  <c r="H31" i="1" s="1"/>
  <c r="G32" i="1"/>
  <c r="H32" i="1" s="1"/>
  <c r="G33" i="1"/>
  <c r="H33" i="1" s="1"/>
  <c r="G34" i="1"/>
  <c r="H34" i="1" s="1"/>
  <c r="K34" i="1" s="1"/>
  <c r="G35" i="1"/>
  <c r="H35" i="1" s="1"/>
  <c r="L35" i="1" s="1"/>
  <c r="V35" i="1" s="1"/>
  <c r="G36" i="1"/>
  <c r="H36" i="1" s="1"/>
  <c r="G37" i="1"/>
  <c r="H37" i="1" s="1"/>
  <c r="L37" i="1" s="1"/>
  <c r="V37" i="1" s="1"/>
  <c r="G38" i="1"/>
  <c r="H38" i="1" s="1"/>
  <c r="G39" i="1"/>
  <c r="H39" i="1" s="1"/>
  <c r="K39" i="1" s="1"/>
  <c r="G21" i="1"/>
  <c r="H21" i="1" s="1"/>
  <c r="H23" i="1"/>
  <c r="K23" i="1" s="1"/>
  <c r="H30" i="1"/>
  <c r="K30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35" i="1"/>
  <c r="I36" i="1"/>
  <c r="I37" i="1"/>
  <c r="I38" i="1"/>
  <c r="I39" i="1"/>
  <c r="I21" i="1"/>
  <c r="K37" i="1" l="1"/>
  <c r="K29" i="1"/>
  <c r="L32" i="1"/>
  <c r="V32" i="1" s="1"/>
  <c r="K32" i="1"/>
  <c r="K31" i="1"/>
  <c r="L31" i="1"/>
  <c r="V31" i="1" s="1"/>
  <c r="K24" i="1"/>
  <c r="L23" i="1"/>
  <c r="V23" i="1" s="1"/>
  <c r="L39" i="1"/>
  <c r="V39" i="1" s="1"/>
  <c r="K22" i="1"/>
  <c r="L22" i="1"/>
  <c r="V22" i="1" s="1"/>
  <c r="L33" i="1"/>
  <c r="V33" i="1" s="1"/>
  <c r="K33" i="1"/>
  <c r="L38" i="1"/>
  <c r="V38" i="1" s="1"/>
  <c r="K38" i="1"/>
  <c r="L21" i="1"/>
  <c r="V21" i="1" s="1"/>
  <c r="K21" i="1"/>
  <c r="K36" i="1"/>
  <c r="L36" i="1"/>
  <c r="V36" i="1" s="1"/>
  <c r="K25" i="1"/>
  <c r="L28" i="1"/>
  <c r="V28" i="1" s="1"/>
  <c r="K35" i="1"/>
  <c r="K27" i="1"/>
  <c r="L34" i="1"/>
  <c r="V34" i="1" s="1"/>
  <c r="L30" i="1"/>
  <c r="V30" i="1" s="1"/>
  <c r="K26" i="1"/>
  <c r="J33" i="1"/>
  <c r="N34" i="1"/>
  <c r="N33" i="1"/>
  <c r="N25" i="1"/>
  <c r="N21" i="1"/>
  <c r="N36" i="1"/>
  <c r="N35" i="1"/>
  <c r="N28" i="1"/>
  <c r="J36" i="1"/>
  <c r="N27" i="1"/>
  <c r="J35" i="1"/>
  <c r="N26" i="1"/>
  <c r="J24" i="1"/>
  <c r="N37" i="1"/>
  <c r="N29" i="1"/>
  <c r="J32" i="1"/>
  <c r="J28" i="1"/>
  <c r="N32" i="1"/>
  <c r="N24" i="1"/>
  <c r="J27" i="1"/>
  <c r="N39" i="1"/>
  <c r="R12" i="1" s="1"/>
  <c r="N31" i="1"/>
  <c r="N23" i="1"/>
  <c r="J25" i="1"/>
  <c r="N38" i="1"/>
  <c r="N30" i="1"/>
  <c r="N22" i="1"/>
  <c r="R11" i="1" s="1"/>
  <c r="J34" i="1"/>
  <c r="J26" i="1"/>
  <c r="J39" i="1"/>
  <c r="J31" i="1"/>
  <c r="J23" i="1"/>
  <c r="J38" i="1"/>
  <c r="J30" i="1"/>
  <c r="J22" i="1"/>
  <c r="J37" i="1"/>
  <c r="J21" i="1"/>
  <c r="R14" i="1" l="1"/>
  <c r="P11" i="1"/>
  <c r="P14" i="1" s="1"/>
  <c r="R15" i="1"/>
  <c r="P12" i="1"/>
  <c r="P15" i="1" s="1"/>
  <c r="X21" i="1"/>
  <c r="O17" i="1" l="1"/>
  <c r="H3" i="2"/>
  <c r="H4" i="2"/>
  <c r="H2" i="2"/>
  <c r="O41" i="1" l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0" i="1"/>
  <c r="P40" i="1" s="1"/>
  <c r="Q40" i="1" s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R40" i="1" l="1"/>
  <c r="T40" i="1" s="1"/>
  <c r="X40" i="1" s="1"/>
  <c r="S40" i="1"/>
  <c r="U40" i="1" s="1"/>
  <c r="S44" i="1"/>
  <c r="U44" i="1" s="1"/>
  <c r="R44" i="1"/>
  <c r="T44" i="1" s="1"/>
  <c r="S43" i="1"/>
  <c r="U43" i="1" s="1"/>
  <c r="R43" i="1"/>
  <c r="T43" i="1" s="1"/>
  <c r="R42" i="1"/>
  <c r="T42" i="1" s="1"/>
  <c r="X42" i="1" s="1"/>
  <c r="S42" i="1"/>
  <c r="U42" i="1" s="1"/>
  <c r="R41" i="1"/>
  <c r="T41" i="1" s="1"/>
  <c r="X41" i="1" s="1"/>
  <c r="S41" i="1"/>
  <c r="U41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E37" i="2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E36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Y42" i="1" l="1"/>
  <c r="Y41" i="1"/>
  <c r="Y40" i="1"/>
  <c r="X4" i="1"/>
  <c r="Y4" i="1"/>
  <c r="Y5" i="1" l="1"/>
  <c r="Y8" i="1" s="1"/>
  <c r="X6" i="1"/>
  <c r="X9" i="1" s="1"/>
  <c r="Y6" i="1"/>
  <c r="Y9" i="1" s="1"/>
  <c r="O21" i="1" l="1"/>
  <c r="P21" i="1" l="1"/>
  <c r="Q21" i="1" s="1"/>
  <c r="O22" i="1"/>
  <c r="O24" i="1"/>
  <c r="O26" i="1"/>
  <c r="O28" i="1"/>
  <c r="O30" i="1"/>
  <c r="O32" i="1"/>
  <c r="O34" i="1"/>
  <c r="O36" i="1"/>
  <c r="O38" i="1"/>
  <c r="O23" i="1"/>
  <c r="O25" i="1"/>
  <c r="O27" i="1"/>
  <c r="O29" i="1"/>
  <c r="O31" i="1"/>
  <c r="O33" i="1"/>
  <c r="O35" i="1"/>
  <c r="O37" i="1"/>
  <c r="O39" i="1"/>
  <c r="P39" i="1" l="1"/>
  <c r="P23" i="1"/>
  <c r="P36" i="1"/>
  <c r="P37" i="1"/>
  <c r="P34" i="1"/>
  <c r="P35" i="1"/>
  <c r="P32" i="1"/>
  <c r="P33" i="1"/>
  <c r="P30" i="1"/>
  <c r="P31" i="1"/>
  <c r="P28" i="1"/>
  <c r="P29" i="1"/>
  <c r="P26" i="1"/>
  <c r="P27" i="1"/>
  <c r="P24" i="1"/>
  <c r="P25" i="1"/>
  <c r="P38" i="1"/>
  <c r="P22" i="1"/>
  <c r="R21" i="1"/>
  <c r="T21" i="1" s="1"/>
  <c r="S21" i="1"/>
  <c r="U21" i="1" s="1"/>
  <c r="X5" i="1"/>
  <c r="X8" i="1" s="1"/>
  <c r="X11" i="1" s="1"/>
  <c r="W42" i="1" l="1"/>
  <c r="W41" i="1"/>
  <c r="W40" i="1"/>
  <c r="W43" i="1"/>
  <c r="W44" i="1"/>
  <c r="Q27" i="1"/>
  <c r="S27" i="1" s="1"/>
  <c r="U27" i="1" s="1"/>
  <c r="C11" i="2" s="1"/>
  <c r="Q31" i="1"/>
  <c r="S31" i="1" s="1"/>
  <c r="U31" i="1" s="1"/>
  <c r="C15" i="2" s="1"/>
  <c r="Q35" i="1"/>
  <c r="R35" i="1" s="1"/>
  <c r="T35" i="1" s="1"/>
  <c r="B19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W34" i="1" s="1"/>
  <c r="Q38" i="1"/>
  <c r="S38" i="1" s="1"/>
  <c r="U38" i="1" s="1"/>
  <c r="C22" i="2" s="1"/>
  <c r="C34" i="2"/>
  <c r="Q25" i="1"/>
  <c r="R25" i="1" s="1"/>
  <c r="T25" i="1" s="1"/>
  <c r="Q29" i="1"/>
  <c r="S29" i="1" s="1"/>
  <c r="U29" i="1" s="1"/>
  <c r="C13" i="2" s="1"/>
  <c r="Q33" i="1"/>
  <c r="S33" i="1" s="1"/>
  <c r="U33" i="1" s="1"/>
  <c r="C17" i="2" s="1"/>
  <c r="Q37" i="1"/>
  <c r="R37" i="1" s="1"/>
  <c r="T37" i="1" s="1"/>
  <c r="B29" i="2"/>
  <c r="C33" i="2"/>
  <c r="Q36" i="1"/>
  <c r="R36" i="1" s="1"/>
  <c r="T36" i="1" s="1"/>
  <c r="B20" i="2" s="1"/>
  <c r="Q24" i="1"/>
  <c r="R24" i="1" s="1"/>
  <c r="T24" i="1" s="1"/>
  <c r="B8" i="2" s="1"/>
  <c r="Q28" i="1"/>
  <c r="R28" i="1" s="1"/>
  <c r="T28" i="1" s="1"/>
  <c r="B12" i="2" s="1"/>
  <c r="Q32" i="1"/>
  <c r="R32" i="1" s="1"/>
  <c r="T32" i="1" s="1"/>
  <c r="B16" i="2" s="1"/>
  <c r="Q23" i="1"/>
  <c r="R23" i="1" s="1"/>
  <c r="T23" i="1" s="1"/>
  <c r="B7" i="2" s="1"/>
  <c r="B24" i="2"/>
  <c r="B28" i="2"/>
  <c r="B32" i="2"/>
  <c r="Q39" i="1"/>
  <c r="C5" i="2"/>
  <c r="X22" i="1"/>
  <c r="B5" i="2"/>
  <c r="W21" i="1"/>
  <c r="B31" i="2" l="1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E16" i="2" s="1"/>
  <c r="C29" i="2"/>
  <c r="E29" i="2" s="1"/>
  <c r="R33" i="1"/>
  <c r="T33" i="1" s="1"/>
  <c r="B17" i="2" s="1"/>
  <c r="E17" i="2" s="1"/>
  <c r="R38" i="1"/>
  <c r="T38" i="1" s="1"/>
  <c r="X38" i="1" s="1"/>
  <c r="S37" i="1"/>
  <c r="U37" i="1" s="1"/>
  <c r="C21" i="2" s="1"/>
  <c r="S25" i="1"/>
  <c r="U25" i="1" s="1"/>
  <c r="C9" i="2" s="1"/>
  <c r="C25" i="2"/>
  <c r="C26" i="2"/>
  <c r="B26" i="2"/>
  <c r="B25" i="2"/>
  <c r="W25" i="1"/>
  <c r="B9" i="2"/>
  <c r="X25" i="1"/>
  <c r="X37" i="1"/>
  <c r="W37" i="1"/>
  <c r="W32" i="1"/>
  <c r="R29" i="1"/>
  <c r="T29" i="1" s="1"/>
  <c r="R26" i="1"/>
  <c r="T26" i="1" s="1"/>
  <c r="R22" i="1"/>
  <c r="T22" i="1" s="1"/>
  <c r="C28" i="2"/>
  <c r="E28" i="2" s="1"/>
  <c r="S28" i="1"/>
  <c r="U28" i="1" s="1"/>
  <c r="C12" i="2" s="1"/>
  <c r="E12" i="2" s="1"/>
  <c r="X32" i="1"/>
  <c r="C35" i="2"/>
  <c r="E35" i="2" s="1"/>
  <c r="R31" i="1"/>
  <c r="T31" i="1" s="1"/>
  <c r="S35" i="1"/>
  <c r="U35" i="1" s="1"/>
  <c r="C19" i="2" s="1"/>
  <c r="E19" i="2" s="1"/>
  <c r="R39" i="1"/>
  <c r="T39" i="1" s="1"/>
  <c r="X39" i="1" s="1"/>
  <c r="S39" i="1"/>
  <c r="U39" i="1" s="1"/>
  <c r="C23" i="2" s="1"/>
  <c r="C24" i="2"/>
  <c r="E24" i="2" s="1"/>
  <c r="S34" i="1"/>
  <c r="U34" i="1" s="1"/>
  <c r="C18" i="2" s="1"/>
  <c r="S24" i="1"/>
  <c r="U24" i="1" s="1"/>
  <c r="C8" i="2" s="1"/>
  <c r="E8" i="2" s="1"/>
  <c r="S36" i="1"/>
  <c r="U36" i="1" s="1"/>
  <c r="C20" i="2" s="1"/>
  <c r="E20" i="2" s="1"/>
  <c r="R27" i="1"/>
  <c r="T27" i="1" s="1"/>
  <c r="X23" i="1"/>
  <c r="X36" i="1"/>
  <c r="W23" i="1"/>
  <c r="B21" i="2"/>
  <c r="B18" i="2"/>
  <c r="X34" i="1"/>
  <c r="W24" i="1"/>
  <c r="W28" i="1"/>
  <c r="X35" i="1"/>
  <c r="X24" i="1"/>
  <c r="W36" i="1"/>
  <c r="B30" i="2"/>
  <c r="E30" i="2" s="1"/>
  <c r="X28" i="1"/>
  <c r="W35" i="1"/>
  <c r="E5" i="2"/>
  <c r="AD21" i="1"/>
  <c r="Y21" i="1"/>
  <c r="Z21" i="1"/>
  <c r="AB21" i="1"/>
  <c r="AD22" i="1"/>
  <c r="Y22" i="1"/>
  <c r="Y38" i="1" l="1"/>
  <c r="Y39" i="1"/>
  <c r="B14" i="2"/>
  <c r="E14" i="2" s="1"/>
  <c r="Y30" i="1"/>
  <c r="Y36" i="1"/>
  <c r="W30" i="1"/>
  <c r="Y23" i="1"/>
  <c r="Y32" i="1"/>
  <c r="E26" i="2"/>
  <c r="B27" i="2"/>
  <c r="E27" i="2" s="1"/>
  <c r="Y28" i="1"/>
  <c r="Y25" i="1"/>
  <c r="E21" i="2"/>
  <c r="W38" i="1"/>
  <c r="W33" i="1"/>
  <c r="X33" i="1"/>
  <c r="Y37" i="1"/>
  <c r="B22" i="2"/>
  <c r="E22" i="2" s="1"/>
  <c r="E9" i="2"/>
  <c r="Y24" i="1"/>
  <c r="E25" i="2"/>
  <c r="Y34" i="1"/>
  <c r="B34" i="2"/>
  <c r="E34" i="2" s="1"/>
  <c r="B23" i="2"/>
  <c r="E23" i="2" s="1"/>
  <c r="W39" i="1"/>
  <c r="W22" i="1"/>
  <c r="B6" i="2"/>
  <c r="E6" i="2" s="1"/>
  <c r="X26" i="1"/>
  <c r="B10" i="2"/>
  <c r="E10" i="2" s="1"/>
  <c r="W26" i="1"/>
  <c r="W29" i="1"/>
  <c r="B13" i="2"/>
  <c r="E13" i="2" s="1"/>
  <c r="X29" i="1"/>
  <c r="E18" i="2"/>
  <c r="B11" i="2"/>
  <c r="E11" i="2" s="1"/>
  <c r="W27" i="1"/>
  <c r="X27" i="1"/>
  <c r="B15" i="2"/>
  <c r="E15" i="2" s="1"/>
  <c r="W31" i="1"/>
  <c r="X31" i="1"/>
  <c r="Y35" i="1"/>
  <c r="B33" i="2"/>
  <c r="E33" i="2" s="1"/>
  <c r="AC21" i="1"/>
  <c r="AA21" i="1"/>
  <c r="AB22" i="1"/>
  <c r="Y31" i="1" l="1"/>
  <c r="Y29" i="1"/>
  <c r="Y27" i="1"/>
  <c r="Y26" i="1"/>
  <c r="Y33" i="1"/>
  <c r="X13" i="1"/>
  <c r="AD25" i="1" l="1"/>
  <c r="AF25" i="1" s="1"/>
  <c r="AD40" i="1"/>
  <c r="AF40" i="1" s="1"/>
  <c r="AD41" i="1"/>
  <c r="AF41" i="1" s="1"/>
  <c r="AD42" i="1"/>
  <c r="AF42" i="1" s="1"/>
  <c r="AD38" i="1"/>
  <c r="AF38" i="1" s="1"/>
  <c r="AD39" i="1"/>
  <c r="AF39" i="1" s="1"/>
  <c r="AD29" i="1"/>
  <c r="AF29" i="1" s="1"/>
  <c r="AD35" i="1"/>
  <c r="AF35" i="1" s="1"/>
  <c r="AD32" i="1"/>
  <c r="AF32" i="1" s="1"/>
  <c r="AD34" i="1"/>
  <c r="AF34" i="1" s="1"/>
  <c r="AD30" i="1"/>
  <c r="AF30" i="1" s="1"/>
  <c r="AD36" i="1"/>
  <c r="AF36" i="1" s="1"/>
  <c r="AD24" i="1"/>
  <c r="AF24" i="1" s="1"/>
  <c r="AD28" i="1"/>
  <c r="AF28" i="1" s="1"/>
  <c r="AD23" i="1"/>
  <c r="AF23" i="1" s="1"/>
  <c r="AD27" i="1"/>
  <c r="AF27" i="1" s="1"/>
  <c r="AD33" i="1"/>
  <c r="AF33" i="1" s="1"/>
  <c r="AD26" i="1"/>
  <c r="AF26" i="1" s="1"/>
  <c r="AD37" i="1"/>
  <c r="AF37" i="1" s="1"/>
  <c r="AD31" i="1"/>
  <c r="AF31" i="1" s="1"/>
  <c r="Z22" i="1" l="1"/>
  <c r="AA22" i="1" s="1"/>
  <c r="AC22" i="1" l="1"/>
  <c r="AC4" i="1"/>
  <c r="AC3" i="1"/>
  <c r="AC6" i="1" s="1"/>
  <c r="Z42" i="1" l="1"/>
  <c r="Z40" i="1"/>
  <c r="Z41" i="1"/>
  <c r="Z39" i="1"/>
  <c r="Z38" i="1"/>
  <c r="Z32" i="1"/>
  <c r="Z23" i="1"/>
  <c r="AA23" i="1" s="1"/>
  <c r="Z31" i="1"/>
  <c r="Z33" i="1"/>
  <c r="Z37" i="1"/>
  <c r="Z36" i="1"/>
  <c r="Z25" i="1"/>
  <c r="Z24" i="1"/>
  <c r="Z26" i="1"/>
  <c r="Z29" i="1"/>
  <c r="Z27" i="1"/>
  <c r="Z34" i="1"/>
  <c r="Z30" i="1"/>
  <c r="Z35" i="1"/>
  <c r="Z28" i="1"/>
  <c r="AA38" i="1" l="1"/>
  <c r="AC38" i="1" s="1"/>
  <c r="AE38" i="1" s="1"/>
  <c r="AA39" i="1"/>
  <c r="AC39" i="1" s="1"/>
  <c r="AE39" i="1" s="1"/>
  <c r="AA41" i="1"/>
  <c r="AB41" i="1" s="1"/>
  <c r="AA40" i="1"/>
  <c r="AB40" i="1" s="1"/>
  <c r="AA42" i="1"/>
  <c r="AC42" i="1" s="1"/>
  <c r="AE42" i="1" s="1"/>
  <c r="AA32" i="1"/>
  <c r="AB32" i="1" s="1"/>
  <c r="AC23" i="1"/>
  <c r="AE23" i="1" s="1"/>
  <c r="AA35" i="1"/>
  <c r="AB35" i="1" s="1"/>
  <c r="AA24" i="1"/>
  <c r="AC24" i="1" s="1"/>
  <c r="AE24" i="1" s="1"/>
  <c r="AA37" i="1"/>
  <c r="AB37" i="1" s="1"/>
  <c r="AA34" i="1"/>
  <c r="AB34" i="1" s="1"/>
  <c r="AA33" i="1"/>
  <c r="AB33" i="1" s="1"/>
  <c r="AA27" i="1"/>
  <c r="AB27" i="1" s="1"/>
  <c r="AA25" i="1"/>
  <c r="AB25" i="1" s="1"/>
  <c r="AA31" i="1"/>
  <c r="AA29" i="1"/>
  <c r="AB29" i="1" s="1"/>
  <c r="AB23" i="1"/>
  <c r="AA36" i="1"/>
  <c r="AB36" i="1" s="1"/>
  <c r="AA26" i="1"/>
  <c r="AA30" i="1"/>
  <c r="AA28" i="1"/>
  <c r="AB28" i="1" s="1"/>
  <c r="AC40" i="1" l="1"/>
  <c r="AE40" i="1" s="1"/>
  <c r="AB39" i="1"/>
  <c r="AB42" i="1"/>
  <c r="AB38" i="1"/>
  <c r="AC41" i="1"/>
  <c r="AE41" i="1" s="1"/>
  <c r="AC31" i="1"/>
  <c r="AE31" i="1" s="1"/>
  <c r="AC30" i="1"/>
  <c r="AE30" i="1" s="1"/>
  <c r="AC32" i="1"/>
  <c r="AE32" i="1" s="1"/>
  <c r="AC26" i="1"/>
  <c r="AE26" i="1" s="1"/>
  <c r="AB31" i="1"/>
  <c r="AB24" i="1"/>
  <c r="AC35" i="1"/>
  <c r="AE35" i="1" s="1"/>
  <c r="AB30" i="1"/>
  <c r="AB26" i="1"/>
  <c r="AC34" i="1"/>
  <c r="AE34" i="1" s="1"/>
  <c r="AC28" i="1"/>
  <c r="AE28" i="1" s="1"/>
  <c r="AC36" i="1"/>
  <c r="AE36" i="1" s="1"/>
  <c r="AC25" i="1"/>
  <c r="AE25" i="1" s="1"/>
  <c r="AC33" i="1"/>
  <c r="AE33" i="1" s="1"/>
  <c r="AC27" i="1"/>
  <c r="AE27" i="1" s="1"/>
  <c r="AC29" i="1"/>
  <c r="AE29" i="1" s="1"/>
  <c r="AC37" i="1"/>
  <c r="AE37" i="1" s="1"/>
  <c r="AI38" i="1" l="1"/>
  <c r="AJ38" i="1" s="1"/>
  <c r="AI40" i="1"/>
  <c r="AJ40" i="1" s="1"/>
  <c r="AI41" i="1"/>
  <c r="AJ41" i="1" s="1"/>
  <c r="AI39" i="1"/>
  <c r="AJ39" i="1" s="1"/>
  <c r="AI42" i="1"/>
  <c r="AJ42" i="1" s="1"/>
  <c r="AI23" i="1"/>
  <c r="AJ23" i="1" s="1"/>
  <c r="AI34" i="1"/>
  <c r="AJ34" i="1" s="1"/>
  <c r="AI37" i="1"/>
  <c r="AJ37" i="1" s="1"/>
  <c r="AI30" i="1"/>
  <c r="AJ30" i="1" s="1"/>
  <c r="AC10" i="1"/>
  <c r="AI26" i="1"/>
  <c r="AJ26" i="1" s="1"/>
  <c r="AI27" i="1"/>
  <c r="AJ27" i="1" s="1"/>
  <c r="AI36" i="1"/>
  <c r="AJ36" i="1" s="1"/>
  <c r="AI28" i="1"/>
  <c r="AJ28" i="1" s="1"/>
  <c r="AI31" i="1"/>
  <c r="AJ31" i="1" s="1"/>
  <c r="AI29" i="1"/>
  <c r="AJ29" i="1" s="1"/>
  <c r="AI32" i="1"/>
  <c r="AJ32" i="1" s="1"/>
  <c r="AI25" i="1"/>
  <c r="AJ25" i="1" s="1"/>
  <c r="AI33" i="1"/>
  <c r="AJ33" i="1" s="1"/>
  <c r="AC9" i="1"/>
  <c r="AI24" i="1"/>
  <c r="AJ24" i="1" s="1"/>
  <c r="AI35" i="1"/>
  <c r="AJ3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 shape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 shape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 shape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 shape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 shape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<sst xmlns="http://schemas.openxmlformats.org/spreadsheetml/2006/main" count="106" uniqueCount="93">
  <si>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</si>
  <si>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</si>
  <si>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</si>
  <si>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</si>
  <si>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</si>
  <si>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</si>
  <si>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</si>
  <si>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</si>
  <si>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</si>
  <si>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</si>
  <si>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</si>
  <si>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</si>
  <si>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</si>
  <si>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</si>
  <si>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</si>
  <si>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</si>
  <si>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</si>
  <si>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</si>
  <si>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</si>
  <si>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</si>
  <si>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</si>
  <si>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</si>
  <si>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</si>
  <si>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</si>
  <si>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</si>
  <si>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</si>
  <si>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</si>
  <si>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</si>
  <si>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</si>
  <si>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</si>
  <si>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</si>
  <si>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</si>
  <si>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</si>
  <si>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</si>
  <si>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</si>
  <si>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</si>
  <si>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</si>
  <si>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</si>
  <si>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</si>
  <si>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</si>
  <si>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</si>
  <si>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</si>
  <si>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</si>
  <si>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</si>
  <si>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</si>
  <si>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</si>
  <si>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</si>
  <si>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</si>
  <si>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</si>
  <si>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</si>
  <si>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</si>
  <si>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</si>
  <si>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</si>
  <si>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</si>
  <si>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</si>
  <si>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</si>
  <si>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</si>
  <si>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</si>
  <si>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</si>
  <si>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</si>
  <si>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</si>
  <si>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</si>
  <si>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</si>
  <si>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</si>
  <si>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</si>
  <si>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</si>
  <si>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</si>
  <si>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</si>
  <si>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</si>
  <si>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</si>
  <si>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WS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</si>
  <si>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</si>
  <si>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</si>
  <si>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</si>
  <si>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</si>
  <si>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</si>
  <si>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</si>
  <si>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</si>
  <si>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</si>
  <si>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</si>
  <si>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</si>
  <si>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</si>
  <si>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</si>
  <si>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</si>
  <si>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</si>
  <si>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</si>
  <si>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ZERO/BS</t>
  </si>
  <si>
    <t>0/7/2011</t>
  </si>
  <si>
    <t>1,467779.778,1053617.019,1278.534,</t>
  </si>
  <si>
    <t>2,467774.115,1053631.740,1276.935,</t>
  </si>
  <si>
    <t>3,467767.090,1053613.647,1277.060,</t>
  </si>
  <si>
    <t>ISLAND</t>
  </si>
  <si>
    <t>CSS3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</si>
</sst>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Calculations!$AH$23:$AH$42</c:f>
              <c:numCache>
                <c:formatCode>General</c:formatCode>
                <c:ptCount val="20"/>
                <c:pt idx="0">
                  <c:v>0</c:v>
                </c:pt>
                <c:pt idx="1">
                  <c:v>1.01</c:v>
                </c:pt>
                <c:pt idx="2">
                  <c:v>2.16</c:v>
                </c:pt>
                <c:pt idx="3">
                  <c:v>3.38</c:v>
                </c:pt>
                <c:pt idx="4">
                  <c:v>4.5999999999999996</c:v>
                </c:pt>
                <c:pt idx="5">
                  <c:v>5.92</c:v>
                </c:pt>
                <c:pt idx="6">
                  <c:v>8.24</c:v>
                </c:pt>
                <c:pt idx="7">
                  <c:v>9.36</c:v>
                </c:pt>
                <c:pt idx="8">
                  <c:v>10.199999999999999</c:v>
                </c:pt>
                <c:pt idx="9">
                  <c:v>14</c:v>
                </c:pt>
                <c:pt idx="10">
                  <c:v>15.61</c:v>
                </c:pt>
                <c:pt idx="11">
                  <c:v>135.46</c:v>
                </c:pt>
                <c:pt idx="12">
                  <c:v>147.77000000000001</c:v>
                </c:pt>
                <c:pt idx="13">
                  <c:v>178.02</c:v>
                </c:pt>
                <c:pt idx="14">
                  <c:v>183.72</c:v>
                </c:pt>
                <c:pt idx="15">
                  <c:v>251.88</c:v>
                </c:pt>
                <c:pt idx="16">
                  <c:v>254.11</c:v>
                </c:pt>
                <c:pt idx="17">
                  <c:v>257.02</c:v>
                </c:pt>
                <c:pt idx="18">
                  <c:v>259.26</c:v>
                </c:pt>
                <c:pt idx="19">
                  <c:v>260.95</c:v>
                </c:pt>
              </c:numCache>
            </c:numRef>
          </c:xVal>
          <c:yVal>
            <c:numRef>
              <c:f>Calculations!$AI$23:$AI$42</c:f>
              <c:numCache>
                <c:formatCode>General</c:formatCode>
                <c:ptCount val="20"/>
                <c:pt idx="0">
                  <c:v>8.44</c:v>
                </c:pt>
                <c:pt idx="1">
                  <c:v>6.95</c:v>
                </c:pt>
                <c:pt idx="2">
                  <c:v>6.82</c:v>
                </c:pt>
                <c:pt idx="3">
                  <c:v>5.43</c:v>
                </c:pt>
                <c:pt idx="4">
                  <c:v>4.58</c:v>
                </c:pt>
                <c:pt idx="5">
                  <c:v>3.83</c:v>
                </c:pt>
                <c:pt idx="6">
                  <c:v>3.43</c:v>
                </c:pt>
                <c:pt idx="7">
                  <c:v>2.11</c:v>
                </c:pt>
                <c:pt idx="8">
                  <c:v>1.03</c:v>
                </c:pt>
                <c:pt idx="9">
                  <c:v>0.64</c:v>
                </c:pt>
                <c:pt idx="10">
                  <c:v>0</c:v>
                </c:pt>
                <c:pt idx="11">
                  <c:v>0.77</c:v>
                </c:pt>
                <c:pt idx="12">
                  <c:v>0.82</c:v>
                </c:pt>
                <c:pt idx="13">
                  <c:v>0.81</c:v>
                </c:pt>
                <c:pt idx="14">
                  <c:v>0.75</c:v>
                </c:pt>
                <c:pt idx="15">
                  <c:v>0.67</c:v>
                </c:pt>
                <c:pt idx="16">
                  <c:v>1.08</c:v>
                </c:pt>
                <c:pt idx="17">
                  <c:v>1.59</c:v>
                </c:pt>
                <c:pt idx="18">
                  <c:v>2.37</c:v>
                </c:pt>
                <c:pt idx="19">
                  <c:v>4.66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6576"/>
        <c:axId val="311346184"/>
      </c:scatterChart>
      <c:valAx>
        <c:axId val="31134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346184"/>
        <c:crosses val="autoZero"/>
        <c:crossBetween val="midCat"/>
      </c:valAx>
      <c:valAx>
        <c:axId val="31134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46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Calculations!$R$23:$R$42</c:f>
              <c:numCache>
                <c:formatCode>0.00</c:formatCode>
                <c:ptCount val="20"/>
                <c:pt idx="0">
                  <c:v>1.8139243493428279</c:v>
                </c:pt>
                <c:pt idx="1">
                  <c:v>1.9724343223021026</c:v>
                </c:pt>
                <c:pt idx="2">
                  <c:v>2.0986406672456295</c:v>
                </c:pt>
                <c:pt idx="3">
                  <c:v>2.2614682121555649</c:v>
                </c:pt>
                <c:pt idx="4">
                  <c:v>2.4790575600623401</c:v>
                </c:pt>
                <c:pt idx="5">
                  <c:v>2.6669684776595974</c:v>
                </c:pt>
                <c:pt idx="6">
                  <c:v>2.9324582266467352</c:v>
                </c:pt>
                <c:pt idx="7">
                  <c:v>2.9094229893934616</c:v>
                </c:pt>
                <c:pt idx="8">
                  <c:v>2.9169334970427503</c:v>
                </c:pt>
                <c:pt idx="9">
                  <c:v>3.3709506430088045</c:v>
                </c:pt>
                <c:pt idx="10">
                  <c:v>3.4748130439522655</c:v>
                </c:pt>
                <c:pt idx="11">
                  <c:v>13.320195021787118</c:v>
                </c:pt>
                <c:pt idx="12">
                  <c:v>15.415019055252202</c:v>
                </c:pt>
                <c:pt idx="13">
                  <c:v>18.56139637376689</c:v>
                </c:pt>
                <c:pt idx="14">
                  <c:v>19.73818907558962</c:v>
                </c:pt>
                <c:pt idx="15">
                  <c:v>25.974297781795922</c:v>
                </c:pt>
                <c:pt idx="16">
                  <c:v>26.074007689523654</c:v>
                </c:pt>
                <c:pt idx="17">
                  <c:v>27.58371929005223</c:v>
                </c:pt>
                <c:pt idx="18">
                  <c:v>28.708333204131744</c:v>
                </c:pt>
                <c:pt idx="19">
                  <c:v>30.326662957365659</c:v>
                </c:pt>
              </c:numCache>
            </c:numRef>
          </c:xVal>
          <c:yVal>
            <c:numRef>
              <c:f>Calculations!$S$23:$S$42</c:f>
              <c:numCache>
                <c:formatCode>0.00</c:formatCode>
                <c:ptCount val="20"/>
                <c:pt idx="0">
                  <c:v>5.0755566271858052</c:v>
                </c:pt>
                <c:pt idx="1">
                  <c:v>5.3450859382582463</c:v>
                </c:pt>
                <c:pt idx="2">
                  <c:v>5.6733684707697769</c:v>
                </c:pt>
                <c:pt idx="3">
                  <c:v>6.009996791431762</c:v>
                </c:pt>
                <c:pt idx="4">
                  <c:v>6.3275308797594443</c:v>
                </c:pt>
                <c:pt idx="5">
                  <c:v>6.6881125980251221</c:v>
                </c:pt>
                <c:pt idx="6">
                  <c:v>7.3471664190909607</c:v>
                </c:pt>
                <c:pt idx="7">
                  <c:v>7.7147256098287214</c:v>
                </c:pt>
                <c:pt idx="8">
                  <c:v>7.9832535114654304</c:v>
                </c:pt>
                <c:pt idx="9">
                  <c:v>9.0521305732067319</c:v>
                </c:pt>
                <c:pt idx="10">
                  <c:v>9.5364770549615301</c:v>
                </c:pt>
                <c:pt idx="11">
                  <c:v>44.785629894542332</c:v>
                </c:pt>
                <c:pt idx="12">
                  <c:v>48.030615438966869</c:v>
                </c:pt>
                <c:pt idx="13">
                  <c:v>56.699348451707323</c:v>
                </c:pt>
                <c:pt idx="14">
                  <c:v>58.12837299983169</c:v>
                </c:pt>
                <c:pt idx="15">
                  <c:v>77.956757622077006</c:v>
                </c:pt>
                <c:pt idx="16">
                  <c:v>78.63976188922932</c:v>
                </c:pt>
                <c:pt idx="17">
                  <c:v>79.054209140026501</c:v>
                </c:pt>
                <c:pt idx="18">
                  <c:v>79.388941291204716</c:v>
                </c:pt>
                <c:pt idx="19">
                  <c:v>79.370412411309246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45792"/>
        <c:axId val="343034984"/>
      </c:scatterChart>
      <c:valAx>
        <c:axId val="311345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3034984"/>
        <c:crosses val="autoZero"/>
        <c:crossBetween val="midCat"/>
      </c:valAx>
      <c:valAx>
        <c:axId val="3430349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134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33808"/>
        <c:axId val="343033416"/>
      </c:scatterChart>
      <c:valAx>
        <c:axId val="34303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3033416"/>
        <c:crosses val="autoZero"/>
        <c:crossBetween val="midCat"/>
      </c:valAx>
      <c:valAx>
        <c:axId val="34303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303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498407</xdr:colOff>
      <xdr:row>44</xdr:row>
      <xdr:rowOff>486</xdr:rowOff>
    </xdr:from>
    <xdr:to>
      <xdr:col>26</xdr:col>
      <xdr:colOff>10949</xdr:colOff>
      <xdr:row>58</xdr:row>
      <xdr:rowOff>76686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481854</xdr:colOff>
      <xdr:row>44</xdr:row>
      <xdr:rowOff>8988</xdr:rowOff>
    </xdr:from>
    <xdr:to>
      <xdr:col>19</xdr:col>
      <xdr:colOff>429983</xdr:colOff>
      <xdr:row>58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topLeftCell="J1" zoomScale="85" zoomScaleNormal="85" workbookViewId="0">
      <selection activeCell="AL22" sqref="AL22:AL44"/>
    </sheetView>
  </sheetViews>
  <sheetFormatPr defaultColWidth="10.7109375" defaultRowHeight="15" x14ac:dyDescent="0.25"/>
  <cols>
    <col min="1" max="1" width="10.7109375" style="2"/>
    <col min="2" max="2" width="10.85546875" style="18" bestFit="1" customWidth="1"/>
    <col min="3" max="3" width="10.7109375" style="18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7"/>
    <col min="15" max="15" width="10.7109375" style="17" customWidth="1"/>
    <col min="16" max="21" width="10.7109375" style="17"/>
    <col min="22" max="22" width="11.5703125" style="17" bestFit="1" customWidth="1"/>
    <col min="23" max="23" width="10.7109375" style="17"/>
    <col min="24" max="24" width="10.7109375" style="17" customWidth="1"/>
    <col min="25" max="27" width="10.7109375" style="17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9" t="s">
        <v>92</v>
      </c>
      <c r="B1" s="60"/>
      <c r="C1" s="45" t="s">
        <v>87</v>
      </c>
      <c r="M1" s="57" t="s">
        <v>21</v>
      </c>
      <c r="N1" s="57"/>
      <c r="O1" s="57"/>
      <c r="P1" s="57"/>
      <c r="Q1" s="57"/>
      <c r="R1" s="23"/>
      <c r="W1" s="54" t="s">
        <v>34</v>
      </c>
      <c r="X1" s="54"/>
      <c r="Y1" s="54"/>
      <c r="Z1" s="2"/>
      <c r="AA1" s="54" t="s">
        <v>56</v>
      </c>
      <c r="AB1" s="54"/>
      <c r="AC1" s="54"/>
    </row>
    <row r="2" spans="1:29" x14ac:dyDescent="0.25">
      <c r="A2" s="59" t="s">
        <v>16</v>
      </c>
      <c r="B2" s="60"/>
      <c r="C2" s="39">
        <v>1.395</v>
      </c>
      <c r="M2" s="21"/>
      <c r="N2" s="21"/>
      <c r="O2" s="21"/>
      <c r="P2" s="21"/>
      <c r="Q2" s="21"/>
      <c r="R2" s="23"/>
      <c r="W2" s="23"/>
      <c r="X2" s="23"/>
      <c r="Y2" s="23"/>
      <c r="Z2" s="2"/>
      <c r="AA2" s="23"/>
      <c r="AB2" s="23"/>
      <c r="AC2" s="23"/>
    </row>
    <row r="3" spans="1:29" ht="18" x14ac:dyDescent="0.35">
      <c r="A3" s="59" t="s">
        <v>66</v>
      </c>
      <c r="B3" s="60"/>
      <c r="C3" s="39" t="s">
        <v>74</v>
      </c>
      <c r="M3" s="22" t="s">
        <v>13</v>
      </c>
      <c r="N3" s="22" t="s">
        <v>9</v>
      </c>
      <c r="O3" s="22" t="s">
        <v>14</v>
      </c>
      <c r="P3" s="22" t="s">
        <v>10</v>
      </c>
      <c r="Q3" s="22" t="s">
        <v>15</v>
      </c>
      <c r="R3" s="23"/>
      <c r="W3" s="21"/>
      <c r="X3" s="22" t="s">
        <v>10</v>
      </c>
      <c r="Y3" s="22" t="s">
        <v>10</v>
      </c>
      <c r="Z3" s="2"/>
      <c r="AA3" s="22" t="s">
        <v>40</v>
      </c>
      <c r="AB3" s="22" t="s">
        <v>53</v>
      </c>
      <c r="AC3" s="21">
        <f ca="1">SLOPE(yB,xB)</f>
        <v>2.8798796842449526</v>
      </c>
    </row>
    <row r="4" spans="1:29" ht="18" x14ac:dyDescent="0.35">
      <c r="A4" s="59" t="s">
        <v>67</v>
      </c>
      <c r="B4" s="60"/>
      <c r="C4" s="39" t="s">
        <v>73</v>
      </c>
      <c r="M4" s="23">
        <v>0</v>
      </c>
      <c r="N4" s="21">
        <f>VALUE(MID(C10,FIND(",",C10,3)+1,FIND(",",C10,15)-FIND(",",C10,3)-1))</f>
        <v>1053617.0190000001</v>
      </c>
      <c r="O4" s="21">
        <f>VALUE(MID(C10,FIND(",",C10,1)+1,FIND(",",C10,5)-FIND(",",C10,1)-1))</f>
        <v>467779.77799999999</v>
      </c>
      <c r="P4" s="21">
        <f>VALUE(MID(C10,FIND(",",C10,17)+1,FIND(",",C10,27)-FIND(",",C10,17)-1))</f>
        <v>1278.5340000000001</v>
      </c>
      <c r="Q4" s="24"/>
      <c r="R4" s="23"/>
      <c r="W4" s="28"/>
      <c r="X4" s="21">
        <f ca="1">VALUE(OFFSET($P$3,MATCH($O$10,$M$4:$M$6,0),0))</f>
        <v>1276.9349999999999</v>
      </c>
      <c r="Y4" s="21">
        <f ca="1">OFFSET($P$3,MATCH($Q$10,$M$4:$M$6,0),0)</f>
        <v>1277.06</v>
      </c>
      <c r="Z4" s="2"/>
      <c r="AA4" s="27" t="s">
        <v>41</v>
      </c>
      <c r="AB4" s="27" t="s">
        <v>54</v>
      </c>
      <c r="AC4" s="29">
        <f ca="1">INTERCEPT(yB,xB)</f>
        <v>-2566510.3104493618</v>
      </c>
    </row>
    <row r="5" spans="1:29" x14ac:dyDescent="0.25">
      <c r="A5" s="13"/>
      <c r="B5" s="16"/>
      <c r="C5" s="16"/>
      <c r="D5" s="4"/>
      <c r="M5" s="23">
        <v>1</v>
      </c>
      <c r="N5" s="21">
        <f t="shared" ref="N5:N6" si="0">VALUE(MID(C11,FIND(",",C11,3)+1,FIND(",",C11,15)-FIND(",",C11,3)-1))</f>
        <v>1053631.74</v>
      </c>
      <c r="O5" s="21">
        <f t="shared" ref="O5:O6" si="1">VALUE(MID(C11,FIND(",",C11,1)+1,FIND(",",C11,5)-FIND(",",C11,1)-1))</f>
        <v>467774.11499999999</v>
      </c>
      <c r="P5" s="21">
        <f t="shared" ref="P5:P6" si="2">VALUE(MID(C11,FIND(",",C11,17)+1,FIND(",",C11,27)-FIND(",",C11,17)-1))</f>
        <v>1276.9349999999999</v>
      </c>
      <c r="Q5" s="25">
        <f>DEGREES(ATAN2(Old_Y1-Old_Y0,Old_X1-Old_X0))+IF(Old_X1-Old_X0&lt;0,360)</f>
        <v>111.04116229877401</v>
      </c>
      <c r="R5" s="23"/>
      <c r="W5" s="22"/>
      <c r="X5" s="21">
        <f ca="1">VALUE(OFFSET($V$20,MATCH($O11,$A$21:$A$51,0),0))</f>
        <v>1278.4089739859439</v>
      </c>
      <c r="Y5" s="21">
        <f ca="1">OFFSET($V$20,MATCH($Q11,$A$21:$A$51,0),0)</f>
        <v>1278.4431111760953</v>
      </c>
      <c r="Z5" s="2"/>
      <c r="AA5" s="27"/>
      <c r="AB5" s="27"/>
      <c r="AC5" s="21"/>
    </row>
    <row r="6" spans="1:29" ht="18" x14ac:dyDescent="0.35">
      <c r="A6" s="61" t="s">
        <v>17</v>
      </c>
      <c r="B6" s="61"/>
      <c r="C6" s="39">
        <v>3</v>
      </c>
      <c r="D6" s="4"/>
      <c r="M6" s="23">
        <v>2</v>
      </c>
      <c r="N6" s="21">
        <f t="shared" si="0"/>
        <v>1053613.6470000001</v>
      </c>
      <c r="O6" s="21">
        <f t="shared" si="1"/>
        <v>467767.09</v>
      </c>
      <c r="P6" s="21">
        <f t="shared" si="2"/>
        <v>1277.06</v>
      </c>
      <c r="Q6" s="25">
        <f>DEGREES(ATAN2(Old_Y2-Old_Y0,Old_X2-Old_X0))+IF(Old_X2-Old_X0&lt;0,360)</f>
        <v>194.88306347391014</v>
      </c>
      <c r="R6" s="23"/>
      <c r="W6" s="22"/>
      <c r="X6" s="21">
        <f ca="1">VALUE(OFFSET($V$20,MATCH($O12,$A$21:$A$51,0),0))</f>
        <v>1276.243702105628</v>
      </c>
      <c r="Y6" s="21">
        <f ca="1">OFFSET($V$20,MATCH($Q12,$A$21:$A$51,0),0)</f>
        <v>1276.3702566705103</v>
      </c>
      <c r="Z6" s="5"/>
      <c r="AA6" s="27" t="s">
        <v>42</v>
      </c>
      <c r="AB6" s="22" t="s">
        <v>55</v>
      </c>
      <c r="AC6" s="21">
        <f ca="1">-1/mA</f>
        <v>-0.3472367284892946</v>
      </c>
    </row>
    <row r="7" spans="1:29" x14ac:dyDescent="0.25">
      <c r="A7" s="61" t="s">
        <v>18</v>
      </c>
      <c r="B7" s="61"/>
      <c r="C7" s="39">
        <v>22</v>
      </c>
      <c r="D7" s="4"/>
      <c r="M7" s="21"/>
      <c r="N7" s="21"/>
      <c r="O7" s="21"/>
      <c r="P7" s="21"/>
      <c r="Q7" s="21"/>
      <c r="R7" s="23"/>
      <c r="W7" s="21"/>
      <c r="X7" s="21"/>
      <c r="Y7" s="21"/>
      <c r="Z7" s="2"/>
      <c r="AA7" s="21"/>
      <c r="AB7" s="21"/>
      <c r="AC7" s="21"/>
    </row>
    <row r="8" spans="1:29" x14ac:dyDescent="0.25">
      <c r="A8" s="1"/>
      <c r="D8" s="4"/>
      <c r="M8" s="23"/>
      <c r="N8" s="21"/>
      <c r="O8" s="54" t="s">
        <v>24</v>
      </c>
      <c r="P8" s="54"/>
      <c r="Q8" s="54" t="s">
        <v>25</v>
      </c>
      <c r="R8" s="54"/>
      <c r="W8" s="22" t="s">
        <v>35</v>
      </c>
      <c r="X8" s="21">
        <f ca="1">X5-X4</f>
        <v>1.4739739859439851</v>
      </c>
      <c r="Y8" s="21">
        <f ca="1">Y5-Y4</f>
        <v>1.3831111760953263</v>
      </c>
      <c r="AA8" s="21"/>
      <c r="AB8" s="23"/>
      <c r="AC8" s="23"/>
    </row>
    <row r="9" spans="1:29" x14ac:dyDescent="0.25">
      <c r="A9" s="6"/>
      <c r="C9" s="9" t="s">
        <v>11</v>
      </c>
      <c r="M9" s="21"/>
      <c r="N9" s="21"/>
      <c r="O9" s="26" t="s">
        <v>23</v>
      </c>
      <c r="P9" s="27" t="s">
        <v>19</v>
      </c>
      <c r="Q9" s="27" t="s">
        <v>23</v>
      </c>
      <c r="R9" s="27" t="s">
        <v>19</v>
      </c>
      <c r="W9" s="22" t="s">
        <v>36</v>
      </c>
      <c r="X9" s="21">
        <f ca="1">X6-X4</f>
        <v>-0.69129789437192812</v>
      </c>
      <c r="Y9" s="21">
        <f ca="1">Y6-Y4</f>
        <v>-0.68974332948960182</v>
      </c>
      <c r="AA9" s="32" t="s">
        <v>49</v>
      </c>
      <c r="AB9" s="32"/>
      <c r="AC9" s="21">
        <f ca="1">AVERAGE(DfromL)</f>
        <v>0.66714195546360111</v>
      </c>
    </row>
    <row r="10" spans="1:29" s="17" customFormat="1" x14ac:dyDescent="0.25">
      <c r="A10" s="8"/>
      <c r="B10" s="18"/>
      <c r="C10" s="36" t="s">
        <v>88</v>
      </c>
      <c r="D10" s="37"/>
      <c r="E10" s="38"/>
      <c r="M10" s="58" t="s">
        <v>22</v>
      </c>
      <c r="N10" s="58"/>
      <c r="O10" s="33">
        <v>1</v>
      </c>
      <c r="P10" s="21">
        <f ca="1">OFFSET($Q$3,MATCH($O$10,$M$4:$M$6,0),0)</f>
        <v>111.04116229877401</v>
      </c>
      <c r="Q10" s="33">
        <v>2</v>
      </c>
      <c r="R10" s="21">
        <f ca="1">OFFSET($Q$3,MATCH($O$10,$M$4:$M$6,0),0)</f>
        <v>111.04116229877401</v>
      </c>
      <c r="W10" s="23"/>
      <c r="X10" s="23"/>
      <c r="Y10" s="23"/>
      <c r="AA10" s="32" t="s">
        <v>50</v>
      </c>
      <c r="AB10" s="32"/>
      <c r="AC10" s="21">
        <f ca="1">_xlfn.STDEV.P(DfromL)</f>
        <v>0.67649689280968739</v>
      </c>
    </row>
    <row r="11" spans="1:29" s="17" customFormat="1" x14ac:dyDescent="0.25">
      <c r="A11" s="15"/>
      <c r="B11" s="18"/>
      <c r="C11" s="36" t="s">
        <v>89</v>
      </c>
      <c r="D11" s="37"/>
      <c r="E11" s="38"/>
      <c r="M11" s="54" t="s">
        <v>31</v>
      </c>
      <c r="N11" s="54"/>
      <c r="O11" s="33">
        <v>1</v>
      </c>
      <c r="P11" s="21">
        <f ca="1">OFFSET($N$20,MATCH($O11,$A$21:$A$51,0),0)</f>
        <v>0</v>
      </c>
      <c r="Q11" s="33">
        <v>2</v>
      </c>
      <c r="R11" s="21">
        <f ca="1">OFFSET($N$20,MATCH($Q11,$A$21:$A$51,0),0)</f>
        <v>62.419166666666669</v>
      </c>
      <c r="W11" s="22" t="s">
        <v>37</v>
      </c>
      <c r="X11" s="21">
        <f ca="1">AVERAGE(X8:Y9)</f>
        <v>0.36901098454444536</v>
      </c>
      <c r="Y11" s="31" t="s">
        <v>38</v>
      </c>
      <c r="AA11" s="21"/>
      <c r="AB11" s="21"/>
      <c r="AC11" s="21"/>
    </row>
    <row r="12" spans="1:29" s="17" customFormat="1" x14ac:dyDescent="0.25">
      <c r="A12" s="15"/>
      <c r="B12" s="18"/>
      <c r="C12" s="36" t="s">
        <v>90</v>
      </c>
      <c r="D12" s="37"/>
      <c r="E12" s="38"/>
      <c r="M12" s="54" t="s">
        <v>30</v>
      </c>
      <c r="N12" s="54"/>
      <c r="O12" s="33">
        <v>18</v>
      </c>
      <c r="P12" s="21">
        <f ca="1">OFFSET($N$20,MATCH($O12,$A$21:$A$51,0),0)</f>
        <v>205.94027777777779</v>
      </c>
      <c r="Q12" s="33">
        <v>19</v>
      </c>
      <c r="R12" s="21">
        <f ca="1">OFFSET($N$20,MATCH($Q12,$A$21:$A$51,0),0)</f>
        <v>205.85638888888889</v>
      </c>
      <c r="W12" s="21"/>
      <c r="X12" s="21"/>
      <c r="Y12" s="21"/>
      <c r="AA12" s="21"/>
      <c r="AB12" s="21"/>
      <c r="AC12" s="21"/>
    </row>
    <row r="13" spans="1:29" s="17" customFormat="1" x14ac:dyDescent="0.25">
      <c r="A13" s="15"/>
      <c r="B13" s="18"/>
      <c r="C13" s="18"/>
      <c r="D13" s="19"/>
      <c r="M13" s="21"/>
      <c r="N13" s="21"/>
      <c r="O13" s="21"/>
      <c r="P13" s="21"/>
      <c r="Q13" s="21"/>
      <c r="R13" s="21"/>
      <c r="W13" s="21" t="s">
        <v>64</v>
      </c>
      <c r="X13" s="21">
        <f ca="1">MIN(Zs)</f>
        <v>1276.4096879194265</v>
      </c>
      <c r="Y13" s="21"/>
      <c r="AA13" s="21"/>
      <c r="AB13" s="21"/>
      <c r="AC13" s="21"/>
    </row>
    <row r="14" spans="1:29" s="17" customFormat="1" x14ac:dyDescent="0.25">
      <c r="A14" s="8"/>
      <c r="B14" s="18"/>
      <c r="C14" s="18"/>
      <c r="D14" s="19"/>
      <c r="M14" s="54" t="s">
        <v>32</v>
      </c>
      <c r="N14" s="54"/>
      <c r="O14" s="23"/>
      <c r="P14" s="21">
        <f ca="1">P10-P11+IF(P11&gt;P10,360)</f>
        <v>111.04116229877401</v>
      </c>
      <c r="Q14" s="21"/>
      <c r="R14" s="21">
        <f ca="1">R10-R11+IF(R11&gt;R10,360)</f>
        <v>48.621995632107343</v>
      </c>
      <c r="W14" s="21"/>
      <c r="X14" s="21"/>
      <c r="Y14" s="21"/>
      <c r="AA14" s="21"/>
      <c r="AB14" s="21"/>
      <c r="AC14" s="21"/>
    </row>
    <row r="15" spans="1:29" x14ac:dyDescent="0.25">
      <c r="A15" s="1"/>
      <c r="D15" s="4"/>
      <c r="M15" s="54" t="s">
        <v>33</v>
      </c>
      <c r="N15" s="54"/>
      <c r="O15" s="23"/>
      <c r="P15" s="21">
        <f ca="1">P10-P12+IF(P12&gt;P10,360)</f>
        <v>265.1008845209962</v>
      </c>
      <c r="Q15" s="21"/>
      <c r="R15" s="21">
        <f ca="1">R10-R12+IF(R12&gt;R10,360)</f>
        <v>265.18477340988511</v>
      </c>
      <c r="W15" s="21"/>
      <c r="X15" s="21"/>
      <c r="Y15" s="21"/>
      <c r="AA15" s="23"/>
      <c r="AB15" s="23"/>
      <c r="AC15" s="23"/>
    </row>
    <row r="16" spans="1:29" x14ac:dyDescent="0.25">
      <c r="A16" s="1"/>
      <c r="B16" s="18" t="s">
        <v>68</v>
      </c>
      <c r="D16" s="4"/>
      <c r="M16" s="23"/>
      <c r="N16" s="23"/>
      <c r="O16" s="23"/>
      <c r="P16" s="23"/>
      <c r="Q16" s="23"/>
      <c r="R16" s="30"/>
      <c r="W16" s="21"/>
      <c r="X16" s="21"/>
      <c r="Y16" s="21"/>
      <c r="AA16" s="23"/>
      <c r="AB16" s="23"/>
      <c r="AC16" s="23"/>
    </row>
    <row r="17" spans="1:36" x14ac:dyDescent="0.25">
      <c r="A17" s="1"/>
      <c r="D17" s="4"/>
      <c r="M17" s="54" t="s">
        <v>39</v>
      </c>
      <c r="N17" s="54"/>
      <c r="O17" s="21">
        <f ca="1">AVERAGE(P14:P15,R14:R15)</f>
        <v>172.48720396544067</v>
      </c>
      <c r="P17" s="31"/>
      <c r="Q17" s="23"/>
      <c r="R17" s="23"/>
      <c r="W17" s="21"/>
      <c r="X17" s="21"/>
      <c r="Y17" s="23"/>
      <c r="Z17" s="2"/>
      <c r="AA17" s="23"/>
      <c r="AB17" s="23"/>
      <c r="AC17" s="23"/>
    </row>
    <row r="18" spans="1:36" x14ac:dyDescent="0.25">
      <c r="A18" s="1"/>
      <c r="D18" s="4"/>
      <c r="M18" s="19"/>
      <c r="O18" s="19"/>
      <c r="P18" s="19"/>
      <c r="Q18" s="19"/>
      <c r="R18" s="19"/>
      <c r="S18" s="19"/>
      <c r="T18" s="19"/>
      <c r="U18" s="19"/>
      <c r="V18" s="2"/>
      <c r="W18" s="2"/>
      <c r="X18" s="2"/>
      <c r="Y18" s="2"/>
      <c r="Z18" s="2"/>
      <c r="AA18" s="2"/>
    </row>
    <row r="19" spans="1:36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5"/>
      <c r="O19" s="15"/>
      <c r="P19" s="15"/>
      <c r="Q19" s="15"/>
      <c r="R19" s="15"/>
      <c r="S19" s="15"/>
      <c r="T19" s="55" t="s">
        <v>20</v>
      </c>
      <c r="U19" s="55"/>
      <c r="X19" s="56" t="s">
        <v>45</v>
      </c>
      <c r="Y19" s="56"/>
      <c r="Z19" s="56" t="s">
        <v>46</v>
      </c>
      <c r="AA19" s="56"/>
      <c r="AB19" s="1" t="s">
        <v>47</v>
      </c>
      <c r="AC19" s="1" t="s">
        <v>51</v>
      </c>
      <c r="AE19" s="42" t="s">
        <v>51</v>
      </c>
      <c r="AG19" s="42"/>
      <c r="AH19" s="42"/>
      <c r="AI19" s="42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85</v>
      </c>
      <c r="H20" s="12" t="s">
        <v>79</v>
      </c>
      <c r="I20" s="12" t="s">
        <v>84</v>
      </c>
      <c r="J20" s="12" t="s">
        <v>83</v>
      </c>
      <c r="K20" s="3" t="s">
        <v>77</v>
      </c>
      <c r="L20" s="3" t="s">
        <v>78</v>
      </c>
      <c r="M20" s="8" t="s">
        <v>26</v>
      </c>
      <c r="N20" s="8" t="s">
        <v>27</v>
      </c>
      <c r="O20" s="8" t="s">
        <v>28</v>
      </c>
      <c r="P20" s="20" t="s">
        <v>29</v>
      </c>
      <c r="Q20" s="20" t="s">
        <v>82</v>
      </c>
      <c r="R20" s="20" t="s">
        <v>80</v>
      </c>
      <c r="S20" s="20" t="s">
        <v>81</v>
      </c>
      <c r="T20" s="20" t="s">
        <v>7</v>
      </c>
      <c r="U20" s="20" t="s">
        <v>6</v>
      </c>
      <c r="V20" s="20" t="s">
        <v>12</v>
      </c>
      <c r="W20" s="20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20" t="s">
        <v>65</v>
      </c>
      <c r="AE20" s="3" t="s">
        <v>75</v>
      </c>
      <c r="AF20" s="20" t="s">
        <v>76</v>
      </c>
      <c r="AG20" s="20"/>
      <c r="AH20" s="20"/>
      <c r="AI20" s="20"/>
    </row>
    <row r="21" spans="1:36" x14ac:dyDescent="0.25">
      <c r="A21" s="47">
        <v>1</v>
      </c>
      <c r="B21" s="51">
        <v>0</v>
      </c>
      <c r="C21" s="51">
        <v>3.6255324074074071</v>
      </c>
      <c r="D21" s="47">
        <v>21.068999999999999</v>
      </c>
      <c r="E21" s="47">
        <v>2.6179999999999999</v>
      </c>
      <c r="F21" s="52" t="s">
        <v>86</v>
      </c>
      <c r="G21" s="44">
        <f>C21*24</f>
        <v>87.012777777777771</v>
      </c>
      <c r="H21" s="44">
        <f>RADIANS(G21)</f>
        <v>1.518659463528377</v>
      </c>
      <c r="I21" s="44">
        <f t="shared" ref="I21:I39" si="3">B21*24</f>
        <v>0</v>
      </c>
      <c r="J21" s="40">
        <f>RADIANS(I21)</f>
        <v>0</v>
      </c>
      <c r="K21" s="40">
        <f>D21*SIN(H21)</f>
        <v>21.040371054860007</v>
      </c>
      <c r="L21" s="16">
        <f>D21*COS(H21)</f>
        <v>1.0979739859437678</v>
      </c>
      <c r="M21" s="14"/>
      <c r="N21" s="17">
        <f t="shared" ref="N21:N39" si="4">I21+M21</f>
        <v>0</v>
      </c>
      <c r="O21" s="17">
        <f ca="1">$O$17</f>
        <v>172.48720396544067</v>
      </c>
      <c r="P21" s="17">
        <f ca="1">SUM(N21,O21)</f>
        <v>172.48720396544067</v>
      </c>
      <c r="Q21" s="17">
        <f ca="1">RADIANS(P21)</f>
        <v>3.0104696267559592</v>
      </c>
      <c r="R21" s="17">
        <f t="shared" ref="R21:R39" ca="1" si="5">K21*SIN(Q21)</f>
        <v>2.7509782553016309</v>
      </c>
      <c r="S21" s="17">
        <f t="shared" ref="S21:S39" ca="1" si="6">K21*COS(Q21)</f>
        <v>-20.859753899915702</v>
      </c>
      <c r="T21" s="14">
        <f t="shared" ref="T21:T39" ca="1" si="7">Old_X0+R21</f>
        <v>1053619.7699782555</v>
      </c>
      <c r="U21" s="14">
        <f t="shared" ref="U21:U39" ca="1" si="8">Old_Y0+S21</f>
        <v>467758.91824610007</v>
      </c>
      <c r="V21" s="17">
        <f t="shared" ref="V21:V44" si="9">Old_Z0+HI+L21-E21</f>
        <v>1278.4089739859439</v>
      </c>
      <c r="W21" s="17">
        <f t="shared" ref="W21:W39" ca="1" si="10">IF(ISNUMBER(T21),V21+dZ,"")</f>
        <v>1278.7779849704884</v>
      </c>
      <c r="X21" s="17" t="str">
        <f t="shared" ref="X21:X37" si="11">IF(AND(A21&gt;=CS_Start,A21&lt;=CS_End),IF(OR(LEFT(UPPER(F21))="D"),"",T21),"")</f>
        <v/>
      </c>
      <c r="Y21" s="17" t="str">
        <f t="shared" ref="Y21:Y37" si="12">IF(ISNUMBER(X21),U21,"")</f>
        <v/>
      </c>
      <c r="Z21" s="17" t="str">
        <f t="shared" ref="Z21:Z37" si="13">IF(X21="","",VALUE((-mB*X21+Y21-bA)/(mA-mB)))</f>
        <v/>
      </c>
      <c r="AA21" s="17" t="str">
        <f t="shared" ref="AA21:AA37" si="14">IF(Z21="","",VALUE(mA*Z21+bA))</f>
        <v/>
      </c>
      <c r="AB21" s="17" t="str">
        <f>IF(ISNUMBER(X21),SQRT((X21-Z21)^2+(Y21-AA21)^2),"")</f>
        <v/>
      </c>
      <c r="AC21" s="17" t="str">
        <f t="shared" ref="AC21:AC37" ca="1" si="15">IF(ISNUMBER(Z21),SQRT(($Z21-OFFSET($Z$20,MATCH(CS_Start,$A$21:$A$51,0),0))^2+($AA21-OFFSET($AA$20,MATCH(CS_Start,$A$21:$A$51,0),0))^2),"")</f>
        <v/>
      </c>
      <c r="AD21" s="17" t="str">
        <f t="shared" ref="AD21:AD37" si="16">IF(ISNUMBER(X21),W21-Min_Z,"")</f>
        <v/>
      </c>
    </row>
    <row r="22" spans="1:36" x14ac:dyDescent="0.25">
      <c r="A22" s="47">
        <v>2</v>
      </c>
      <c r="B22" s="51">
        <v>2.6007986111111112</v>
      </c>
      <c r="C22" s="51">
        <v>3.6427430555555556</v>
      </c>
      <c r="D22" s="47">
        <v>25.207000000000001</v>
      </c>
      <c r="E22" s="47">
        <v>2.6179999999999999</v>
      </c>
      <c r="F22" s="52" t="s">
        <v>69</v>
      </c>
      <c r="G22" s="44">
        <f t="shared" ref="G22:G39" si="17">C22*24</f>
        <v>87.42583333333333</v>
      </c>
      <c r="H22" s="44">
        <f t="shared" ref="H22:H39" si="18">RADIANS(G22)</f>
        <v>1.5258686429664758</v>
      </c>
      <c r="I22" s="44">
        <f t="shared" si="3"/>
        <v>62.419166666666669</v>
      </c>
      <c r="J22" s="40">
        <f t="shared" ref="J22:J39" si="19">RADIANS(I22)</f>
        <v>1.0894199746844273</v>
      </c>
      <c r="K22" s="40">
        <f t="shared" ref="K22:K39" si="20">D22*SIN(H22)</f>
        <v>25.181564154852666</v>
      </c>
      <c r="L22" s="16">
        <f t="shared" ref="L22:L39" si="21">D22*COS(H22)</f>
        <v>1.1321111760950939</v>
      </c>
      <c r="M22" s="14"/>
      <c r="N22" s="17">
        <f t="shared" si="4"/>
        <v>62.419166666666669</v>
      </c>
      <c r="O22" s="17">
        <f t="shared" ref="O22:O44" ca="1" si="22">$O$17</f>
        <v>172.48720396544067</v>
      </c>
      <c r="P22" s="17">
        <f t="shared" ref="P22:P39" ca="1" si="23">SUM(N22,O22)</f>
        <v>234.90637063210733</v>
      </c>
      <c r="Q22" s="17">
        <f t="shared" ref="Q22:Q39" ca="1" si="24">RADIANS(P22)</f>
        <v>4.0998896014403865</v>
      </c>
      <c r="R22" s="17">
        <f t="shared" ca="1" si="5"/>
        <v>-20.603899427744427</v>
      </c>
      <c r="S22" s="17">
        <f t="shared" ca="1" si="6"/>
        <v>-14.477240816410895</v>
      </c>
      <c r="T22" s="14">
        <f t="shared" ca="1" si="7"/>
        <v>1053596.4151005724</v>
      </c>
      <c r="U22" s="14">
        <f t="shared" ca="1" si="8"/>
        <v>467765.30075918359</v>
      </c>
      <c r="V22" s="17">
        <f t="shared" si="9"/>
        <v>1278.4431111760953</v>
      </c>
      <c r="W22" s="17">
        <f t="shared" ca="1" si="10"/>
        <v>1278.8121221606398</v>
      </c>
      <c r="X22" s="17" t="str">
        <f t="shared" si="11"/>
        <v/>
      </c>
      <c r="Y22" s="17" t="str">
        <f t="shared" si="12"/>
        <v/>
      </c>
      <c r="Z22" s="17" t="str">
        <f t="shared" si="13"/>
        <v/>
      </c>
      <c r="AA22" s="17" t="str">
        <f t="shared" si="14"/>
        <v/>
      </c>
      <c r="AB22" s="17" t="str">
        <f t="shared" ref="AB22:AB37" si="25">IF(ISNUMBER(X22),SQRT((X22-Z22)^2+(Y22-AA22)^2),"")</f>
        <v/>
      </c>
      <c r="AC22" s="17" t="str">
        <f t="shared" ca="1" si="15"/>
        <v/>
      </c>
      <c r="AD22" s="17" t="str">
        <f t="shared" si="16"/>
        <v/>
      </c>
    </row>
    <row r="23" spans="1:36" x14ac:dyDescent="0.25">
      <c r="A23" s="47">
        <v>3</v>
      </c>
      <c r="B23" s="51">
        <v>7.0532870370370375</v>
      </c>
      <c r="C23" s="51">
        <v>3.1841203703703704</v>
      </c>
      <c r="D23" s="47">
        <v>5.5449999999999999</v>
      </c>
      <c r="E23" s="47">
        <v>2.6179999999999999</v>
      </c>
      <c r="F23" s="46"/>
      <c r="G23" s="44">
        <f t="shared" si="17"/>
        <v>76.418888888888887</v>
      </c>
      <c r="H23" s="44">
        <f t="shared" si="18"/>
        <v>1.3337612218268222</v>
      </c>
      <c r="I23" s="44">
        <f t="shared" si="3"/>
        <v>169.2788888888889</v>
      </c>
      <c r="J23" s="40">
        <f t="shared" si="19"/>
        <v>2.954473965228757</v>
      </c>
      <c r="K23" s="40">
        <f t="shared" si="20"/>
        <v>5.3899533041491692</v>
      </c>
      <c r="L23" s="16">
        <f t="shared" si="21"/>
        <v>1.3020861642347048</v>
      </c>
      <c r="M23" s="14">
        <v>37.9</v>
      </c>
      <c r="N23" s="17">
        <f t="shared" si="4"/>
        <v>207.17888888888891</v>
      </c>
      <c r="O23" s="17">
        <f t="shared" ca="1" si="22"/>
        <v>172.48720396544067</v>
      </c>
      <c r="P23" s="17">
        <f t="shared" ca="1" si="23"/>
        <v>379.66609285432958</v>
      </c>
      <c r="Q23" s="17">
        <f t="shared" ca="1" si="24"/>
        <v>6.6264233784905668</v>
      </c>
      <c r="R23" s="17">
        <f t="shared" ca="1" si="5"/>
        <v>1.8139243493428279</v>
      </c>
      <c r="S23" s="17">
        <f t="shared" ca="1" si="6"/>
        <v>5.0755566271858052</v>
      </c>
      <c r="T23" s="14">
        <f t="shared" ca="1" si="7"/>
        <v>1053618.8329243495</v>
      </c>
      <c r="U23" s="14">
        <f t="shared" ca="1" si="8"/>
        <v>467784.85355662717</v>
      </c>
      <c r="V23" s="17">
        <f t="shared" si="9"/>
        <v>1278.6130861642348</v>
      </c>
      <c r="W23" s="17">
        <f t="shared" ca="1" si="10"/>
        <v>1278.9820971487793</v>
      </c>
      <c r="X23" s="17">
        <f t="shared" ca="1" si="11"/>
        <v>1053618.8329243495</v>
      </c>
      <c r="Y23" s="17">
        <f t="shared" ca="1" si="12"/>
        <v>467784.85355662717</v>
      </c>
      <c r="Z23" s="17">
        <f t="shared" ca="1" si="13"/>
        <v>1053618.7375231669</v>
      </c>
      <c r="AA23" s="17">
        <f t="shared" ca="1" si="14"/>
        <v>467784.88668342168</v>
      </c>
      <c r="AB23" s="17">
        <f t="shared" ca="1" si="25"/>
        <v>0.10098896050308152</v>
      </c>
      <c r="AC23" s="17">
        <f t="shared" ca="1" si="15"/>
        <v>0</v>
      </c>
      <c r="AD23" s="17">
        <f t="shared" ca="1" si="16"/>
        <v>2.5724092293528429</v>
      </c>
      <c r="AE23" s="2">
        <f ca="1">ROUND(CONVERT(AC23,"m","ft"),2)</f>
        <v>0</v>
      </c>
      <c r="AF23" s="2">
        <f ca="1">ROUND(CONVERT(AD23,"m","ft"),2)</f>
        <v>8.44</v>
      </c>
      <c r="AH23" s="2">
        <v>0</v>
      </c>
      <c r="AI23" s="2">
        <f t="shared" ref="AI23:AI42" ca="1" si="26">OFFSET($AF$22,MATCH(AH23,$AE$23:$AE$49,0),0)</f>
        <v>8.44</v>
      </c>
      <c r="AJ23" s="2" t="str">
        <f ca="1">CONCATENATE(AH23,",",AI23)</f>
        <v>0,8.44</v>
      </c>
    </row>
    <row r="24" spans="1:36" x14ac:dyDescent="0.25">
      <c r="A24" s="47">
        <v>4</v>
      </c>
      <c r="B24" s="51">
        <v>7.0778240740740737</v>
      </c>
      <c r="C24" s="51">
        <v>3.3977314814814812</v>
      </c>
      <c r="D24" s="47">
        <v>5.76</v>
      </c>
      <c r="E24" s="47">
        <v>2.6179999999999999</v>
      </c>
      <c r="F24" s="46"/>
      <c r="G24" s="44">
        <f t="shared" si="17"/>
        <v>81.545555555555552</v>
      </c>
      <c r="H24" s="44">
        <f t="shared" si="18"/>
        <v>1.4232384348123981</v>
      </c>
      <c r="I24" s="44">
        <f t="shared" si="3"/>
        <v>169.86777777777777</v>
      </c>
      <c r="J24" s="40">
        <f t="shared" si="19"/>
        <v>2.9647520152682789</v>
      </c>
      <c r="K24" s="40">
        <f t="shared" si="20"/>
        <v>5.697406501484811</v>
      </c>
      <c r="L24" s="16">
        <f t="shared" si="21"/>
        <v>0.84685250004862245</v>
      </c>
      <c r="M24" s="14">
        <v>37.9</v>
      </c>
      <c r="N24" s="17">
        <f t="shared" si="4"/>
        <v>207.76777777777778</v>
      </c>
      <c r="O24" s="17">
        <f t="shared" ca="1" si="22"/>
        <v>172.48720396544067</v>
      </c>
      <c r="P24" s="17">
        <f t="shared" ca="1" si="23"/>
        <v>380.25498174321842</v>
      </c>
      <c r="Q24" s="17">
        <f t="shared" ca="1" si="24"/>
        <v>6.6367014285300883</v>
      </c>
      <c r="R24" s="17">
        <f t="shared" ca="1" si="5"/>
        <v>1.9724343223021026</v>
      </c>
      <c r="S24" s="17">
        <f t="shared" ca="1" si="6"/>
        <v>5.3450859382582463</v>
      </c>
      <c r="T24" s="14">
        <f t="shared" ca="1" si="7"/>
        <v>1053618.9914343224</v>
      </c>
      <c r="U24" s="14">
        <f t="shared" ca="1" si="8"/>
        <v>467785.12308593828</v>
      </c>
      <c r="V24" s="17">
        <f t="shared" si="9"/>
        <v>1278.1578525000489</v>
      </c>
      <c r="W24" s="17">
        <f t="shared" ca="1" si="10"/>
        <v>1278.5268634845934</v>
      </c>
      <c r="X24" s="17">
        <f t="shared" ca="1" si="11"/>
        <v>1053618.9914343224</v>
      </c>
      <c r="Y24" s="17">
        <f t="shared" ca="1" si="12"/>
        <v>467785.12308593828</v>
      </c>
      <c r="Z24" s="17">
        <f t="shared" ca="1" si="13"/>
        <v>1053618.8380989609</v>
      </c>
      <c r="AA24" s="17">
        <f t="shared" ca="1" si="14"/>
        <v>467785.17632960761</v>
      </c>
      <c r="AB24" s="17">
        <f t="shared" ca="1" si="25"/>
        <v>0.16231642373131891</v>
      </c>
      <c r="AC24" s="17">
        <f t="shared" ca="1" si="15"/>
        <v>0.30661115988364573</v>
      </c>
      <c r="AD24" s="17">
        <f t="shared" ca="1" si="16"/>
        <v>2.1171755651669173</v>
      </c>
      <c r="AE24" s="2">
        <f t="shared" ref="AE24:AE37" ca="1" si="27">ROUND(CONVERT(AC24,"m","ft"),2)</f>
        <v>1.01</v>
      </c>
      <c r="AF24" s="2">
        <f t="shared" ref="AF24:AF37" ca="1" si="28">ROUND(CONVERT(AD24,"m","ft"),2)</f>
        <v>6.95</v>
      </c>
      <c r="AH24" s="2">
        <v>1.01</v>
      </c>
      <c r="AI24" s="2">
        <f t="shared" ca="1" si="26"/>
        <v>6.95</v>
      </c>
      <c r="AJ24" s="2" t="str">
        <f t="shared" ref="AJ24:AJ37" ca="1" si="29">CONCATENATE(AH24,",",AI24)</f>
        <v>1.01,6.95</v>
      </c>
    </row>
    <row r="25" spans="1:36" x14ac:dyDescent="0.25">
      <c r="A25" s="47">
        <v>5</v>
      </c>
      <c r="B25" s="51">
        <v>7.0796990740740746</v>
      </c>
      <c r="C25" s="51">
        <v>3.4324305555555554</v>
      </c>
      <c r="D25" s="52">
        <v>6.1029999999999998</v>
      </c>
      <c r="E25" s="47">
        <v>2.6179999999999999</v>
      </c>
      <c r="F25" s="46"/>
      <c r="G25" s="44">
        <f t="shared" si="17"/>
        <v>82.37833333333333</v>
      </c>
      <c r="H25" s="44">
        <f t="shared" si="18"/>
        <v>1.437773148972062</v>
      </c>
      <c r="I25" s="44">
        <f t="shared" si="3"/>
        <v>169.91277777777779</v>
      </c>
      <c r="J25" s="40">
        <f t="shared" si="19"/>
        <v>2.9655374134316763</v>
      </c>
      <c r="K25" s="40">
        <f t="shared" si="20"/>
        <v>6.0490827780202991</v>
      </c>
      <c r="L25" s="16">
        <f t="shared" si="21"/>
        <v>0.80944829647001904</v>
      </c>
      <c r="M25" s="14">
        <v>37.9</v>
      </c>
      <c r="N25" s="17">
        <f t="shared" si="4"/>
        <v>207.8127777777778</v>
      </c>
      <c r="O25" s="17">
        <f t="shared" ca="1" si="22"/>
        <v>172.48720396544067</v>
      </c>
      <c r="P25" s="17">
        <f t="shared" ca="1" si="23"/>
        <v>380.2999817432185</v>
      </c>
      <c r="Q25" s="17">
        <f t="shared" ca="1" si="24"/>
        <v>6.637486826693487</v>
      </c>
      <c r="R25" s="17">
        <f t="shared" ca="1" si="5"/>
        <v>2.0986406672456295</v>
      </c>
      <c r="S25" s="17">
        <f t="shared" ca="1" si="6"/>
        <v>5.6733684707697769</v>
      </c>
      <c r="T25" s="14">
        <f t="shared" ca="1" si="7"/>
        <v>1053619.1176406674</v>
      </c>
      <c r="U25" s="14">
        <f t="shared" ca="1" si="8"/>
        <v>467785.45136847073</v>
      </c>
      <c r="V25" s="17">
        <f t="shared" si="9"/>
        <v>1278.1204482964702</v>
      </c>
      <c r="W25" s="17">
        <f t="shared" ca="1" si="10"/>
        <v>1278.4894592810147</v>
      </c>
      <c r="X25" s="17">
        <f t="shared" ca="1" si="11"/>
        <v>1053619.1176406674</v>
      </c>
      <c r="Y25" s="17">
        <f t="shared" ca="1" si="12"/>
        <v>467785.45136847073</v>
      </c>
      <c r="Z25" s="17">
        <f t="shared" ca="1" si="13"/>
        <v>1053618.9534049998</v>
      </c>
      <c r="AA25" s="17">
        <f t="shared" ca="1" si="14"/>
        <v>467785.50839712657</v>
      </c>
      <c r="AB25" s="17">
        <f t="shared" ca="1" si="25"/>
        <v>0.17385517560543809</v>
      </c>
      <c r="AC25" s="17">
        <f t="shared" ca="1" si="15"/>
        <v>0.6581283283829642</v>
      </c>
      <c r="AD25" s="17">
        <f t="shared" ca="1" si="16"/>
        <v>2.0797713615882003</v>
      </c>
      <c r="AE25" s="2">
        <f t="shared" ca="1" si="27"/>
        <v>2.16</v>
      </c>
      <c r="AF25" s="2">
        <f t="shared" ca="1" si="28"/>
        <v>6.82</v>
      </c>
      <c r="AH25" s="2">
        <v>2.16</v>
      </c>
      <c r="AI25" s="2">
        <f t="shared" ca="1" si="26"/>
        <v>6.82</v>
      </c>
      <c r="AJ25" s="2" t="str">
        <f t="shared" ca="1" si="29"/>
        <v>2.16,6.82</v>
      </c>
    </row>
    <row r="26" spans="1:36" x14ac:dyDescent="0.25">
      <c r="A26" s="47">
        <v>6</v>
      </c>
      <c r="B26" s="51">
        <v>7.093055555555555</v>
      </c>
      <c r="C26" s="51">
        <v>3.6065740740740737</v>
      </c>
      <c r="D26" s="47">
        <v>6.4329999999999998</v>
      </c>
      <c r="E26" s="47">
        <v>2.6179999999999999</v>
      </c>
      <c r="F26" s="46"/>
      <c r="G26" s="44">
        <f t="shared" si="17"/>
        <v>86.557777777777773</v>
      </c>
      <c r="H26" s="44">
        <f t="shared" si="18"/>
        <v>1.5107182154318028</v>
      </c>
      <c r="I26" s="44">
        <f t="shared" si="3"/>
        <v>170.23333333333332</v>
      </c>
      <c r="J26" s="40">
        <f t="shared" si="19"/>
        <v>2.9711321633116801</v>
      </c>
      <c r="K26" s="40">
        <f t="shared" si="20"/>
        <v>6.4213939224758798</v>
      </c>
      <c r="L26" s="16">
        <f t="shared" si="21"/>
        <v>0.38625003869233382</v>
      </c>
      <c r="M26" s="14">
        <v>37.9</v>
      </c>
      <c r="N26" s="17">
        <f t="shared" si="4"/>
        <v>208.13333333333333</v>
      </c>
      <c r="O26" s="17">
        <f t="shared" ca="1" si="22"/>
        <v>172.48720396544067</v>
      </c>
      <c r="P26" s="17">
        <f t="shared" ca="1" si="23"/>
        <v>380.62053729877402</v>
      </c>
      <c r="Q26" s="17">
        <f t="shared" ca="1" si="24"/>
        <v>6.6430815765734907</v>
      </c>
      <c r="R26" s="17">
        <f t="shared" ca="1" si="5"/>
        <v>2.2614682121555649</v>
      </c>
      <c r="S26" s="17">
        <f t="shared" ca="1" si="6"/>
        <v>6.009996791431762</v>
      </c>
      <c r="T26" s="14">
        <f t="shared" ca="1" si="7"/>
        <v>1053619.2804682122</v>
      </c>
      <c r="U26" s="14">
        <f t="shared" ca="1" si="8"/>
        <v>467785.78799679142</v>
      </c>
      <c r="V26" s="17">
        <f t="shared" si="9"/>
        <v>1277.6972500386926</v>
      </c>
      <c r="W26" s="17">
        <f t="shared" ca="1" si="10"/>
        <v>1278.0662610232371</v>
      </c>
      <c r="X26" s="17">
        <f t="shared" ca="1" si="11"/>
        <v>1053619.2804682122</v>
      </c>
      <c r="Y26" s="17">
        <f t="shared" ca="1" si="12"/>
        <v>467785.78799679142</v>
      </c>
      <c r="Z26" s="17">
        <f t="shared" ca="1" si="13"/>
        <v>1053619.0752376127</v>
      </c>
      <c r="AA26" s="17">
        <f t="shared" ca="1" si="14"/>
        <v>467785.85926039331</v>
      </c>
      <c r="AB26" s="17">
        <f t="shared" ca="1" si="25"/>
        <v>0.21725123688003831</v>
      </c>
      <c r="AC26" s="17">
        <f t="shared" ca="1" si="15"/>
        <v>1.0295421373768636</v>
      </c>
      <c r="AD26" s="17">
        <f t="shared" ca="1" si="16"/>
        <v>1.6565731038106151</v>
      </c>
      <c r="AE26" s="2">
        <f t="shared" ca="1" si="27"/>
        <v>3.38</v>
      </c>
      <c r="AF26" s="2">
        <f t="shared" ca="1" si="28"/>
        <v>5.43</v>
      </c>
      <c r="AH26" s="2">
        <v>3.38</v>
      </c>
      <c r="AI26" s="2">
        <f t="shared" ca="1" si="26"/>
        <v>5.43</v>
      </c>
      <c r="AJ26" s="2" t="str">
        <f t="shared" ca="1" si="29"/>
        <v>3.38,5.43</v>
      </c>
    </row>
    <row r="27" spans="1:36" x14ac:dyDescent="0.25">
      <c r="A27" s="47">
        <v>7</v>
      </c>
      <c r="B27" s="51">
        <v>7.1253124999999997</v>
      </c>
      <c r="C27" s="51">
        <v>3.7057986111111112</v>
      </c>
      <c r="D27" s="47">
        <v>6.7969999999999997</v>
      </c>
      <c r="E27" s="47">
        <v>2.6179999999999999</v>
      </c>
      <c r="F27" s="46"/>
      <c r="G27" s="44">
        <f t="shared" si="17"/>
        <v>88.939166666666665</v>
      </c>
      <c r="H27" s="44">
        <f t="shared" si="18"/>
        <v>1.5522812923133233</v>
      </c>
      <c r="I27" s="44">
        <f t="shared" si="3"/>
        <v>171.00749999999999</v>
      </c>
      <c r="J27" s="40">
        <f t="shared" si="19"/>
        <v>2.9846439206042028</v>
      </c>
      <c r="K27" s="40">
        <f t="shared" si="20"/>
        <v>6.7958350053846637</v>
      </c>
      <c r="L27" s="16">
        <f t="shared" si="21"/>
        <v>0.12583949931726895</v>
      </c>
      <c r="M27" s="14">
        <v>37.9</v>
      </c>
      <c r="N27" s="17">
        <f t="shared" si="4"/>
        <v>208.9075</v>
      </c>
      <c r="O27" s="17">
        <f t="shared" ca="1" si="22"/>
        <v>172.48720396544067</v>
      </c>
      <c r="P27" s="17">
        <f t="shared" ca="1" si="23"/>
        <v>381.39470396544067</v>
      </c>
      <c r="Q27" s="17">
        <f t="shared" ca="1" si="24"/>
        <v>6.656593333866013</v>
      </c>
      <c r="R27" s="17">
        <f t="shared" ca="1" si="5"/>
        <v>2.4790575600623401</v>
      </c>
      <c r="S27" s="17">
        <f t="shared" ca="1" si="6"/>
        <v>6.3275308797594443</v>
      </c>
      <c r="T27" s="14">
        <f t="shared" ca="1" si="7"/>
        <v>1053619.4980575601</v>
      </c>
      <c r="U27" s="14">
        <f t="shared" ca="1" si="8"/>
        <v>467786.10553087975</v>
      </c>
      <c r="V27" s="17">
        <f t="shared" si="9"/>
        <v>1277.4368394993173</v>
      </c>
      <c r="W27" s="17">
        <f t="shared" ca="1" si="10"/>
        <v>1277.8058504838618</v>
      </c>
      <c r="X27" s="17">
        <f t="shared" ca="1" si="11"/>
        <v>1053619.4980575601</v>
      </c>
      <c r="Y27" s="17">
        <f t="shared" ca="1" si="12"/>
        <v>467786.10553087975</v>
      </c>
      <c r="Z27" s="17">
        <f t="shared" ca="1" si="13"/>
        <v>1053619.1970457695</v>
      </c>
      <c r="AA27" s="17">
        <f t="shared" ca="1" si="14"/>
        <v>467786.21005322924</v>
      </c>
      <c r="AB27" s="17">
        <f t="shared" ca="1" si="25"/>
        <v>0.31864246354702513</v>
      </c>
      <c r="AC27" s="17">
        <f t="shared" ca="1" si="15"/>
        <v>1.4008813903697919</v>
      </c>
      <c r="AD27" s="17">
        <f t="shared" ca="1" si="16"/>
        <v>1.3961625644353717</v>
      </c>
      <c r="AE27" s="2">
        <f t="shared" ca="1" si="27"/>
        <v>4.5999999999999996</v>
      </c>
      <c r="AF27" s="2">
        <f t="shared" ca="1" si="28"/>
        <v>4.58</v>
      </c>
      <c r="AH27" s="2">
        <v>4.5999999999999996</v>
      </c>
      <c r="AI27" s="2">
        <f t="shared" ca="1" si="26"/>
        <v>4.58</v>
      </c>
      <c r="AJ27" s="2" t="str">
        <f t="shared" ca="1" si="29"/>
        <v>4.6,4.58</v>
      </c>
    </row>
    <row r="28" spans="1:36" x14ac:dyDescent="0.25">
      <c r="A28" s="47">
        <v>8</v>
      </c>
      <c r="B28" s="51">
        <v>7.1397106481481485</v>
      </c>
      <c r="C28" s="53">
        <v>3.7845023148148145</v>
      </c>
      <c r="D28" s="47">
        <v>7.2009999999999996</v>
      </c>
      <c r="E28" s="47">
        <v>2.6179999999999999</v>
      </c>
      <c r="F28" s="53"/>
      <c r="G28" s="44">
        <f t="shared" si="17"/>
        <v>90.828055555555551</v>
      </c>
      <c r="H28" s="44">
        <f t="shared" si="18"/>
        <v>1.5852486226287719</v>
      </c>
      <c r="I28" s="44">
        <f t="shared" si="3"/>
        <v>171.35305555555556</v>
      </c>
      <c r="J28" s="40">
        <f t="shared" si="19"/>
        <v>2.9906750027972056</v>
      </c>
      <c r="K28" s="40">
        <f t="shared" si="20"/>
        <v>7.2002479807776272</v>
      </c>
      <c r="L28" s="16">
        <f t="shared" si="21"/>
        <v>-0.10406735947308761</v>
      </c>
      <c r="M28" s="14">
        <v>37.9</v>
      </c>
      <c r="N28" s="17">
        <f t="shared" si="4"/>
        <v>209.25305555555556</v>
      </c>
      <c r="O28" s="17">
        <f t="shared" ca="1" si="22"/>
        <v>172.48720396544067</v>
      </c>
      <c r="P28" s="17">
        <f t="shared" ca="1" si="23"/>
        <v>381.74025952099623</v>
      </c>
      <c r="Q28" s="17">
        <f t="shared" ca="1" si="24"/>
        <v>6.6626244160590158</v>
      </c>
      <c r="R28" s="17">
        <f t="shared" ca="1" si="5"/>
        <v>2.6669684776595974</v>
      </c>
      <c r="S28" s="17">
        <f t="shared" ca="1" si="6"/>
        <v>6.6881125980251221</v>
      </c>
      <c r="T28" s="14">
        <f t="shared" ca="1" si="7"/>
        <v>1053619.6859684777</v>
      </c>
      <c r="U28" s="14">
        <f t="shared" ca="1" si="8"/>
        <v>467786.46611259802</v>
      </c>
      <c r="V28" s="17">
        <f t="shared" si="9"/>
        <v>1277.2069326405272</v>
      </c>
      <c r="W28" s="17">
        <f t="shared" ca="1" si="10"/>
        <v>1277.5759436250717</v>
      </c>
      <c r="X28" s="17">
        <f t="shared" ca="1" si="11"/>
        <v>1053619.6859684777</v>
      </c>
      <c r="Y28" s="17">
        <f t="shared" ca="1" si="12"/>
        <v>467786.46611259802</v>
      </c>
      <c r="Z28" s="17">
        <f t="shared" ca="1" si="13"/>
        <v>1053619.3289998844</v>
      </c>
      <c r="AA28" s="17">
        <f t="shared" ca="1" si="14"/>
        <v>467786.59006520407</v>
      </c>
      <c r="AB28" s="17">
        <f t="shared" ca="1" si="25"/>
        <v>0.37787673276173023</v>
      </c>
      <c r="AC28" s="17">
        <f t="shared" ca="1" si="15"/>
        <v>1.8031511872126835</v>
      </c>
      <c r="AD28" s="17">
        <f t="shared" ca="1" si="16"/>
        <v>1.1662557056451988</v>
      </c>
      <c r="AE28" s="2">
        <f t="shared" ca="1" si="27"/>
        <v>5.92</v>
      </c>
      <c r="AF28" s="2">
        <f t="shared" ca="1" si="28"/>
        <v>3.83</v>
      </c>
      <c r="AH28" s="2">
        <v>5.92</v>
      </c>
      <c r="AI28" s="2">
        <f t="shared" ca="1" si="26"/>
        <v>3.83</v>
      </c>
      <c r="AJ28" s="2" t="str">
        <f t="shared" ca="1" si="29"/>
        <v>5.92,3.83</v>
      </c>
    </row>
    <row r="29" spans="1:36" x14ac:dyDescent="0.25">
      <c r="A29" s="47">
        <v>9</v>
      </c>
      <c r="B29" s="51">
        <v>7.140462962962963</v>
      </c>
      <c r="C29" s="51">
        <v>3.8182870370370368</v>
      </c>
      <c r="D29" s="47">
        <v>7.9139999999999997</v>
      </c>
      <c r="E29" s="47">
        <v>2.6179999999999999</v>
      </c>
      <c r="F29" s="46"/>
      <c r="G29" s="44">
        <f t="shared" si="17"/>
        <v>91.638888888888886</v>
      </c>
      <c r="H29" s="44">
        <f t="shared" si="18"/>
        <v>1.5994003339803591</v>
      </c>
      <c r="I29" s="44">
        <f t="shared" si="3"/>
        <v>171.37111111111111</v>
      </c>
      <c r="J29" s="40">
        <f t="shared" si="19"/>
        <v>2.990990131689927</v>
      </c>
      <c r="K29" s="40">
        <f t="shared" si="20"/>
        <v>7.9107626459682132</v>
      </c>
      <c r="L29" s="16">
        <f t="shared" si="21"/>
        <v>-0.22634124492455865</v>
      </c>
      <c r="M29" s="14">
        <v>37.9</v>
      </c>
      <c r="N29" s="17">
        <f t="shared" si="4"/>
        <v>209.27111111111111</v>
      </c>
      <c r="O29" s="17">
        <f t="shared" ca="1" si="22"/>
        <v>172.48720396544067</v>
      </c>
      <c r="P29" s="17">
        <f t="shared" ca="1" si="23"/>
        <v>381.75831507655175</v>
      </c>
      <c r="Q29" s="17">
        <f t="shared" ca="1" si="24"/>
        <v>6.6629395449517368</v>
      </c>
      <c r="R29" s="17">
        <f t="shared" ca="1" si="5"/>
        <v>2.9324582266467352</v>
      </c>
      <c r="S29" s="17">
        <f t="shared" ca="1" si="6"/>
        <v>7.3471664190909607</v>
      </c>
      <c r="T29" s="14">
        <f t="shared" ca="1" si="7"/>
        <v>1053619.9514582267</v>
      </c>
      <c r="U29" s="14">
        <f t="shared" ca="1" si="8"/>
        <v>467787.12516641908</v>
      </c>
      <c r="V29" s="17">
        <f t="shared" si="9"/>
        <v>1277.0846587550757</v>
      </c>
      <c r="W29" s="17">
        <f t="shared" ca="1" si="10"/>
        <v>1277.4536697396202</v>
      </c>
      <c r="X29" s="17">
        <f t="shared" ca="1" si="11"/>
        <v>1053619.9514582267</v>
      </c>
      <c r="Y29" s="17">
        <f t="shared" ca="1" si="12"/>
        <v>467787.12516641908</v>
      </c>
      <c r="Z29" s="17">
        <f t="shared" ca="1" si="13"/>
        <v>1053619.5617902512</v>
      </c>
      <c r="AA29" s="17">
        <f t="shared" ca="1" si="14"/>
        <v>467787.26047345204</v>
      </c>
      <c r="AB29" s="17">
        <f t="shared" ca="1" si="25"/>
        <v>0.41249136268163616</v>
      </c>
      <c r="AC29" s="17">
        <f t="shared" ca="1" si="15"/>
        <v>2.5128261647877901</v>
      </c>
      <c r="AD29" s="17">
        <f t="shared" ca="1" si="16"/>
        <v>1.0439818201937214</v>
      </c>
      <c r="AE29" s="2">
        <f t="shared" ca="1" si="27"/>
        <v>8.24</v>
      </c>
      <c r="AF29" s="2">
        <f t="shared" ca="1" si="28"/>
        <v>3.43</v>
      </c>
      <c r="AH29" s="2">
        <v>8.24</v>
      </c>
      <c r="AI29" s="2">
        <f t="shared" ca="1" si="26"/>
        <v>3.43</v>
      </c>
      <c r="AJ29" s="2" t="str">
        <f t="shared" ca="1" si="29"/>
        <v>8.24,3.43</v>
      </c>
    </row>
    <row r="30" spans="1:36" x14ac:dyDescent="0.25">
      <c r="A30" s="47">
        <v>10</v>
      </c>
      <c r="B30" s="51">
        <v>7.0948148148148142</v>
      </c>
      <c r="C30" s="51">
        <v>3.931539351851852</v>
      </c>
      <c r="D30" s="47">
        <v>8.2690000000000001</v>
      </c>
      <c r="E30" s="47">
        <v>2.6179999999999999</v>
      </c>
      <c r="F30" s="46"/>
      <c r="G30" s="44">
        <f t="shared" si="17"/>
        <v>94.356944444444451</v>
      </c>
      <c r="H30" s="44">
        <f t="shared" si="18"/>
        <v>1.6468393526769274</v>
      </c>
      <c r="I30" s="44">
        <f t="shared" si="3"/>
        <v>170.27555555555554</v>
      </c>
      <c r="J30" s="40">
        <f t="shared" si="19"/>
        <v>2.9718690801069667</v>
      </c>
      <c r="K30" s="40">
        <f t="shared" si="20"/>
        <v>8.2451035994800161</v>
      </c>
      <c r="L30" s="16">
        <f t="shared" si="21"/>
        <v>-0.62819394604029288</v>
      </c>
      <c r="M30" s="14">
        <v>37.9</v>
      </c>
      <c r="N30" s="17">
        <f t="shared" si="4"/>
        <v>208.17555555555555</v>
      </c>
      <c r="O30" s="17">
        <f t="shared" ca="1" si="22"/>
        <v>172.48720396544067</v>
      </c>
      <c r="P30" s="17">
        <f t="shared" ca="1" si="23"/>
        <v>380.66275952099625</v>
      </c>
      <c r="Q30" s="17">
        <f t="shared" ca="1" si="24"/>
        <v>6.6438184933687774</v>
      </c>
      <c r="R30" s="17">
        <f t="shared" ca="1" si="5"/>
        <v>2.9094229893934616</v>
      </c>
      <c r="S30" s="17">
        <f t="shared" ca="1" si="6"/>
        <v>7.7147256098287214</v>
      </c>
      <c r="T30" s="14">
        <f t="shared" ca="1" si="7"/>
        <v>1053619.9284229896</v>
      </c>
      <c r="U30" s="14">
        <f t="shared" ca="1" si="8"/>
        <v>467787.4927256098</v>
      </c>
      <c r="V30" s="17">
        <f t="shared" si="9"/>
        <v>1276.6828060539599</v>
      </c>
      <c r="W30" s="17">
        <f t="shared" ca="1" si="10"/>
        <v>1277.0518170385044</v>
      </c>
      <c r="X30" s="17">
        <f t="shared" ca="1" si="11"/>
        <v>1053619.9284229896</v>
      </c>
      <c r="Y30" s="17">
        <f t="shared" ca="1" si="12"/>
        <v>467787.4927256098</v>
      </c>
      <c r="Z30" s="17">
        <f t="shared" ca="1" si="13"/>
        <v>1053619.6732087636</v>
      </c>
      <c r="AA30" s="17">
        <f t="shared" ca="1" si="14"/>
        <v>467787.58134536259</v>
      </c>
      <c r="AB30" s="17">
        <f t="shared" ca="1" si="25"/>
        <v>0.27016247281906069</v>
      </c>
      <c r="AC30" s="17">
        <f t="shared" ca="1" si="15"/>
        <v>2.8524919827422055</v>
      </c>
      <c r="AD30" s="17">
        <f t="shared" ca="1" si="16"/>
        <v>0.64212911907793568</v>
      </c>
      <c r="AE30" s="2">
        <f t="shared" ca="1" si="27"/>
        <v>9.36</v>
      </c>
      <c r="AF30" s="2">
        <f t="shared" ca="1" si="28"/>
        <v>2.11</v>
      </c>
      <c r="AH30" s="2">
        <v>9.36</v>
      </c>
      <c r="AI30" s="2">
        <f t="shared" ca="1" si="26"/>
        <v>2.11</v>
      </c>
      <c r="AJ30" s="2" t="str">
        <f t="shared" ca="1" si="29"/>
        <v>9.36,2.11</v>
      </c>
    </row>
    <row r="31" spans="1:36" x14ac:dyDescent="0.25">
      <c r="A31" s="47">
        <v>11</v>
      </c>
      <c r="B31" s="51">
        <v>7.0701736111111115</v>
      </c>
      <c r="C31" s="51">
        <v>4.017256944444445</v>
      </c>
      <c r="D31" s="47">
        <v>8.5530000000000008</v>
      </c>
      <c r="E31" s="47">
        <v>2.6179999999999999</v>
      </c>
      <c r="F31" s="46"/>
      <c r="G31" s="44">
        <f t="shared" si="17"/>
        <v>96.414166666666688</v>
      </c>
      <c r="H31" s="44">
        <f t="shared" si="18"/>
        <v>1.6827446538999</v>
      </c>
      <c r="I31" s="44">
        <f t="shared" si="3"/>
        <v>169.68416666666667</v>
      </c>
      <c r="J31" s="40">
        <f t="shared" si="19"/>
        <v>2.9615473968361448</v>
      </c>
      <c r="K31" s="40">
        <f t="shared" si="20"/>
        <v>8.4994610214116033</v>
      </c>
      <c r="L31" s="16">
        <f t="shared" si="21"/>
        <v>-0.95549534038887907</v>
      </c>
      <c r="M31" s="14">
        <v>37.9</v>
      </c>
      <c r="N31" s="17">
        <f t="shared" si="4"/>
        <v>207.58416666666668</v>
      </c>
      <c r="O31" s="17">
        <f t="shared" ca="1" si="22"/>
        <v>172.48720396544067</v>
      </c>
      <c r="P31" s="17">
        <f t="shared" ca="1" si="23"/>
        <v>380.07137063210735</v>
      </c>
      <c r="Q31" s="17">
        <f t="shared" ca="1" si="24"/>
        <v>6.633496810097955</v>
      </c>
      <c r="R31" s="17">
        <f t="shared" ca="1" si="5"/>
        <v>2.9169334970427503</v>
      </c>
      <c r="S31" s="17">
        <f t="shared" ca="1" si="6"/>
        <v>7.9832535114654304</v>
      </c>
      <c r="T31" s="14">
        <f t="shared" ca="1" si="7"/>
        <v>1053619.935933497</v>
      </c>
      <c r="U31" s="14">
        <f t="shared" ca="1" si="8"/>
        <v>467787.76125351147</v>
      </c>
      <c r="V31" s="17">
        <f t="shared" si="9"/>
        <v>1276.3555046596114</v>
      </c>
      <c r="W31" s="17">
        <f t="shared" ca="1" si="10"/>
        <v>1276.7245156441559</v>
      </c>
      <c r="X31" s="17">
        <f t="shared" ca="1" si="11"/>
        <v>1053619.935933497</v>
      </c>
      <c r="Y31" s="17">
        <f t="shared" ca="1" si="12"/>
        <v>467787.76125351147</v>
      </c>
      <c r="Z31" s="17">
        <f t="shared" ca="1" si="13"/>
        <v>1053619.757226751</v>
      </c>
      <c r="AA31" s="17">
        <f t="shared" ca="1" si="14"/>
        <v>467787.82330705738</v>
      </c>
      <c r="AB31" s="17">
        <f t="shared" ca="1" si="25"/>
        <v>0.18917384505924525</v>
      </c>
      <c r="AC31" s="17">
        <f t="shared" ca="1" si="15"/>
        <v>3.1086257055225301</v>
      </c>
      <c r="AD31" s="17">
        <f t="shared" ca="1" si="16"/>
        <v>0.31482772472941178</v>
      </c>
      <c r="AE31" s="2">
        <f t="shared" ca="1" si="27"/>
        <v>10.199999999999999</v>
      </c>
      <c r="AF31" s="2">
        <f t="shared" ca="1" si="28"/>
        <v>1.03</v>
      </c>
      <c r="AH31" s="2">
        <v>10.199999999999999</v>
      </c>
      <c r="AI31" s="2">
        <f t="shared" ca="1" si="26"/>
        <v>1.03</v>
      </c>
      <c r="AJ31" s="2" t="str">
        <f t="shared" ca="1" si="29"/>
        <v>10.2,1.03</v>
      </c>
    </row>
    <row r="32" spans="1:36" x14ac:dyDescent="0.25">
      <c r="A32" s="47">
        <v>12</v>
      </c>
      <c r="B32" s="51">
        <v>7.0849074074074077</v>
      </c>
      <c r="C32" s="51">
        <v>4.0144791666666668</v>
      </c>
      <c r="D32" s="47">
        <v>9.7189999999999994</v>
      </c>
      <c r="E32" s="47">
        <v>2.6179999999999999</v>
      </c>
      <c r="F32" s="52" t="s">
        <v>70</v>
      </c>
      <c r="G32" s="44">
        <f t="shared" si="17"/>
        <v>96.347499999999997</v>
      </c>
      <c r="H32" s="44">
        <f t="shared" si="18"/>
        <v>1.6815811010652366</v>
      </c>
      <c r="I32" s="44">
        <f t="shared" si="3"/>
        <v>170.03777777777779</v>
      </c>
      <c r="J32" s="40">
        <f t="shared" si="19"/>
        <v>2.9677190749966695</v>
      </c>
      <c r="K32" s="40">
        <f t="shared" si="20"/>
        <v>9.6594190380159777</v>
      </c>
      <c r="L32" s="16">
        <f t="shared" si="21"/>
        <v>-1.074516099467322</v>
      </c>
      <c r="M32" s="14">
        <v>37.9</v>
      </c>
      <c r="N32" s="17">
        <f t="shared" si="4"/>
        <v>207.9377777777778</v>
      </c>
      <c r="O32" s="17">
        <f t="shared" ca="1" si="22"/>
        <v>172.48720396544067</v>
      </c>
      <c r="P32" s="17">
        <f t="shared" ca="1" si="23"/>
        <v>380.4249817432185</v>
      </c>
      <c r="Q32" s="17">
        <f t="shared" ca="1" si="24"/>
        <v>6.6396684882584802</v>
      </c>
      <c r="R32" s="17">
        <f t="shared" ca="1" si="5"/>
        <v>3.3709506430088045</v>
      </c>
      <c r="S32" s="17">
        <f t="shared" ca="1" si="6"/>
        <v>9.0521305732067319</v>
      </c>
      <c r="T32" s="14">
        <f t="shared" ca="1" si="7"/>
        <v>1053620.3899506431</v>
      </c>
      <c r="U32" s="14">
        <f t="shared" ca="1" si="8"/>
        <v>467788.83013057319</v>
      </c>
      <c r="V32" s="17">
        <f t="shared" si="9"/>
        <v>1276.2364839005329</v>
      </c>
      <c r="W32" s="17">
        <f t="shared" ca="1" si="10"/>
        <v>1276.6054948850774</v>
      </c>
      <c r="X32" s="17">
        <f t="shared" ca="1" si="11"/>
        <v>1053620.3899506431</v>
      </c>
      <c r="Y32" s="17">
        <f t="shared" ca="1" si="12"/>
        <v>467788.83013057319</v>
      </c>
      <c r="Z32" s="17">
        <f t="shared" ca="1" si="13"/>
        <v>1053620.1372962412</v>
      </c>
      <c r="AA32" s="17">
        <f t="shared" ca="1" si="14"/>
        <v>467788.91786146117</v>
      </c>
      <c r="AB32" s="17">
        <f t="shared" ca="1" si="25"/>
        <v>0.26745271631638884</v>
      </c>
      <c r="AC32" s="17">
        <f t="shared" ca="1" si="15"/>
        <v>4.2672896603945762</v>
      </c>
      <c r="AD32" s="17">
        <f ca="1">IF(ISNUMBER(X32),W32-Min_Z,"")</f>
        <v>0.19580696565094513</v>
      </c>
      <c r="AE32" s="2">
        <f t="shared" ca="1" si="27"/>
        <v>14</v>
      </c>
      <c r="AF32" s="2">
        <f t="shared" ca="1" si="28"/>
        <v>0.64</v>
      </c>
      <c r="AH32" s="2">
        <v>14</v>
      </c>
      <c r="AI32" s="2">
        <f t="shared" ca="1" si="26"/>
        <v>0.64</v>
      </c>
      <c r="AJ32" s="2" t="str">
        <f t="shared" ca="1" si="29"/>
        <v>14,0.64</v>
      </c>
    </row>
    <row r="33" spans="1:36" x14ac:dyDescent="0.25">
      <c r="A33" s="47">
        <v>13</v>
      </c>
      <c r="B33" s="51">
        <v>7.0680439814814813</v>
      </c>
      <c r="C33" s="51">
        <v>4.0472453703703701</v>
      </c>
      <c r="D33" s="47">
        <v>10.228999999999999</v>
      </c>
      <c r="E33" s="47">
        <v>2.6179999999999999</v>
      </c>
      <c r="F33" s="46"/>
      <c r="G33" s="44">
        <f t="shared" si="17"/>
        <v>97.13388888888889</v>
      </c>
      <c r="H33" s="44">
        <f t="shared" si="18"/>
        <v>1.6953061763774477</v>
      </c>
      <c r="I33" s="44">
        <f t="shared" si="3"/>
        <v>169.63305555555556</v>
      </c>
      <c r="J33" s="40">
        <f t="shared" si="19"/>
        <v>2.9606553396629032</v>
      </c>
      <c r="K33" s="40">
        <f t="shared" si="20"/>
        <v>10.149813806677862</v>
      </c>
      <c r="L33" s="16">
        <f t="shared" si="21"/>
        <v>-1.2703230651182487</v>
      </c>
      <c r="M33" s="14">
        <v>37.9</v>
      </c>
      <c r="N33" s="17">
        <f t="shared" si="4"/>
        <v>207.53305555555556</v>
      </c>
      <c r="O33" s="17">
        <f t="shared" ca="1" si="22"/>
        <v>172.48720396544067</v>
      </c>
      <c r="P33" s="17">
        <f t="shared" ca="1" si="23"/>
        <v>380.02025952099621</v>
      </c>
      <c r="Q33" s="17">
        <f t="shared" ca="1" si="24"/>
        <v>6.6326047529247134</v>
      </c>
      <c r="R33" s="17">
        <f t="shared" ca="1" si="5"/>
        <v>3.4748130439522655</v>
      </c>
      <c r="S33" s="17">
        <f t="shared" ca="1" si="6"/>
        <v>9.5364770549615301</v>
      </c>
      <c r="T33" s="14">
        <f t="shared" ca="1" si="7"/>
        <v>1053620.4938130439</v>
      </c>
      <c r="U33" s="14">
        <f t="shared" ca="1" si="8"/>
        <v>467789.31447705493</v>
      </c>
      <c r="V33" s="17">
        <f t="shared" si="9"/>
        <v>1276.040676934882</v>
      </c>
      <c r="W33" s="17">
        <f t="shared" ca="1" si="10"/>
        <v>1276.4096879194265</v>
      </c>
      <c r="X33" s="17">
        <f t="shared" ca="1" si="11"/>
        <v>1053620.4938130439</v>
      </c>
      <c r="Y33" s="17">
        <f t="shared" ca="1" si="12"/>
        <v>467789.31447705493</v>
      </c>
      <c r="Z33" s="17">
        <f t="shared" ca="1" si="13"/>
        <v>1053620.2985582645</v>
      </c>
      <c r="AA33" s="17">
        <f t="shared" ca="1" si="14"/>
        <v>467789.38227668544</v>
      </c>
      <c r="AB33" s="17">
        <f t="shared" ca="1" si="25"/>
        <v>0.2066911192694551</v>
      </c>
      <c r="AC33" s="17">
        <f t="shared" ca="1" si="15"/>
        <v>4.7589063206895963</v>
      </c>
      <c r="AD33" s="17">
        <f t="shared" ca="1" si="16"/>
        <v>0</v>
      </c>
      <c r="AE33" s="2">
        <f t="shared" ca="1" si="27"/>
        <v>15.61</v>
      </c>
      <c r="AF33" s="2">
        <f t="shared" ca="1" si="28"/>
        <v>0</v>
      </c>
      <c r="AH33" s="2">
        <v>15.61</v>
      </c>
      <c r="AI33" s="2">
        <f t="shared" ca="1" si="26"/>
        <v>0</v>
      </c>
      <c r="AJ33" s="2" t="str">
        <f t="shared" ca="1" si="29"/>
        <v>15.61,0</v>
      </c>
    </row>
    <row r="34" spans="1:36" x14ac:dyDescent="0.25">
      <c r="A34" s="47">
        <v>14</v>
      </c>
      <c r="B34" s="51">
        <v>6.9240162037037036</v>
      </c>
      <c r="C34" s="51">
        <v>3.8029282407407408</v>
      </c>
      <c r="D34" s="47">
        <v>46.735999999999997</v>
      </c>
      <c r="E34" s="47">
        <v>2.6179999999999999</v>
      </c>
      <c r="F34" s="52" t="s">
        <v>70</v>
      </c>
      <c r="G34" s="44">
        <f t="shared" si="17"/>
        <v>91.270277777777778</v>
      </c>
      <c r="H34" s="44">
        <f t="shared" si="18"/>
        <v>1.5929668564320356</v>
      </c>
      <c r="I34" s="44">
        <f t="shared" si="3"/>
        <v>166.17638888888888</v>
      </c>
      <c r="J34" s="40">
        <f t="shared" si="19"/>
        <v>2.9003251251856326</v>
      </c>
      <c r="K34" s="40">
        <f t="shared" si="20"/>
        <v>46.724514341717523</v>
      </c>
      <c r="L34" s="16">
        <f t="shared" si="21"/>
        <v>-1.0360769906881264</v>
      </c>
      <c r="M34" s="14">
        <v>37.9</v>
      </c>
      <c r="N34" s="17">
        <f t="shared" si="4"/>
        <v>204.07638888888889</v>
      </c>
      <c r="O34" s="17">
        <f t="shared" ca="1" si="22"/>
        <v>172.48720396544067</v>
      </c>
      <c r="P34" s="17">
        <f t="shared" ca="1" si="23"/>
        <v>376.56359285432956</v>
      </c>
      <c r="Q34" s="17">
        <f t="shared" ca="1" si="24"/>
        <v>6.5722745384474424</v>
      </c>
      <c r="R34" s="17">
        <f t="shared" ca="1" si="5"/>
        <v>13.320195021787118</v>
      </c>
      <c r="S34" s="17">
        <f t="shared" ca="1" si="6"/>
        <v>44.785629894542332</v>
      </c>
      <c r="T34" s="14">
        <f t="shared" ca="1" si="7"/>
        <v>1053630.3391950219</v>
      </c>
      <c r="U34" s="14">
        <f t="shared" ca="1" si="8"/>
        <v>467824.56362989452</v>
      </c>
      <c r="V34" s="17">
        <f t="shared" si="9"/>
        <v>1276.274923009312</v>
      </c>
      <c r="W34" s="17">
        <f t="shared" ca="1" si="10"/>
        <v>1276.6439339938565</v>
      </c>
      <c r="X34" s="17">
        <f t="shared" ca="1" si="11"/>
        <v>1053630.3391950219</v>
      </c>
      <c r="Y34" s="17">
        <f t="shared" ca="1" si="12"/>
        <v>467824.56362989452</v>
      </c>
      <c r="Z34" s="17">
        <f t="shared" ca="1" si="13"/>
        <v>1053632.2807200842</v>
      </c>
      <c r="AA34" s="17">
        <f t="shared" ca="1" si="14"/>
        <v>467823.88946108334</v>
      </c>
      <c r="AB34" s="17">
        <f t="shared" ca="1" si="25"/>
        <v>2.0552428453976246</v>
      </c>
      <c r="AC34" s="17">
        <f t="shared" ca="1" si="15"/>
        <v>41.287223787332444</v>
      </c>
      <c r="AD34" s="17">
        <f t="shared" ca="1" si="16"/>
        <v>0.23424607443007517</v>
      </c>
      <c r="AE34" s="2">
        <f t="shared" ca="1" si="27"/>
        <v>135.46</v>
      </c>
      <c r="AF34" s="2">
        <f t="shared" ca="1" si="28"/>
        <v>0.77</v>
      </c>
      <c r="AH34" s="2">
        <v>135.46</v>
      </c>
      <c r="AI34" s="2">
        <f t="shared" ca="1" si="26"/>
        <v>0.77</v>
      </c>
      <c r="AJ34" s="2" t="str">
        <f t="shared" ca="1" si="29"/>
        <v>135.46,0.77</v>
      </c>
    </row>
    <row r="35" spans="1:36" x14ac:dyDescent="0.25">
      <c r="A35" s="47">
        <v>15</v>
      </c>
      <c r="B35" s="51">
        <v>6.9752662037037041</v>
      </c>
      <c r="C35" s="51">
        <v>3.7983333333333333</v>
      </c>
      <c r="D35" s="47">
        <v>50.454000000000001</v>
      </c>
      <c r="E35" s="47">
        <v>2.6179999999999999</v>
      </c>
      <c r="F35" s="52" t="s">
        <v>91</v>
      </c>
      <c r="G35" s="44">
        <f t="shared" si="17"/>
        <v>91.16</v>
      </c>
      <c r="H35" s="44">
        <f t="shared" si="18"/>
        <v>1.5910421461180309</v>
      </c>
      <c r="I35" s="44">
        <f t="shared" si="3"/>
        <v>167.4063888888889</v>
      </c>
      <c r="J35" s="40">
        <f t="shared" si="19"/>
        <v>2.9217926749851628</v>
      </c>
      <c r="K35" s="40">
        <f t="shared" si="20"/>
        <v>50.443659977441278</v>
      </c>
      <c r="L35" s="16">
        <f t="shared" si="21"/>
        <v>-1.0214127864331386</v>
      </c>
      <c r="M35" s="14">
        <v>37.9</v>
      </c>
      <c r="N35" s="17">
        <f t="shared" si="4"/>
        <v>205.3063888888889</v>
      </c>
      <c r="O35" s="17">
        <f t="shared" ca="1" si="22"/>
        <v>172.48720396544067</v>
      </c>
      <c r="P35" s="17">
        <f t="shared" ca="1" si="23"/>
        <v>377.79359285432957</v>
      </c>
      <c r="Q35" s="17">
        <f t="shared" ca="1" si="24"/>
        <v>6.5937420882469731</v>
      </c>
      <c r="R35" s="17">
        <f t="shared" ca="1" si="5"/>
        <v>15.415019055252202</v>
      </c>
      <c r="S35" s="17">
        <f t="shared" ca="1" si="6"/>
        <v>48.030615438966869</v>
      </c>
      <c r="T35" s="14">
        <f t="shared" ca="1" si="7"/>
        <v>1053632.4340190555</v>
      </c>
      <c r="U35" s="14">
        <f t="shared" ca="1" si="8"/>
        <v>467827.80861543893</v>
      </c>
      <c r="V35" s="17">
        <f t="shared" si="9"/>
        <v>1276.2895872135671</v>
      </c>
      <c r="W35" s="17">
        <f t="shared" ca="1" si="10"/>
        <v>1276.6585981981116</v>
      </c>
      <c r="X35" s="17">
        <f t="shared" ca="1" si="11"/>
        <v>1053632.4340190555</v>
      </c>
      <c r="Y35" s="17">
        <f t="shared" ca="1" si="12"/>
        <v>467827.80861543893</v>
      </c>
      <c r="Z35" s="17">
        <f t="shared" ca="1" si="13"/>
        <v>1053633.5116596848</v>
      </c>
      <c r="AA35" s="17">
        <f t="shared" ca="1" si="14"/>
        <v>467827.43441903172</v>
      </c>
      <c r="AB35" s="17">
        <f t="shared" ca="1" si="25"/>
        <v>1.1407595177099226</v>
      </c>
      <c r="AC35" s="17">
        <f t="shared" ca="1" si="15"/>
        <v>45.039814779722875</v>
      </c>
      <c r="AD35" s="17">
        <f t="shared" ca="1" si="16"/>
        <v>0.24891027868511628</v>
      </c>
      <c r="AE35" s="2">
        <f t="shared" ca="1" si="27"/>
        <v>147.77000000000001</v>
      </c>
      <c r="AF35" s="2">
        <f t="shared" ca="1" si="28"/>
        <v>0.82</v>
      </c>
      <c r="AH35" s="2">
        <v>147.77000000000001</v>
      </c>
      <c r="AI35" s="2">
        <f t="shared" ca="1" si="26"/>
        <v>0.82</v>
      </c>
      <c r="AJ35" s="2" t="str">
        <f t="shared" ca="1" si="29"/>
        <v>147.77,0.82</v>
      </c>
    </row>
    <row r="36" spans="1:36" x14ac:dyDescent="0.25">
      <c r="A36" s="47">
        <v>16</v>
      </c>
      <c r="B36" s="51">
        <v>6.9891435185185182</v>
      </c>
      <c r="C36" s="51">
        <v>3.7909606481481481</v>
      </c>
      <c r="D36" s="47">
        <v>59.668999999999997</v>
      </c>
      <c r="E36" s="47">
        <v>2.6179999999999999</v>
      </c>
      <c r="F36" s="46"/>
      <c r="G36" s="44">
        <f t="shared" si="17"/>
        <v>90.983055555555552</v>
      </c>
      <c r="H36" s="44">
        <f t="shared" si="18"/>
        <v>1.5879538829693629</v>
      </c>
      <c r="I36" s="44">
        <f t="shared" si="3"/>
        <v>167.73944444444444</v>
      </c>
      <c r="J36" s="40">
        <f t="shared" si="19"/>
        <v>2.9276055910216661</v>
      </c>
      <c r="K36" s="40">
        <f t="shared" si="20"/>
        <v>59.660217483614758</v>
      </c>
      <c r="L36" s="16">
        <f t="shared" si="21"/>
        <v>-1.023723990041931</v>
      </c>
      <c r="M36" s="14">
        <v>37.9</v>
      </c>
      <c r="N36" s="17">
        <f t="shared" si="4"/>
        <v>205.63944444444445</v>
      </c>
      <c r="O36" s="17">
        <f t="shared" ca="1" si="22"/>
        <v>172.48720396544067</v>
      </c>
      <c r="P36" s="17">
        <f t="shared" ca="1" si="23"/>
        <v>378.12664840988509</v>
      </c>
      <c r="Q36" s="17">
        <f t="shared" ca="1" si="24"/>
        <v>6.5995550042834763</v>
      </c>
      <c r="R36" s="17">
        <f t="shared" ca="1" si="5"/>
        <v>18.56139637376689</v>
      </c>
      <c r="S36" s="17">
        <f t="shared" ca="1" si="6"/>
        <v>56.699348451707323</v>
      </c>
      <c r="T36" s="14">
        <f t="shared" ca="1" si="7"/>
        <v>1053635.5803963738</v>
      </c>
      <c r="U36" s="14">
        <f t="shared" ca="1" si="8"/>
        <v>467836.47734845168</v>
      </c>
      <c r="V36" s="17">
        <f t="shared" si="9"/>
        <v>1276.2872760099583</v>
      </c>
      <c r="W36" s="17">
        <f t="shared" ca="1" si="10"/>
        <v>1276.6562869945028</v>
      </c>
      <c r="X36" s="17">
        <f t="shared" ca="1" si="11"/>
        <v>1053635.5803963738</v>
      </c>
      <c r="Y36" s="17">
        <f t="shared" ca="1" si="12"/>
        <v>467836.47734845168</v>
      </c>
      <c r="Z36" s="17">
        <f t="shared" ca="1" si="13"/>
        <v>1053636.5364253055</v>
      </c>
      <c r="AA36" s="17">
        <f t="shared" ca="1" si="14"/>
        <v>467836.14538009232</v>
      </c>
      <c r="AB36" s="17">
        <f t="shared" ca="1" si="25"/>
        <v>1.0120248564162113</v>
      </c>
      <c r="AC36" s="17">
        <f t="shared" ca="1" si="15"/>
        <v>54.260988764605266</v>
      </c>
      <c r="AD36" s="17">
        <f t="shared" ca="1" si="16"/>
        <v>0.24659907507634671</v>
      </c>
      <c r="AE36" s="2">
        <f t="shared" ca="1" si="27"/>
        <v>178.02</v>
      </c>
      <c r="AF36" s="2">
        <f t="shared" ca="1" si="28"/>
        <v>0.81</v>
      </c>
      <c r="AH36" s="2">
        <v>178.02</v>
      </c>
      <c r="AI36" s="2">
        <f t="shared" ca="1" si="26"/>
        <v>0.81</v>
      </c>
      <c r="AJ36" s="2" t="str">
        <f t="shared" ca="1" si="29"/>
        <v>178.02,0.81</v>
      </c>
    </row>
    <row r="37" spans="1:36" x14ac:dyDescent="0.25">
      <c r="A37" s="47">
        <v>17</v>
      </c>
      <c r="B37" s="51">
        <v>7.0153472222222222</v>
      </c>
      <c r="C37" s="51">
        <v>3.7905555555555552</v>
      </c>
      <c r="D37" s="47">
        <v>61.396999999999998</v>
      </c>
      <c r="E37" s="47">
        <v>2.6179999999999999</v>
      </c>
      <c r="F37" s="46"/>
      <c r="G37" s="44">
        <f t="shared" si="17"/>
        <v>90.973333333333329</v>
      </c>
      <c r="H37" s="44">
        <f t="shared" si="18"/>
        <v>1.5877841981809746</v>
      </c>
      <c r="I37" s="44">
        <f t="shared" si="3"/>
        <v>168.36833333333334</v>
      </c>
      <c r="J37" s="40">
        <f t="shared" si="19"/>
        <v>2.9385817727619861</v>
      </c>
      <c r="K37" s="40">
        <f t="shared" si="20"/>
        <v>61.388141001265772</v>
      </c>
      <c r="L37" s="16">
        <f t="shared" si="21"/>
        <v>-1.042954173831421</v>
      </c>
      <c r="M37" s="14">
        <v>37.9</v>
      </c>
      <c r="N37" s="17">
        <f t="shared" si="4"/>
        <v>206.26833333333335</v>
      </c>
      <c r="O37" s="17">
        <f t="shared" ca="1" si="22"/>
        <v>172.48720396544067</v>
      </c>
      <c r="P37" s="17">
        <f t="shared" ca="1" si="23"/>
        <v>378.75553729877402</v>
      </c>
      <c r="Q37" s="17">
        <f t="shared" ca="1" si="24"/>
        <v>6.6105311860237963</v>
      </c>
      <c r="R37" s="17">
        <f t="shared" ca="1" si="5"/>
        <v>19.73818907558962</v>
      </c>
      <c r="S37" s="17">
        <f t="shared" ca="1" si="6"/>
        <v>58.12837299983169</v>
      </c>
      <c r="T37" s="14">
        <f t="shared" ca="1" si="7"/>
        <v>1053636.7571890757</v>
      </c>
      <c r="U37" s="14">
        <f t="shared" ca="1" si="8"/>
        <v>467837.90637299983</v>
      </c>
      <c r="V37" s="17">
        <f t="shared" si="9"/>
        <v>1276.2680458261686</v>
      </c>
      <c r="W37" s="17">
        <f t="shared" ca="1" si="10"/>
        <v>1276.6370568107131</v>
      </c>
      <c r="X37" s="17">
        <f t="shared" ca="1" si="11"/>
        <v>1053636.7571890757</v>
      </c>
      <c r="Y37" s="17">
        <f t="shared" ca="1" si="12"/>
        <v>467837.90637299983</v>
      </c>
      <c r="Z37" s="17">
        <f t="shared" ca="1" si="13"/>
        <v>1053637.1058656236</v>
      </c>
      <c r="AA37" s="17">
        <f t="shared" ca="1" si="14"/>
        <v>467837.78529969603</v>
      </c>
      <c r="AB37" s="17">
        <f t="shared" ca="1" si="25"/>
        <v>0.36909901101302811</v>
      </c>
      <c r="AC37" s="17">
        <f t="shared" ca="1" si="15"/>
        <v>55.996960706324813</v>
      </c>
      <c r="AD37" s="17">
        <f t="shared" ca="1" si="16"/>
        <v>0.22736889128668736</v>
      </c>
      <c r="AE37" s="2">
        <f t="shared" ca="1" si="27"/>
        <v>183.72</v>
      </c>
      <c r="AF37" s="2">
        <f t="shared" ca="1" si="28"/>
        <v>0.75</v>
      </c>
      <c r="AH37" s="2">
        <v>183.72</v>
      </c>
      <c r="AI37" s="2">
        <f t="shared" ca="1" si="26"/>
        <v>0.75</v>
      </c>
      <c r="AJ37" s="2" t="str">
        <f t="shared" ca="1" si="29"/>
        <v>183.72,0.75</v>
      </c>
    </row>
    <row r="38" spans="1:36" x14ac:dyDescent="0.25">
      <c r="A38" s="47">
        <v>18</v>
      </c>
      <c r="B38" s="51">
        <v>7.0016782407407412</v>
      </c>
      <c r="C38" s="51">
        <v>3.7810069444444445</v>
      </c>
      <c r="D38" s="47">
        <v>82.177000000000007</v>
      </c>
      <c r="E38" s="47">
        <v>2.6179999999999999</v>
      </c>
      <c r="F38" s="52" t="s">
        <v>70</v>
      </c>
      <c r="G38" s="44">
        <f t="shared" si="17"/>
        <v>90.744166666666672</v>
      </c>
      <c r="H38" s="44">
        <f t="shared" si="18"/>
        <v>1.5837844853118213</v>
      </c>
      <c r="I38" s="44">
        <f t="shared" si="3"/>
        <v>168.04027777777779</v>
      </c>
      <c r="J38" s="40">
        <f t="shared" si="19"/>
        <v>2.9328561231880825</v>
      </c>
      <c r="K38" s="40">
        <f t="shared" si="20"/>
        <v>82.170068785444428</v>
      </c>
      <c r="L38" s="16">
        <f t="shared" si="21"/>
        <v>-1.0672978943721241</v>
      </c>
      <c r="M38" s="14">
        <v>37.9</v>
      </c>
      <c r="N38" s="17">
        <f t="shared" si="4"/>
        <v>205.94027777777779</v>
      </c>
      <c r="O38" s="17">
        <f t="shared" ca="1" si="22"/>
        <v>172.48720396544067</v>
      </c>
      <c r="P38" s="17">
        <f t="shared" ca="1" si="23"/>
        <v>378.42748174321844</v>
      </c>
      <c r="Q38" s="17">
        <f t="shared" ca="1" si="24"/>
        <v>6.6048055364498923</v>
      </c>
      <c r="R38" s="17">
        <f t="shared" ca="1" si="5"/>
        <v>25.974297781795922</v>
      </c>
      <c r="S38" s="17">
        <f t="shared" ca="1" si="6"/>
        <v>77.956757622077006</v>
      </c>
      <c r="T38" s="14">
        <f t="shared" ca="1" si="7"/>
        <v>1053642.9932977818</v>
      </c>
      <c r="U38" s="14">
        <f t="shared" ca="1" si="8"/>
        <v>467857.73475762206</v>
      </c>
      <c r="V38" s="17">
        <f t="shared" si="9"/>
        <v>1276.243702105628</v>
      </c>
      <c r="W38" s="17">
        <f t="shared" ca="1" si="10"/>
        <v>1276.6127130901725</v>
      </c>
      <c r="X38" s="50">
        <f t="shared" ref="X38:X44" ca="1" si="30">IF(AND(A38&gt;=CS_Start,A38&lt;=CS_End),IF(OR(LEFT(UPPER(F38))="D"),"",T38),"")</f>
        <v>1053642.9932977818</v>
      </c>
      <c r="Y38" s="50">
        <f t="shared" ref="Y38:Y44" ca="1" si="31">IF(ISNUMBER(X38),U38,"")</f>
        <v>467857.73475762206</v>
      </c>
      <c r="Z38" s="50">
        <f t="shared" ref="Z38:Z44" ca="1" si="32">IF(X38="","",VALUE((-mB*X38+Y38-bA)/(mA-mB)))</f>
        <v>1053643.9211730978</v>
      </c>
      <c r="AA38" s="50">
        <f t="shared" ref="AA38:AA44" ca="1" si="33">IF(Z38="","",VALUE(mA*Z38+bA))</f>
        <v>467857.41256523272</v>
      </c>
      <c r="AB38" s="50">
        <f t="shared" ref="AB38:AB44" ca="1" si="34">IF(ISNUMBER(X38),SQRT((X38-Z38)^2+(Y38-AA38)^2),"")</f>
        <v>0.98222224460612895</v>
      </c>
      <c r="AC38" s="50">
        <f t="shared" ref="AC38:AC44" ca="1" si="35">IF(ISNUMBER(Z38),SQRT(($Z38-OFFSET($Z$20,MATCH(CS_Start,$A$21:$A$51,0),0))^2+($AA38-OFFSET($AA$20,MATCH(CS_Start,$A$21:$A$51,0),0))^2),"")</f>
        <v>76.773822076996396</v>
      </c>
      <c r="AD38" s="50">
        <f t="shared" ref="AD38:AD44" ca="1" si="36">IF(ISNUMBER(X38),W38-Min_Z,"")</f>
        <v>0.2030251707460593</v>
      </c>
      <c r="AE38" s="47">
        <f t="shared" ref="AE38:AE44" ca="1" si="37">ROUND(CONVERT(AC38,"m","ft"),2)</f>
        <v>251.88</v>
      </c>
      <c r="AF38" s="47">
        <f t="shared" ref="AF38:AF44" ca="1" si="38">ROUND(CONVERT(AD38,"m","ft"),2)</f>
        <v>0.67</v>
      </c>
      <c r="AH38" s="47">
        <v>251.88</v>
      </c>
      <c r="AI38" s="47">
        <f t="shared" ca="1" si="26"/>
        <v>0.67</v>
      </c>
      <c r="AJ38" s="47" t="str">
        <f t="shared" ref="AJ38:AJ42" ca="1" si="39">CONCATENATE(AH38,",",AI38)</f>
        <v>251.88,0.67</v>
      </c>
    </row>
    <row r="39" spans="1:36" x14ac:dyDescent="0.25">
      <c r="A39" s="47">
        <v>19</v>
      </c>
      <c r="B39" s="51">
        <v>6.9981828703703703</v>
      </c>
      <c r="C39" s="51">
        <v>3.7771064814814816</v>
      </c>
      <c r="D39" s="47">
        <v>82.855000000000004</v>
      </c>
      <c r="E39" s="47">
        <v>2.6179999999999999</v>
      </c>
      <c r="F39" s="46"/>
      <c r="G39" s="44">
        <f t="shared" si="17"/>
        <v>90.650555555555556</v>
      </c>
      <c r="H39" s="44">
        <f t="shared" si="18"/>
        <v>1.5821506632064819</v>
      </c>
      <c r="I39" s="44">
        <f t="shared" si="3"/>
        <v>167.95638888888888</v>
      </c>
      <c r="J39" s="40">
        <f t="shared" si="19"/>
        <v>2.9313919858711315</v>
      </c>
      <c r="K39" s="40">
        <f t="shared" si="20"/>
        <v>82.849659184501306</v>
      </c>
      <c r="L39" s="16">
        <f t="shared" si="21"/>
        <v>-0.94074332948973705</v>
      </c>
      <c r="M39" s="14">
        <v>37.9</v>
      </c>
      <c r="N39" s="17">
        <f t="shared" si="4"/>
        <v>205.85638888888889</v>
      </c>
      <c r="O39" s="17">
        <f t="shared" ca="1" si="22"/>
        <v>172.48720396544067</v>
      </c>
      <c r="P39" s="17">
        <f t="shared" ca="1" si="23"/>
        <v>378.34359285432959</v>
      </c>
      <c r="Q39" s="17">
        <f t="shared" ca="1" si="24"/>
        <v>6.6033413991329422</v>
      </c>
      <c r="R39" s="17">
        <f t="shared" ca="1" si="5"/>
        <v>26.074007689523654</v>
      </c>
      <c r="S39" s="17">
        <f t="shared" ca="1" si="6"/>
        <v>78.63976188922932</v>
      </c>
      <c r="T39" s="14">
        <f t="shared" ca="1" si="7"/>
        <v>1053643.0930076896</v>
      </c>
      <c r="U39" s="14">
        <f t="shared" ca="1" si="8"/>
        <v>467858.41776188923</v>
      </c>
      <c r="V39" s="17">
        <f t="shared" si="9"/>
        <v>1276.3702566705103</v>
      </c>
      <c r="W39" s="17">
        <f t="shared" ca="1" si="10"/>
        <v>1276.7392676550548</v>
      </c>
      <c r="X39" s="50">
        <f t="shared" ca="1" si="30"/>
        <v>1053643.0930076896</v>
      </c>
      <c r="Y39" s="50">
        <f t="shared" ca="1" si="31"/>
        <v>467858.41776188923</v>
      </c>
      <c r="Z39" s="50">
        <f t="shared" ca="1" si="32"/>
        <v>1053644.1435472292</v>
      </c>
      <c r="AA39" s="50">
        <f t="shared" ca="1" si="33"/>
        <v>467858.05297597637</v>
      </c>
      <c r="AB39" s="50">
        <f t="shared" ca="1" si="34"/>
        <v>1.1120710798364064</v>
      </c>
      <c r="AC39" s="50">
        <f t="shared" ca="1" si="35"/>
        <v>77.451742555312052</v>
      </c>
      <c r="AD39" s="50">
        <f t="shared" ca="1" si="36"/>
        <v>0.32957973562838561</v>
      </c>
      <c r="AE39" s="47">
        <f t="shared" ca="1" si="37"/>
        <v>254.11</v>
      </c>
      <c r="AF39" s="47">
        <f t="shared" ca="1" si="38"/>
        <v>1.08</v>
      </c>
      <c r="AH39" s="47">
        <v>254.11</v>
      </c>
      <c r="AI39" s="47">
        <f t="shared" ca="1" si="26"/>
        <v>1.08</v>
      </c>
      <c r="AJ39" s="47" t="str">
        <f t="shared" ca="1" si="39"/>
        <v>254.11,1.08</v>
      </c>
    </row>
    <row r="40" spans="1:36" x14ac:dyDescent="0.25">
      <c r="A40" s="47">
        <v>20</v>
      </c>
      <c r="B40" s="51">
        <v>6.9936574074074072</v>
      </c>
      <c r="C40" s="51">
        <v>3.7724189814814815</v>
      </c>
      <c r="D40" s="47">
        <v>83.731999999999999</v>
      </c>
      <c r="E40" s="47">
        <v>2.6179999999999999</v>
      </c>
      <c r="F40" s="46"/>
      <c r="G40" s="44">
        <f t="shared" ref="G40:G44" si="40">C40*24</f>
        <v>90.538055555555559</v>
      </c>
      <c r="H40" s="44">
        <f t="shared" ref="H40:H44" si="41">RADIANS(G40)</f>
        <v>1.5801871677979884</v>
      </c>
      <c r="I40" s="44">
        <f t="shared" ref="I40:I44" si="42">B40*24</f>
        <v>167.84777777777776</v>
      </c>
      <c r="J40" s="52">
        <f t="shared" ref="J40:J44" si="43">RADIANS(I40)</f>
        <v>2.929496364377993</v>
      </c>
      <c r="K40" s="52">
        <f t="shared" ref="K40:K44" si="44">D40*SIN(H40)</f>
        <v>83.728307952731541</v>
      </c>
      <c r="L40" s="49">
        <f t="shared" ref="L40:L44" si="45">D40*COS(H40)</f>
        <v>-0.78630234169394964</v>
      </c>
      <c r="M40" s="48">
        <v>38.9</v>
      </c>
      <c r="N40" s="50">
        <f t="shared" ref="N40:N44" si="46">I40+M40</f>
        <v>206.74777777777777</v>
      </c>
      <c r="O40" s="50">
        <f t="shared" ca="1" si="22"/>
        <v>172.48720396544067</v>
      </c>
      <c r="P40" s="50">
        <f t="shared" ref="P40:P44" ca="1" si="47">SUM(N40,O40)</f>
        <v>379.23498174321844</v>
      </c>
      <c r="Q40" s="50">
        <f t="shared" ref="Q40:Q44" ca="1" si="48">RADIANS(P40)</f>
        <v>6.6188990701597463</v>
      </c>
      <c r="R40" s="50">
        <f t="shared" ref="R40:R44" ca="1" si="49">K40*SIN(Q40)</f>
        <v>27.58371929005223</v>
      </c>
      <c r="S40" s="50">
        <f t="shared" ref="S40:S44" ca="1" si="50">K40*COS(Q40)</f>
        <v>79.054209140026501</v>
      </c>
      <c r="T40" s="48">
        <f t="shared" ref="T40:T44" ca="1" si="51">Old_X0+R40</f>
        <v>1053644.6027192902</v>
      </c>
      <c r="U40" s="48">
        <f t="shared" ref="U40:U44" ca="1" si="52">Old_Y0+S40</f>
        <v>467858.83220914</v>
      </c>
      <c r="V40" s="50">
        <f t="shared" si="9"/>
        <v>1276.5246976583062</v>
      </c>
      <c r="W40" s="50">
        <f t="shared" ref="W40:W44" ca="1" si="53">IF(ISNUMBER(T40),V40+dZ,"")</f>
        <v>1276.8937086428507</v>
      </c>
      <c r="X40" s="50">
        <f t="shared" ca="1" si="30"/>
        <v>1053644.6027192902</v>
      </c>
      <c r="Y40" s="50">
        <f t="shared" ca="1" si="31"/>
        <v>467858.83220914</v>
      </c>
      <c r="Z40" s="50">
        <f t="shared" ca="1" si="32"/>
        <v>1053644.4344182261</v>
      </c>
      <c r="AA40" s="50">
        <f t="shared" ca="1" si="33"/>
        <v>467858.89064945094</v>
      </c>
      <c r="AB40" s="50">
        <f t="shared" ca="1" si="34"/>
        <v>0.17815868798574475</v>
      </c>
      <c r="AC40" s="50">
        <f t="shared" ca="1" si="35"/>
        <v>78.338479713002201</v>
      </c>
      <c r="AD40" s="50">
        <f t="shared" ca="1" si="36"/>
        <v>0.48402072342423708</v>
      </c>
      <c r="AE40" s="47">
        <f t="shared" ca="1" si="37"/>
        <v>257.02</v>
      </c>
      <c r="AF40" s="47">
        <f t="shared" ca="1" si="38"/>
        <v>1.59</v>
      </c>
      <c r="AH40" s="47">
        <v>257.02</v>
      </c>
      <c r="AI40" s="47">
        <f t="shared" ca="1" si="26"/>
        <v>1.59</v>
      </c>
      <c r="AJ40" s="47" t="str">
        <f t="shared" ca="1" si="39"/>
        <v>257.02,1.59</v>
      </c>
    </row>
    <row r="41" spans="1:36" x14ac:dyDescent="0.25">
      <c r="A41" s="47">
        <v>21</v>
      </c>
      <c r="B41" s="51">
        <v>6.9789004629629625</v>
      </c>
      <c r="C41" s="51">
        <v>3.7655324074074077</v>
      </c>
      <c r="D41" s="47">
        <v>84.421999999999997</v>
      </c>
      <c r="E41" s="47">
        <v>2.6179999999999999</v>
      </c>
      <c r="F41" s="46"/>
      <c r="G41" s="44">
        <f t="shared" si="40"/>
        <v>90.372777777777785</v>
      </c>
      <c r="H41" s="44">
        <f t="shared" si="41"/>
        <v>1.5773025263953866</v>
      </c>
      <c r="I41" s="44">
        <f t="shared" si="42"/>
        <v>167.49361111111111</v>
      </c>
      <c r="J41" s="52">
        <f t="shared" si="43"/>
        <v>2.9233149899438469</v>
      </c>
      <c r="K41" s="52">
        <f t="shared" si="44"/>
        <v>84.420213187943332</v>
      </c>
      <c r="L41" s="49">
        <f t="shared" si="45"/>
        <v>-0.54926250754846706</v>
      </c>
      <c r="M41" s="48">
        <v>39.9</v>
      </c>
      <c r="N41" s="50">
        <f t="shared" si="46"/>
        <v>207.39361111111111</v>
      </c>
      <c r="O41" s="50">
        <f t="shared" ca="1" si="22"/>
        <v>172.48720396544067</v>
      </c>
      <c r="P41" s="50">
        <f t="shared" ca="1" si="47"/>
        <v>379.88081507655181</v>
      </c>
      <c r="Q41" s="50">
        <f t="shared" ca="1" si="48"/>
        <v>6.6301709882455437</v>
      </c>
      <c r="R41" s="50">
        <f t="shared" ca="1" si="49"/>
        <v>28.708333204131744</v>
      </c>
      <c r="S41" s="50">
        <f t="shared" ca="1" si="50"/>
        <v>79.388941291204716</v>
      </c>
      <c r="T41" s="48">
        <f t="shared" ca="1" si="51"/>
        <v>1053645.7273332041</v>
      </c>
      <c r="U41" s="48">
        <f t="shared" ca="1" si="52"/>
        <v>467859.16694129119</v>
      </c>
      <c r="V41" s="50">
        <f t="shared" si="9"/>
        <v>1276.7617374924516</v>
      </c>
      <c r="W41" s="50">
        <f t="shared" ca="1" si="53"/>
        <v>1277.1307484769961</v>
      </c>
      <c r="X41" s="50">
        <f t="shared" ca="1" si="30"/>
        <v>1053645.7273332041</v>
      </c>
      <c r="Y41" s="50">
        <f t="shared" ca="1" si="31"/>
        <v>467859.16694129119</v>
      </c>
      <c r="Z41" s="50">
        <f t="shared" ca="1" si="32"/>
        <v>1053644.6591511809</v>
      </c>
      <c r="AA41" s="50">
        <f t="shared" ca="1" si="33"/>
        <v>467859.53785332153</v>
      </c>
      <c r="AB41" s="50">
        <f t="shared" ca="1" si="34"/>
        <v>1.1307469075916141</v>
      </c>
      <c r="AC41" s="50">
        <f t="shared" ca="1" si="35"/>
        <v>79.023591201046528</v>
      </c>
      <c r="AD41" s="50">
        <f t="shared" ca="1" si="36"/>
        <v>0.7210605575696718</v>
      </c>
      <c r="AE41" s="47">
        <f t="shared" ca="1" si="37"/>
        <v>259.26</v>
      </c>
      <c r="AF41" s="47">
        <f t="shared" ca="1" si="38"/>
        <v>2.37</v>
      </c>
      <c r="AH41" s="47">
        <v>259.26</v>
      </c>
      <c r="AI41" s="47">
        <f t="shared" ca="1" si="26"/>
        <v>2.37</v>
      </c>
      <c r="AJ41" s="47" t="str">
        <f t="shared" ca="1" si="39"/>
        <v>259.26,2.37</v>
      </c>
    </row>
    <row r="42" spans="1:36" x14ac:dyDescent="0.25">
      <c r="A42" s="47">
        <v>22</v>
      </c>
      <c r="B42" s="51">
        <v>6.9801736111111117</v>
      </c>
      <c r="C42" s="51">
        <v>3.745810185185185</v>
      </c>
      <c r="D42" s="47">
        <v>84.966999999999999</v>
      </c>
      <c r="E42" s="47">
        <v>2.6179999999999999</v>
      </c>
      <c r="F42" s="46"/>
      <c r="G42" s="44">
        <f t="shared" si="40"/>
        <v>89.899444444444441</v>
      </c>
      <c r="H42" s="44">
        <f t="shared" si="41"/>
        <v>1.5690413012692801</v>
      </c>
      <c r="I42" s="44">
        <f t="shared" si="42"/>
        <v>167.52416666666667</v>
      </c>
      <c r="J42" s="52">
        <f t="shared" si="43"/>
        <v>2.9238482849930674</v>
      </c>
      <c r="K42" s="52">
        <f t="shared" si="44"/>
        <v>84.966869145985171</v>
      </c>
      <c r="L42" s="49">
        <f t="shared" si="45"/>
        <v>0.14911917728433907</v>
      </c>
      <c r="M42" s="48">
        <v>40.9</v>
      </c>
      <c r="N42" s="50">
        <f t="shared" si="46"/>
        <v>208.42416666666668</v>
      </c>
      <c r="O42" s="50">
        <f t="shared" ca="1" si="22"/>
        <v>172.48720396544067</v>
      </c>
      <c r="P42" s="50">
        <f t="shared" ca="1" si="47"/>
        <v>380.91137063210738</v>
      </c>
      <c r="Q42" s="50">
        <f t="shared" ca="1" si="48"/>
        <v>6.6481575758147082</v>
      </c>
      <c r="R42" s="50">
        <f t="shared" ca="1" si="49"/>
        <v>30.326662957365659</v>
      </c>
      <c r="S42" s="50">
        <f t="shared" ca="1" si="50"/>
        <v>79.370412411309246</v>
      </c>
      <c r="T42" s="48">
        <f t="shared" ca="1" si="51"/>
        <v>1053647.3456629575</v>
      </c>
      <c r="U42" s="48">
        <f t="shared" ca="1" si="52"/>
        <v>467859.14841241128</v>
      </c>
      <c r="V42" s="50">
        <f t="shared" si="9"/>
        <v>1277.4601191772845</v>
      </c>
      <c r="W42" s="50">
        <f t="shared" ca="1" si="53"/>
        <v>1277.829130161829</v>
      </c>
      <c r="X42" s="50">
        <f t="shared" ca="1" si="30"/>
        <v>1053647.3456629575</v>
      </c>
      <c r="Y42" s="50">
        <f t="shared" ca="1" si="31"/>
        <v>467859.14841241128</v>
      </c>
      <c r="Z42" s="50">
        <f t="shared" ca="1" si="32"/>
        <v>1053644.8275413411</v>
      </c>
      <c r="AA42" s="50">
        <f t="shared" ca="1" si="33"/>
        <v>467860.02279672306</v>
      </c>
      <c r="AB42" s="50">
        <f t="shared" ca="1" si="34"/>
        <v>2.6656114495409238</v>
      </c>
      <c r="AC42" s="50">
        <f t="shared" ca="1" si="35"/>
        <v>79.536938402014371</v>
      </c>
      <c r="AD42" s="50">
        <f t="shared" ca="1" si="36"/>
        <v>1.4194422424025106</v>
      </c>
      <c r="AE42" s="47">
        <f t="shared" ca="1" si="37"/>
        <v>260.95</v>
      </c>
      <c r="AF42" s="47">
        <f t="shared" ca="1" si="38"/>
        <v>4.66</v>
      </c>
      <c r="AH42" s="47">
        <v>260.95</v>
      </c>
      <c r="AI42" s="47">
        <f t="shared" ca="1" si="26"/>
        <v>4.66</v>
      </c>
      <c r="AJ42" s="47" t="str">
        <f t="shared" ca="1" si="39"/>
        <v>260.95,4.66</v>
      </c>
    </row>
    <row r="43" spans="1:36" x14ac:dyDescent="0.25">
      <c r="A43" s="47">
        <v>23</v>
      </c>
      <c r="B43" s="51">
        <v>14.9996875</v>
      </c>
      <c r="C43" s="51">
        <v>3.6246875000000003</v>
      </c>
      <c r="D43" s="47">
        <v>21.068999999999999</v>
      </c>
      <c r="E43" s="47">
        <v>2.6179999999999999</v>
      </c>
      <c r="F43" s="52" t="s">
        <v>71</v>
      </c>
      <c r="G43" s="44">
        <f t="shared" si="40"/>
        <v>86.992500000000007</v>
      </c>
      <c r="H43" s="44">
        <f t="shared" si="41"/>
        <v>1.5183055495411673</v>
      </c>
      <c r="I43" s="44">
        <f t="shared" si="42"/>
        <v>359.99250000000001</v>
      </c>
      <c r="J43" s="52">
        <f t="shared" si="43"/>
        <v>6.2830544074856869</v>
      </c>
      <c r="K43" s="52">
        <f t="shared" si="44"/>
        <v>21.039981148809915</v>
      </c>
      <c r="L43" s="49">
        <f t="shared" si="45"/>
        <v>1.1054203986372884</v>
      </c>
      <c r="M43" s="48">
        <v>41.9</v>
      </c>
      <c r="N43" s="50">
        <f t="shared" si="46"/>
        <v>401.89249999999998</v>
      </c>
      <c r="O43" s="50">
        <f t="shared" ca="1" si="22"/>
        <v>172.48720396544067</v>
      </c>
      <c r="P43" s="50">
        <f t="shared" ca="1" si="47"/>
        <v>574.37970396544063</v>
      </c>
      <c r="Q43" s="50">
        <f t="shared" ca="1" si="48"/>
        <v>10.024816990827269</v>
      </c>
      <c r="R43" s="50">
        <f t="shared" ca="1" si="49"/>
        <v>-11.880744745742057</v>
      </c>
      <c r="S43" s="50">
        <f t="shared" ca="1" si="50"/>
        <v>-17.364582086212128</v>
      </c>
      <c r="T43" s="48">
        <f t="shared" ca="1" si="51"/>
        <v>1053605.1382552544</v>
      </c>
      <c r="U43" s="48">
        <f t="shared" ca="1" si="52"/>
        <v>467762.41341791378</v>
      </c>
      <c r="V43" s="50">
        <f t="shared" si="9"/>
        <v>1278.4164203986375</v>
      </c>
      <c r="W43" s="50">
        <f t="shared" ca="1" si="53"/>
        <v>1278.785431383182</v>
      </c>
      <c r="X43" s="50" t="str">
        <f t="shared" si="30"/>
        <v/>
      </c>
      <c r="Y43" s="50" t="str">
        <f t="shared" si="31"/>
        <v/>
      </c>
      <c r="Z43" s="50" t="str">
        <f t="shared" si="32"/>
        <v/>
      </c>
      <c r="AA43" s="50" t="str">
        <f t="shared" si="33"/>
        <v/>
      </c>
      <c r="AB43" s="50" t="str">
        <f t="shared" si="34"/>
        <v/>
      </c>
      <c r="AC43" s="50" t="str">
        <f t="shared" ca="1" si="35"/>
        <v/>
      </c>
      <c r="AD43" s="50" t="str">
        <f t="shared" si="36"/>
        <v/>
      </c>
      <c r="AE43" s="47" t="e">
        <f t="shared" ca="1" si="37"/>
        <v>#VALUE!</v>
      </c>
      <c r="AF43" s="47" t="e">
        <f t="shared" si="38"/>
        <v>#VALUE!</v>
      </c>
    </row>
    <row r="44" spans="1:36" x14ac:dyDescent="0.25">
      <c r="A44" s="47">
        <v>24</v>
      </c>
      <c r="B44" s="51">
        <v>2.5990509259259258</v>
      </c>
      <c r="C44" s="51">
        <v>3.6429282407407406</v>
      </c>
      <c r="D44" s="47">
        <v>25.225000000000001</v>
      </c>
      <c r="E44" s="47">
        <v>2.6179999999999999</v>
      </c>
      <c r="F44" s="52" t="s">
        <v>72</v>
      </c>
      <c r="G44" s="44">
        <f t="shared" si="40"/>
        <v>87.430277777777775</v>
      </c>
      <c r="H44" s="44">
        <f t="shared" si="41"/>
        <v>1.5259462131554533</v>
      </c>
      <c r="I44" s="44">
        <f t="shared" si="42"/>
        <v>62.377222222222215</v>
      </c>
      <c r="J44" s="52">
        <f t="shared" si="43"/>
        <v>1.0886879060259518</v>
      </c>
      <c r="K44" s="52">
        <f t="shared" si="44"/>
        <v>25.199633796410279</v>
      </c>
      <c r="L44" s="49">
        <f t="shared" si="45"/>
        <v>1.1309648654211004</v>
      </c>
      <c r="M44" s="48">
        <v>42.9</v>
      </c>
      <c r="N44" s="50">
        <f t="shared" si="46"/>
        <v>105.27722222222221</v>
      </c>
      <c r="O44" s="50">
        <f t="shared" ca="1" si="22"/>
        <v>172.48720396544067</v>
      </c>
      <c r="P44" s="50">
        <f t="shared" ca="1" si="47"/>
        <v>277.76442618766288</v>
      </c>
      <c r="Q44" s="50">
        <f t="shared" ca="1" si="48"/>
        <v>4.8479037818874779</v>
      </c>
      <c r="R44" s="50">
        <f t="shared" ca="1" si="49"/>
        <v>-24.968601351533955</v>
      </c>
      <c r="S44" s="50">
        <f t="shared" ca="1" si="50"/>
        <v>3.4044808739894248</v>
      </c>
      <c r="T44" s="48">
        <f t="shared" ca="1" si="51"/>
        <v>1053592.0503986485</v>
      </c>
      <c r="U44" s="48">
        <f t="shared" ca="1" si="52"/>
        <v>467783.18248087401</v>
      </c>
      <c r="V44" s="50">
        <f t="shared" si="9"/>
        <v>1278.4419648654211</v>
      </c>
      <c r="W44" s="50">
        <f t="shared" ca="1" si="53"/>
        <v>1278.8109758499656</v>
      </c>
      <c r="X44" s="50" t="str">
        <f t="shared" si="30"/>
        <v/>
      </c>
      <c r="Y44" s="50" t="str">
        <f t="shared" si="31"/>
        <v/>
      </c>
      <c r="Z44" s="50" t="str">
        <f t="shared" si="32"/>
        <v/>
      </c>
      <c r="AA44" s="50" t="str">
        <f t="shared" si="33"/>
        <v/>
      </c>
      <c r="AB44" s="50" t="str">
        <f t="shared" si="34"/>
        <v/>
      </c>
      <c r="AC44" s="50" t="str">
        <f t="shared" ca="1" si="35"/>
        <v/>
      </c>
      <c r="AD44" s="50" t="str">
        <f t="shared" si="36"/>
        <v/>
      </c>
      <c r="AE44" s="47" t="e">
        <f t="shared" ca="1" si="37"/>
        <v>#VALUE!</v>
      </c>
      <c r="AF44" s="47" t="e">
        <f t="shared" si="38"/>
        <v>#VALUE!</v>
      </c>
    </row>
    <row r="45" spans="1:36" x14ac:dyDescent="0.25">
      <c r="A45" s="40"/>
      <c r="E45" s="17"/>
      <c r="G45" s="44"/>
      <c r="H45" s="44"/>
      <c r="I45" s="44"/>
      <c r="J45" s="40"/>
      <c r="K45" s="40"/>
      <c r="L45" s="16"/>
      <c r="M45" s="14"/>
      <c r="T45" s="14"/>
      <c r="U45" s="14"/>
      <c r="AB45" s="17"/>
      <c r="AC45" s="17"/>
      <c r="AD45" s="17"/>
    </row>
    <row r="46" spans="1:36" x14ac:dyDescent="0.25">
      <c r="A46" s="40"/>
      <c r="E46" s="17"/>
      <c r="G46" s="44"/>
      <c r="H46" s="44"/>
      <c r="I46" s="44"/>
      <c r="J46" s="40"/>
      <c r="K46" s="40"/>
      <c r="L46" s="16"/>
      <c r="M46" s="14"/>
      <c r="T46" s="14"/>
      <c r="U46" s="14"/>
      <c r="AB46" s="17"/>
      <c r="AC46" s="17"/>
      <c r="AD46" s="17"/>
    </row>
    <row r="47" spans="1:36" x14ac:dyDescent="0.25">
      <c r="A47" s="40"/>
      <c r="E47" s="17"/>
      <c r="G47" s="44"/>
      <c r="H47" s="44"/>
      <c r="I47" s="44"/>
      <c r="J47" s="40"/>
      <c r="K47" s="40"/>
      <c r="L47" s="16"/>
      <c r="M47" s="14"/>
      <c r="T47" s="14"/>
      <c r="U47" s="14"/>
      <c r="AB47" s="17"/>
      <c r="AC47" s="17"/>
      <c r="AD47" s="17"/>
    </row>
    <row r="48" spans="1:36" x14ac:dyDescent="0.25">
      <c r="A48" s="40"/>
      <c r="E48" s="17"/>
      <c r="G48" s="44"/>
      <c r="H48" s="44"/>
      <c r="I48" s="44"/>
      <c r="J48" s="40"/>
      <c r="K48" s="40"/>
      <c r="L48" s="16"/>
      <c r="M48" s="14"/>
      <c r="T48" s="14"/>
      <c r="U48" s="14"/>
      <c r="AB48" s="17"/>
      <c r="AC48" s="17"/>
      <c r="AD48" s="17"/>
    </row>
    <row r="49" spans="1:31" x14ac:dyDescent="0.25">
      <c r="A49" s="40"/>
      <c r="E49" s="17"/>
      <c r="G49" s="44"/>
      <c r="H49" s="44"/>
      <c r="I49" s="44"/>
      <c r="J49" s="40"/>
      <c r="K49" s="40"/>
      <c r="L49" s="16"/>
      <c r="M49" s="14"/>
      <c r="T49" s="14"/>
      <c r="U49" s="14"/>
      <c r="AB49" s="17"/>
      <c r="AC49" s="17"/>
      <c r="AD49" s="17"/>
    </row>
    <row r="50" spans="1:31" x14ac:dyDescent="0.25">
      <c r="A50" s="40"/>
      <c r="E50" s="17"/>
      <c r="F50" s="40"/>
      <c r="G50" s="44"/>
      <c r="H50" s="44"/>
      <c r="I50" s="44"/>
      <c r="J50" s="40"/>
      <c r="K50" s="40"/>
      <c r="L50" s="16"/>
      <c r="M50" s="14"/>
      <c r="T50" s="14"/>
      <c r="U50" s="14"/>
      <c r="AB50" s="17"/>
      <c r="AC50" s="17"/>
      <c r="AD50" s="17"/>
    </row>
    <row r="51" spans="1:31" x14ac:dyDescent="0.25">
      <c r="A51" s="40"/>
      <c r="E51" s="17"/>
      <c r="F51" s="40"/>
      <c r="G51" s="44"/>
      <c r="H51" s="44"/>
      <c r="I51" s="44"/>
      <c r="J51" s="40"/>
      <c r="K51" s="40"/>
      <c r="L51" s="16"/>
      <c r="M51" s="14"/>
      <c r="T51" s="14"/>
      <c r="U51" s="14"/>
      <c r="AB51" s="17"/>
      <c r="AC51" s="17"/>
      <c r="AD51" s="17"/>
    </row>
    <row r="52" spans="1:31" x14ac:dyDescent="0.25">
      <c r="L52" s="17"/>
      <c r="AE52" s="17"/>
    </row>
    <row r="53" spans="1:31" x14ac:dyDescent="0.25">
      <c r="AE53" s="17"/>
    </row>
    <row r="54" spans="1:31" x14ac:dyDescent="0.25">
      <c r="A54" s="12"/>
      <c r="B54" s="12"/>
      <c r="C54" s="3"/>
      <c r="D54"/>
      <c r="E54"/>
      <c r="F54"/>
      <c r="G54" s="10"/>
      <c r="H54" s="10"/>
      <c r="I54"/>
      <c r="J54"/>
      <c r="K54"/>
      <c r="L54"/>
      <c r="M54"/>
      <c r="V54" s="2"/>
      <c r="W54" s="2"/>
      <c r="X54" s="2"/>
      <c r="Y54" s="2"/>
      <c r="Z54" s="2"/>
    </row>
    <row r="55" spans="1:31" x14ac:dyDescent="0.25">
      <c r="A55" s="18"/>
      <c r="C55" s="2"/>
      <c r="D55" s="43"/>
      <c r="E55" s="43"/>
      <c r="F55" s="43"/>
      <c r="G55" s="43"/>
      <c r="H55" s="43"/>
      <c r="I55"/>
      <c r="J55"/>
      <c r="K55"/>
      <c r="L55"/>
      <c r="M55"/>
      <c r="V55" s="2"/>
      <c r="W55" s="14"/>
      <c r="X55" s="2"/>
      <c r="Y55" s="2"/>
      <c r="Z55" s="2"/>
    </row>
    <row r="56" spans="1:31" x14ac:dyDescent="0.25">
      <c r="A56" s="41"/>
      <c r="C56" s="2"/>
      <c r="D56" s="43"/>
      <c r="E56" s="43"/>
      <c r="F56" s="43"/>
      <c r="G56" s="43"/>
      <c r="H56" s="43"/>
      <c r="I56" s="10"/>
      <c r="J56" s="10"/>
      <c r="K56" s="10"/>
      <c r="L56" s="10"/>
      <c r="M56" s="10"/>
      <c r="V56" s="2"/>
      <c r="W56" s="14"/>
      <c r="X56" s="2"/>
      <c r="Y56" s="2"/>
      <c r="Z56" s="2"/>
    </row>
    <row r="57" spans="1:31" x14ac:dyDescent="0.25">
      <c r="A57" s="41"/>
      <c r="C57" s="2"/>
      <c r="D57" s="43"/>
      <c r="E57" s="43"/>
      <c r="F57" s="43"/>
      <c r="G57" s="43"/>
      <c r="H57" s="43"/>
      <c r="I57" s="10"/>
      <c r="J57" s="10"/>
      <c r="K57" s="10"/>
      <c r="L57" s="10"/>
      <c r="M57" s="10"/>
      <c r="V57" s="2"/>
      <c r="W57" s="14"/>
      <c r="X57" s="2"/>
      <c r="Y57" s="2"/>
      <c r="Z57" s="2"/>
    </row>
    <row r="58" spans="1:31" x14ac:dyDescent="0.25">
      <c r="A58" s="41"/>
      <c r="C58" s="2"/>
      <c r="D58" s="43"/>
      <c r="E58" s="43"/>
      <c r="F58" s="43"/>
      <c r="G58" s="43"/>
      <c r="H58" s="43"/>
      <c r="I58" s="10"/>
      <c r="J58" s="10"/>
      <c r="K58" s="10"/>
      <c r="L58" s="10"/>
      <c r="M58" s="10"/>
      <c r="V58" s="2"/>
      <c r="W58" s="14"/>
      <c r="X58" s="2"/>
      <c r="Y58" s="2"/>
      <c r="Z58" s="2"/>
    </row>
    <row r="59" spans="1:31" x14ac:dyDescent="0.25">
      <c r="A59" s="41"/>
      <c r="C59" s="2"/>
      <c r="D59" s="43"/>
      <c r="E59" s="43"/>
      <c r="F59" s="43"/>
      <c r="G59" s="43"/>
      <c r="H59" s="43"/>
      <c r="I59" s="10"/>
      <c r="J59" s="10"/>
      <c r="K59" s="10"/>
      <c r="L59" s="10"/>
      <c r="M59" s="10"/>
      <c r="V59" s="2"/>
      <c r="W59" s="14"/>
      <c r="X59" s="2"/>
      <c r="Y59" s="2"/>
      <c r="Z59" s="2"/>
    </row>
    <row r="60" spans="1:31" x14ac:dyDescent="0.25">
      <c r="A60" s="41"/>
      <c r="C60" s="2"/>
      <c r="D60" s="43"/>
      <c r="E60" s="43"/>
      <c r="F60" s="43"/>
      <c r="G60" s="43"/>
      <c r="H60" s="43"/>
      <c r="I60" s="10"/>
      <c r="J60" s="10"/>
      <c r="K60" s="10"/>
      <c r="L60" s="10"/>
      <c r="M60" s="10"/>
      <c r="V60" s="2"/>
      <c r="W60" s="14"/>
      <c r="X60" s="2"/>
      <c r="Y60" s="2"/>
      <c r="Z60" s="2"/>
    </row>
    <row r="61" spans="1:31" x14ac:dyDescent="0.25">
      <c r="A61" s="41"/>
      <c r="C61" s="2"/>
      <c r="D61" s="43"/>
      <c r="E61" s="43"/>
      <c r="F61" s="43"/>
      <c r="G61" s="43"/>
      <c r="H61" s="43"/>
      <c r="I61" s="10"/>
      <c r="J61" s="10"/>
      <c r="K61" s="10"/>
      <c r="L61" s="10"/>
      <c r="M61" s="10"/>
      <c r="V61" s="2"/>
      <c r="W61" s="14"/>
      <c r="X61" s="2"/>
      <c r="Y61" s="2"/>
      <c r="Z61" s="2"/>
    </row>
    <row r="62" spans="1:31" x14ac:dyDescent="0.25">
      <c r="A62" s="41"/>
      <c r="C62" s="2"/>
      <c r="D62" s="43"/>
      <c r="E62" s="43"/>
      <c r="F62" s="43"/>
      <c r="G62" s="43"/>
      <c r="H62" s="43"/>
      <c r="I62" s="10"/>
      <c r="J62" s="10"/>
      <c r="K62" s="10"/>
      <c r="L62" s="10"/>
      <c r="M62" s="10"/>
      <c r="V62" s="2"/>
      <c r="W62" s="14"/>
      <c r="X62" s="2"/>
      <c r="Y62" s="2"/>
      <c r="Z62" s="2"/>
    </row>
    <row r="63" spans="1:31" x14ac:dyDescent="0.25">
      <c r="A63" s="41"/>
      <c r="C63" s="2"/>
      <c r="D63" s="43"/>
      <c r="E63" s="43"/>
      <c r="F63" s="43"/>
      <c r="G63" s="43"/>
      <c r="H63" s="43"/>
      <c r="I63" s="10"/>
      <c r="J63" s="10"/>
      <c r="K63" s="10"/>
      <c r="L63" s="10"/>
      <c r="M63" s="10"/>
      <c r="V63" s="2"/>
      <c r="W63" s="14"/>
      <c r="X63" s="2"/>
      <c r="Y63" s="2"/>
      <c r="Z63" s="2"/>
    </row>
    <row r="64" spans="1:31" x14ac:dyDescent="0.25">
      <c r="A64" s="41"/>
      <c r="C64" s="2"/>
      <c r="D64" s="43"/>
      <c r="E64" s="43"/>
      <c r="F64" s="43"/>
      <c r="G64" s="43"/>
      <c r="H64" s="43"/>
      <c r="I64" s="10"/>
      <c r="J64" s="10"/>
      <c r="K64" s="10"/>
      <c r="L64" s="10"/>
      <c r="M64" s="10"/>
      <c r="V64" s="2"/>
      <c r="W64" s="14"/>
      <c r="X64" s="2"/>
      <c r="Y64" s="2"/>
      <c r="Z64" s="2"/>
    </row>
    <row r="65" spans="1:27" x14ac:dyDescent="0.25">
      <c r="A65" s="41"/>
      <c r="C65" s="2"/>
      <c r="D65" s="43"/>
      <c r="E65" s="43"/>
      <c r="F65" s="43"/>
      <c r="G65" s="43"/>
      <c r="H65" s="43"/>
      <c r="I65" s="10"/>
      <c r="J65" s="10"/>
      <c r="K65" s="10"/>
      <c r="L65" s="10"/>
      <c r="M65" s="10"/>
      <c r="V65" s="2"/>
      <c r="W65" s="14"/>
      <c r="X65" s="2"/>
      <c r="Y65" s="2"/>
      <c r="Z65" s="2"/>
    </row>
    <row r="66" spans="1:27" x14ac:dyDescent="0.25">
      <c r="A66" s="41"/>
      <c r="C66" s="2"/>
      <c r="D66" s="43"/>
      <c r="E66" s="43"/>
      <c r="F66" s="43"/>
      <c r="G66" s="43"/>
      <c r="H66" s="43"/>
      <c r="I66" s="10"/>
      <c r="J66" s="10"/>
      <c r="K66" s="10"/>
      <c r="L66" s="10"/>
      <c r="M66" s="10"/>
      <c r="V66" s="2"/>
      <c r="W66" s="14"/>
      <c r="X66" s="2"/>
      <c r="Y66" s="2"/>
      <c r="Z66" s="2"/>
    </row>
    <row r="67" spans="1:27" x14ac:dyDescent="0.25">
      <c r="A67" s="41"/>
      <c r="C67" s="2"/>
      <c r="D67" s="43"/>
      <c r="E67" s="43"/>
      <c r="F67" s="43"/>
      <c r="G67" s="43"/>
      <c r="H67" s="43"/>
      <c r="I67" s="10"/>
      <c r="J67" s="10"/>
      <c r="K67" s="10"/>
      <c r="L67" s="10"/>
      <c r="M67" s="10"/>
      <c r="V67" s="2"/>
      <c r="W67" s="14"/>
      <c r="X67" s="2"/>
      <c r="Y67" s="2"/>
      <c r="Z67" s="2"/>
    </row>
    <row r="68" spans="1:27" x14ac:dyDescent="0.25">
      <c r="A68" s="41"/>
      <c r="C68" s="2"/>
      <c r="D68" s="43"/>
      <c r="E68" s="43"/>
      <c r="F68" s="43"/>
      <c r="G68" s="43"/>
      <c r="H68" s="43"/>
      <c r="I68" s="10"/>
      <c r="J68" s="10"/>
      <c r="K68" s="10"/>
      <c r="L68" s="10"/>
      <c r="M68" s="10"/>
      <c r="V68" s="2"/>
      <c r="W68" s="14"/>
      <c r="X68" s="2"/>
      <c r="Y68" s="2"/>
      <c r="Z68" s="2"/>
      <c r="AA68" s="2"/>
    </row>
    <row r="69" spans="1:27" x14ac:dyDescent="0.25">
      <c r="A69" s="41"/>
      <c r="C69" s="2"/>
      <c r="D69" s="43"/>
      <c r="E69" s="43"/>
      <c r="F69" s="43"/>
      <c r="G69" s="43"/>
      <c r="H69" s="43"/>
      <c r="I69" s="10"/>
      <c r="J69" s="10"/>
      <c r="K69" s="10"/>
      <c r="L69" s="10"/>
      <c r="M69" s="10"/>
      <c r="V69" s="2"/>
      <c r="W69" s="14"/>
      <c r="X69" s="2"/>
      <c r="Y69" s="2"/>
      <c r="Z69" s="2"/>
      <c r="AA69" s="2"/>
    </row>
    <row r="70" spans="1:27" x14ac:dyDescent="0.25">
      <c r="A70" s="41"/>
      <c r="C70" s="2"/>
      <c r="D70" s="43"/>
      <c r="E70" s="43"/>
      <c r="F70" s="43"/>
      <c r="G70" s="43"/>
      <c r="H70" s="43"/>
      <c r="I70" s="10"/>
      <c r="J70" s="10"/>
      <c r="K70" s="10"/>
      <c r="L70" s="10"/>
      <c r="M70" s="10"/>
      <c r="V70" s="2"/>
      <c r="W70" s="14"/>
      <c r="X70" s="2"/>
      <c r="Y70" s="2"/>
      <c r="Z70" s="2"/>
      <c r="AA70" s="2"/>
    </row>
    <row r="71" spans="1:27" x14ac:dyDescent="0.25">
      <c r="A71" s="41"/>
      <c r="C71" s="2"/>
      <c r="D71" s="43"/>
      <c r="E71" s="43"/>
      <c r="F71" s="43"/>
      <c r="G71" s="43"/>
      <c r="H71" s="43"/>
      <c r="I71" s="10"/>
      <c r="J71" s="10"/>
      <c r="K71" s="10"/>
      <c r="L71" s="10"/>
      <c r="M71" s="10"/>
      <c r="W71" s="2"/>
      <c r="X71" s="14"/>
      <c r="Y71" s="2"/>
      <c r="Z71" s="2"/>
      <c r="AA71" s="2"/>
    </row>
    <row r="72" spans="1:27" x14ac:dyDescent="0.25">
      <c r="A72" s="41"/>
      <c r="C72" s="2"/>
      <c r="D72" s="43"/>
      <c r="E72" s="43"/>
      <c r="F72" s="43"/>
      <c r="G72" s="43"/>
      <c r="H72" s="43"/>
      <c r="I72" s="10"/>
      <c r="J72" s="10"/>
      <c r="K72" s="10"/>
      <c r="L72" s="10"/>
      <c r="M72" s="10"/>
      <c r="W72" s="2"/>
      <c r="X72" s="14"/>
      <c r="Y72" s="2"/>
      <c r="Z72" s="2"/>
      <c r="AA72" s="2"/>
    </row>
    <row r="73" spans="1:27" x14ac:dyDescent="0.25">
      <c r="A73" s="41"/>
      <c r="C73" s="2"/>
      <c r="D73" s="43"/>
      <c r="E73" s="43"/>
      <c r="F73" s="43"/>
      <c r="G73" s="43"/>
      <c r="H73" s="43"/>
      <c r="I73" s="10"/>
      <c r="J73" s="10"/>
      <c r="K73" s="10"/>
      <c r="L73" s="10"/>
      <c r="M73" s="10"/>
      <c r="W73" s="2"/>
      <c r="X73" s="14"/>
      <c r="Y73" s="2"/>
      <c r="Z73" s="2"/>
      <c r="AA73" s="2"/>
    </row>
    <row r="74" spans="1:27" x14ac:dyDescent="0.25">
      <c r="A74" s="41"/>
      <c r="C74" s="2"/>
      <c r="D74" s="43"/>
      <c r="E74" s="43"/>
      <c r="F74" s="43"/>
      <c r="G74" s="43"/>
      <c r="H74" s="43"/>
      <c r="I74" s="10"/>
      <c r="J74" s="10"/>
      <c r="K74" s="10"/>
      <c r="L74" s="10"/>
      <c r="M74" s="10"/>
      <c r="X74" s="14"/>
      <c r="Y74" s="2"/>
      <c r="Z74" s="2"/>
      <c r="AA74" s="2"/>
    </row>
    <row r="75" spans="1:27" x14ac:dyDescent="0.25">
      <c r="A75" s="18"/>
      <c r="C75" s="2"/>
      <c r="D75" s="43"/>
      <c r="E75" s="43"/>
      <c r="F75" s="43"/>
      <c r="G75" s="43"/>
      <c r="H75" s="43"/>
      <c r="I75" s="10"/>
      <c r="J75" s="10"/>
      <c r="K75" s="10"/>
      <c r="L75" s="10"/>
      <c r="M75" s="10"/>
      <c r="X75" s="14"/>
      <c r="Y75" s="2"/>
      <c r="Z75" s="2"/>
      <c r="AA75" s="2"/>
    </row>
    <row r="76" spans="1:27" x14ac:dyDescent="0.25">
      <c r="A76" s="18"/>
      <c r="C76" s="2"/>
      <c r="D76" s="43"/>
      <c r="E76" s="43"/>
      <c r="F76" s="43"/>
      <c r="G76" s="43"/>
      <c r="H76" s="43"/>
      <c r="I76" s="10"/>
      <c r="J76" s="10"/>
      <c r="K76" s="10"/>
      <c r="L76" s="10"/>
      <c r="M76" s="10"/>
      <c r="X76" s="14"/>
      <c r="Y76" s="2"/>
      <c r="Z76" s="2"/>
      <c r="AA76" s="2"/>
    </row>
    <row r="77" spans="1:27" x14ac:dyDescent="0.25">
      <c r="A77" s="18"/>
      <c r="C77" s="2"/>
      <c r="D77" s="43"/>
      <c r="E77" s="43"/>
      <c r="F77" s="43"/>
      <c r="G77" s="43"/>
      <c r="H77" s="43"/>
      <c r="I77" s="10"/>
      <c r="J77" s="10"/>
      <c r="K77" s="10"/>
      <c r="L77" s="10"/>
      <c r="M77" s="10"/>
      <c r="X77" s="14"/>
      <c r="Y77" s="2"/>
      <c r="Z77" s="2"/>
      <c r="AA77" s="2"/>
    </row>
    <row r="78" spans="1:27" x14ac:dyDescent="0.25">
      <c r="A78" s="18"/>
      <c r="C78" s="2"/>
      <c r="D78" s="43"/>
      <c r="E78" s="43"/>
      <c r="F78" s="43"/>
      <c r="G78" s="43"/>
      <c r="H78" s="43"/>
      <c r="I78" s="10"/>
      <c r="J78" s="10"/>
      <c r="K78" s="10"/>
      <c r="L78" s="10"/>
      <c r="M78" s="10"/>
      <c r="X78" s="14"/>
      <c r="Y78" s="2"/>
      <c r="Z78" s="2"/>
      <c r="AA78" s="2"/>
    </row>
    <row r="79" spans="1:27" x14ac:dyDescent="0.25">
      <c r="A79" s="18"/>
      <c r="C79" s="2"/>
      <c r="D79" s="43"/>
      <c r="E79" s="43"/>
      <c r="F79" s="43"/>
      <c r="G79" s="43"/>
      <c r="H79" s="43"/>
      <c r="I79" s="10"/>
      <c r="J79" s="10"/>
      <c r="K79" s="10"/>
      <c r="L79" s="10"/>
      <c r="M79" s="10"/>
      <c r="X79" s="14"/>
      <c r="Y79" s="2"/>
      <c r="Z79" s="2"/>
      <c r="AA79" s="2"/>
    </row>
    <row r="80" spans="1:27" x14ac:dyDescent="0.25">
      <c r="A80" s="18"/>
      <c r="C80" s="2"/>
      <c r="D80" s="43"/>
      <c r="E80" s="43"/>
      <c r="F80" s="43"/>
      <c r="G80" s="43"/>
      <c r="H80" s="43"/>
      <c r="I80" s="10"/>
      <c r="J80" s="10"/>
      <c r="K80" s="10"/>
      <c r="L80" s="10"/>
      <c r="M80" s="10"/>
      <c r="X80" s="14"/>
      <c r="Y80" s="2"/>
      <c r="Z80" s="2"/>
      <c r="AA80" s="2"/>
    </row>
    <row r="81" spans="1:27" x14ac:dyDescent="0.25">
      <c r="A81" s="18"/>
      <c r="C81" s="2"/>
      <c r="D81" s="43"/>
      <c r="E81" s="43"/>
      <c r="F81" s="43"/>
      <c r="G81" s="43"/>
      <c r="H81" s="43"/>
      <c r="I81" s="10"/>
      <c r="J81" s="10"/>
      <c r="K81" s="10"/>
      <c r="L81" s="10"/>
      <c r="M81" s="10"/>
      <c r="X81" s="14"/>
      <c r="Y81" s="2"/>
      <c r="Z81" s="2"/>
      <c r="AA81" s="2"/>
    </row>
    <row r="82" spans="1:27" x14ac:dyDescent="0.25">
      <c r="A82" s="18"/>
      <c r="C82" s="2"/>
      <c r="D82" s="43"/>
      <c r="E82" s="43"/>
      <c r="F82" s="43"/>
      <c r="G82" s="43"/>
      <c r="H82" s="43"/>
      <c r="I82" s="10"/>
      <c r="J82" s="10"/>
      <c r="K82" s="10"/>
      <c r="L82" s="10"/>
      <c r="M82" s="10"/>
      <c r="X82" s="14"/>
      <c r="Y82" s="2"/>
      <c r="Z82" s="2"/>
      <c r="AA82" s="2"/>
    </row>
    <row r="83" spans="1:27" x14ac:dyDescent="0.25">
      <c r="A83" s="18"/>
      <c r="C83" s="2"/>
      <c r="D83" s="43"/>
      <c r="E83" s="43"/>
      <c r="F83" s="43"/>
      <c r="G83" s="43"/>
      <c r="H83" s="43"/>
      <c r="I83" s="10"/>
      <c r="J83" s="10"/>
      <c r="K83" s="10"/>
      <c r="L83" s="10"/>
      <c r="M83" s="10"/>
      <c r="X83" s="14"/>
      <c r="Y83" s="2"/>
      <c r="Z83" s="2"/>
      <c r="AA83" s="2"/>
    </row>
    <row r="84" spans="1:27" x14ac:dyDescent="0.25">
      <c r="A84" s="18"/>
      <c r="C84" s="2"/>
      <c r="D84" s="43"/>
      <c r="E84" s="43"/>
      <c r="F84" s="43"/>
      <c r="G84" s="43"/>
      <c r="H84" s="43"/>
      <c r="I84" s="10"/>
      <c r="J84" s="10"/>
      <c r="K84" s="10"/>
      <c r="L84" s="10"/>
      <c r="M84" s="10"/>
      <c r="X84" s="14"/>
      <c r="Y84" s="2"/>
      <c r="Z84" s="2"/>
      <c r="AA84" s="2"/>
    </row>
    <row r="85" spans="1:27" x14ac:dyDescent="0.25">
      <c r="A85" s="18"/>
      <c r="C85" s="2"/>
      <c r="D85" s="43"/>
      <c r="E85" s="43"/>
      <c r="F85" s="43"/>
      <c r="G85" s="43"/>
      <c r="H85" s="43"/>
      <c r="I85" s="10"/>
      <c r="J85" s="10"/>
      <c r="K85" s="10"/>
      <c r="L85" s="10"/>
      <c r="M85" s="10"/>
      <c r="X85" s="14"/>
      <c r="Y85" s="2"/>
      <c r="Z85" s="2"/>
      <c r="AA85" s="2"/>
    </row>
  </sheetData>
  <sortState ref="AL23:AL42">
    <sortCondition ref="AL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4" bestFit="1" customWidth="1"/>
    <col min="4" max="4" width="11.5703125" style="34" customWidth="1"/>
    <col min="5" max="5" width="47.42578125" bestFit="1" customWidth="1"/>
    <col min="6" max="6" width="8.85546875" style="35"/>
  </cols>
  <sheetData>
    <row r="1" spans="1:8" x14ac:dyDescent="0.25">
      <c r="A1" t="s">
        <v>57</v>
      </c>
      <c r="B1" s="34" t="s">
        <v>7</v>
      </c>
      <c r="C1" s="34" t="s">
        <v>6</v>
      </c>
      <c r="D1" s="34" t="s">
        <v>58</v>
      </c>
      <c r="E1" t="s">
        <v>63</v>
      </c>
      <c r="F1" s="35" t="s">
        <v>59</v>
      </c>
      <c r="G1" s="34" t="s">
        <v>61</v>
      </c>
      <c r="H1" s="34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4">
        <f>IF(ISNUMBER(Calculations!N4),CONVERT(Calculations!N4,Units_In,Units_Out),"")</f>
        <v>3456748.75</v>
      </c>
      <c r="C2" s="34">
        <f>IF(ISNUMBER(Calculations!O4),CONVERT(Calculations!O4,Units_In,Units_Out),"")</f>
        <v>1534710.5577427822</v>
      </c>
      <c r="D2" s="34" t="s">
        <v>60</v>
      </c>
      <c r="E2" s="10" t="str">
        <f>CONCATENATE("0503 ",B2,"EUSft ",C2,"NUSft")</f>
        <v>0503 3456748.75EUSft 1534710.55774278NUSft</v>
      </c>
      <c r="F2" s="35">
        <v>98</v>
      </c>
      <c r="G2" s="10" t="str">
        <f>IF(F2=98,"Lime",IF(F2=94,"Yellow",""))</f>
        <v>Lime</v>
      </c>
      <c r="H2" s="10" t="str">
        <f>Calculations!$A$1</f>
        <v>CSS3</v>
      </c>
    </row>
    <row r="3" spans="1:8" s="10" customFormat="1" x14ac:dyDescent="0.25">
      <c r="A3" s="10" t="str">
        <f>IF(ISNUMBER(Calculations!M5),CONCATENATE("GPS",Calculations!M5),"")</f>
        <v>GPS1</v>
      </c>
      <c r="B3" s="34">
        <f>IF(ISNUMBER(Calculations!N5),CONVERT(Calculations!N5,Units_In,Units_Out),"")</f>
        <v>3456797.0472440943</v>
      </c>
      <c r="C3" s="34">
        <f>IF(ISNUMBER(Calculations!O5),CONVERT(Calculations!O5,Units_In,Units_Out),"")</f>
        <v>1534691.9783464568</v>
      </c>
      <c r="D3" s="34" t="s">
        <v>60</v>
      </c>
      <c r="E3" s="10" t="str">
        <f t="shared" ref="E3:E4" si="0">CONCATENATE("0503 ",B3,"EUSft ",C3,"NUSft")</f>
        <v>0503 3456797.04724409EUSft 1534691.97834646NUSft</v>
      </c>
      <c r="F3" s="35">
        <v>98</v>
      </c>
      <c r="G3" s="10" t="str">
        <f t="shared" ref="G3:G65" si="1">IF(F3=98,"Lime",IF(F3=94,"Yellow",""))</f>
        <v>Lime</v>
      </c>
      <c r="H3" s="10" t="str">
        <f>Calculations!$A$1</f>
        <v>CSS3</v>
      </c>
    </row>
    <row r="4" spans="1:8" s="10" customFormat="1" x14ac:dyDescent="0.25">
      <c r="A4" s="10" t="str">
        <f>IF(ISNUMBER(Calculations!M6),CONCATENATE("GPS",Calculations!M6),"")</f>
        <v>GPS2</v>
      </c>
      <c r="B4" s="34">
        <f>IF(ISNUMBER(Calculations!N6),CONVERT(Calculations!N6,Units_In,Units_Out),"")</f>
        <v>3456737.6870078747</v>
      </c>
      <c r="C4" s="34">
        <f>IF(ISNUMBER(Calculations!O6),CONVERT(Calculations!O6,Units_In,Units_Out),"")</f>
        <v>1534668.9304461943</v>
      </c>
      <c r="D4" s="34" t="s">
        <v>60</v>
      </c>
      <c r="E4" s="10" t="str">
        <f t="shared" si="0"/>
        <v>0503 3456737.68700787EUSft 1534668.93044619NUSft</v>
      </c>
      <c r="F4" s="35">
        <v>98</v>
      </c>
      <c r="G4" s="10" t="str">
        <f t="shared" si="1"/>
        <v>Lime</v>
      </c>
      <c r="H4" s="10" t="str">
        <f>Calculations!$A$1</f>
        <v>CSS3</v>
      </c>
    </row>
    <row r="5" spans="1:8" x14ac:dyDescent="0.25">
      <c r="A5">
        <f>IF(ISNUMBER(Calculations!A21),Calculations!A21,"")</f>
        <v>1</v>
      </c>
      <c r="B5" s="34">
        <f ca="1">IF(ISNUMBER(A5),CONVERT(Calculations!T21,Units_In,Units_Out),"")</f>
        <v>3456757.7755192108</v>
      </c>
      <c r="C5" s="34">
        <f ca="1">IF(ISNUMBER(A5),CONVERT(Calculations!U21,Units_In,Units_Out),"")</f>
        <v>1534642.1202299872</v>
      </c>
      <c r="D5" s="34" t="str">
        <f>IF(ISTEXT(Calculations!F21),Calculations!F21,"")</f>
        <v>ZERO/BS</v>
      </c>
      <c r="E5" t="str">
        <f ca="1">IF(ISNUMBER(A5),CONCATENATE("0503 ",B5,"EUSft ",C5,"NUSft"),"")</f>
        <v>0503 3456757.77551921EUSft 1534642.12022999NUSft</v>
      </c>
      <c r="F5" s="35">
        <f>IF(ISNUMBER(A5),94,"")</f>
        <v>94</v>
      </c>
      <c r="G5" s="10" t="str">
        <f t="shared" si="1"/>
        <v>Yellow</v>
      </c>
      <c r="H5" s="10" t="str">
        <f>IF(ISNUMBER(A5),Calculations!$A$1,"")</f>
        <v>CSS3</v>
      </c>
    </row>
    <row r="6" spans="1:8" x14ac:dyDescent="0.25">
      <c r="A6" s="10">
        <f>IF(ISNUMBER(Calculations!A22),Calculations!A22,"")</f>
        <v>2</v>
      </c>
      <c r="B6" s="34">
        <f ca="1">IF(ISNUMBER(A6),CONVERT(Calculations!T22,Units_In,Units_Out),"")</f>
        <v>3456681.1519047651</v>
      </c>
      <c r="C6" s="34">
        <f ca="1">IF(ISNUMBER(A6),CONVERT(Calculations!U22,Units_In,Units_Out),"")</f>
        <v>1534663.060233542</v>
      </c>
      <c r="D6" s="34" t="str">
        <f>IF(ISTEXT(Calculations!F22),Calculations!F22,"")</f>
        <v>BS</v>
      </c>
      <c r="E6" s="10" t="str">
        <f t="shared" ref="E6:E65" ca="1" si="2">IF(ISNUMBER(A6),CONCATENATE("0503 ",B6,"EUSft ",C6,"NUSft"),"")</f>
        <v>0503 3456681.15190477EUSft 1534663.06023354NUSft</v>
      </c>
      <c r="F6" s="35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CSS3</v>
      </c>
    </row>
    <row r="7" spans="1:8" x14ac:dyDescent="0.25">
      <c r="A7" s="10">
        <f>IF(ISNUMBER(Calculations!A23),Calculations!A23,"")</f>
        <v>3</v>
      </c>
      <c r="B7" s="34">
        <f ca="1">IF(ISNUMBER(A7),CONVERT(Calculations!T23,Units_In,Units_Out),"")</f>
        <v>3456754.7011953723</v>
      </c>
      <c r="C7" s="34">
        <f ca="1">IF(ISNUMBER(A7),CONVERT(Calculations!U23,Units_In,Units_Out),"")</f>
        <v>1534727.2098314541</v>
      </c>
      <c r="D7" s="34" t="str">
        <f>IF(ISTEXT(Calculations!F23),Calculations!F23,"")</f>
        <v/>
      </c>
      <c r="E7" s="10" t="str">
        <f t="shared" ca="1" si="2"/>
        <v>0503 3456754.70119537EUSft 1534727.20983145NUSft</v>
      </c>
      <c r="F7" s="35">
        <f t="shared" si="3"/>
        <v>94</v>
      </c>
      <c r="G7" s="10" t="str">
        <f t="shared" si="1"/>
        <v>Yellow</v>
      </c>
      <c r="H7" s="10" t="str">
        <f>IF(ISNUMBER(A7),Calculations!$A$1,"")</f>
        <v>CSS3</v>
      </c>
    </row>
    <row r="8" spans="1:8" x14ac:dyDescent="0.25">
      <c r="A8" s="10">
        <f>IF(ISNUMBER(Calculations!A24),Calculations!A24,"")</f>
        <v>4</v>
      </c>
      <c r="B8" s="34">
        <f ca="1">IF(ISNUMBER(A8),CONVERT(Calculations!T24,Units_In,Units_Out),"")</f>
        <v>3456755.2212412152</v>
      </c>
      <c r="C8" s="34">
        <f ca="1">IF(ISNUMBER(A8),CONVERT(Calculations!U24,Units_In,Units_Out),"")</f>
        <v>1534728.0941139709</v>
      </c>
      <c r="D8" s="34" t="str">
        <f>IF(ISTEXT(Calculations!F24),Calculations!F24,"")</f>
        <v/>
      </c>
      <c r="E8" s="10" t="str">
        <f t="shared" ca="1" si="2"/>
        <v>0503 3456755.22124122EUSft 1534728.09411397NUSft</v>
      </c>
      <c r="F8" s="35">
        <f t="shared" si="3"/>
        <v>94</v>
      </c>
      <c r="G8" s="10" t="str">
        <f t="shared" si="1"/>
        <v>Yellow</v>
      </c>
      <c r="H8" s="10" t="str">
        <f>IF(ISNUMBER(A8),Calculations!$A$1,"")</f>
        <v>CSS3</v>
      </c>
    </row>
    <row r="9" spans="1:8" x14ac:dyDescent="0.25">
      <c r="A9" s="10">
        <f>IF(ISNUMBER(Calculations!A25),Calculations!A25,"")</f>
        <v>5</v>
      </c>
      <c r="B9" s="34">
        <f ca="1">IF(ISNUMBER(A9),CONVERT(Calculations!T25,Units_In,Units_Out),"")</f>
        <v>3456755.6353040268</v>
      </c>
      <c r="C9" s="34">
        <f ca="1">IF(ISNUMBER(A9),CONVERT(Calculations!U25,Units_In,Units_Out),"")</f>
        <v>1534729.1711563999</v>
      </c>
      <c r="D9" s="34" t="str">
        <f>IF(ISTEXT(Calculations!F25),Calculations!F25,"")</f>
        <v/>
      </c>
      <c r="E9" s="10" t="str">
        <f t="shared" ca="1" si="2"/>
        <v>0503 3456755.63530403EUSft 1534729.1711564NUSft</v>
      </c>
      <c r="F9" s="35">
        <f t="shared" si="3"/>
        <v>94</v>
      </c>
      <c r="G9" s="10" t="str">
        <f t="shared" si="1"/>
        <v>Yellow</v>
      </c>
      <c r="H9" s="10" t="str">
        <f>IF(ISNUMBER(A9),Calculations!$A$1,"")</f>
        <v>CSS3</v>
      </c>
    </row>
    <row r="10" spans="1:8" x14ac:dyDescent="0.25">
      <c r="A10" s="10">
        <f>IF(ISNUMBER(Calculations!A26),Calculations!A26,"")</f>
        <v>6</v>
      </c>
      <c r="B10" s="34">
        <f ca="1">IF(ISNUMBER(A10),CONVERT(Calculations!T26,Units_In,Units_Out),"")</f>
        <v>3456756.169515132</v>
      </c>
      <c r="C10" s="34">
        <f ca="1">IF(ISNUMBER(A10),CONVERT(Calculations!U26,Units_In,Units_Out),"")</f>
        <v>1534730.2755800243</v>
      </c>
      <c r="D10" s="34" t="str">
        <f>IF(ISTEXT(Calculations!F26),Calculations!F26,"")</f>
        <v/>
      </c>
      <c r="E10" s="10" t="str">
        <f t="shared" ca="1" si="2"/>
        <v>0503 3456756.16951513EUSft 1534730.27558002NUSft</v>
      </c>
      <c r="F10" s="35">
        <f t="shared" si="3"/>
        <v>94</v>
      </c>
      <c r="G10" s="10" t="str">
        <f t="shared" si="1"/>
        <v>Yellow</v>
      </c>
      <c r="H10" s="10" t="str">
        <f>IF(ISNUMBER(A10),Calculations!$A$1,"")</f>
        <v>CSS3</v>
      </c>
    </row>
    <row r="11" spans="1:8" x14ac:dyDescent="0.25">
      <c r="A11" s="10">
        <f>IF(ISNUMBER(Calculations!A27),Calculations!A27,"")</f>
        <v>7</v>
      </c>
      <c r="B11" s="34">
        <f ca="1">IF(ISNUMBER(A11),CONVERT(Calculations!T27,Units_In,Units_Out),"")</f>
        <v>3456756.8833909449</v>
      </c>
      <c r="C11" s="34">
        <f ca="1">IF(ISNUMBER(A11),CONVERT(Calculations!U27,Units_In,Units_Out),"")</f>
        <v>1534731.3173585294</v>
      </c>
      <c r="D11" s="34" t="str">
        <f>IF(ISTEXT(Calculations!F27),Calculations!F27,"")</f>
        <v/>
      </c>
      <c r="E11" s="10" t="str">
        <f t="shared" ca="1" si="2"/>
        <v>0503 3456756.88339094EUSft 1534731.31735853NUSft</v>
      </c>
      <c r="F11" s="35">
        <f t="shared" si="3"/>
        <v>94</v>
      </c>
      <c r="G11" s="10" t="str">
        <f t="shared" si="1"/>
        <v>Yellow</v>
      </c>
      <c r="H11" s="10" t="str">
        <f>IF(ISNUMBER(A11),Calculations!$A$1,"")</f>
        <v>CSS3</v>
      </c>
    </row>
    <row r="12" spans="1:8" x14ac:dyDescent="0.25">
      <c r="A12" s="10">
        <f>IF(ISNUMBER(Calculations!A28),Calculations!A28,"")</f>
        <v>8</v>
      </c>
      <c r="B12" s="34">
        <f ca="1">IF(ISNUMBER(A12),CONVERT(Calculations!T28,Units_In,Units_Out),"")</f>
        <v>3456757.4998965808</v>
      </c>
      <c r="C12" s="34">
        <f ca="1">IF(ISNUMBER(A12),CONVERT(Calculations!U28,Units_In,Units_Out),"")</f>
        <v>1534732.5003694161</v>
      </c>
      <c r="D12" s="34" t="str">
        <f>IF(ISTEXT(Calculations!F28),Calculations!F28,"")</f>
        <v/>
      </c>
      <c r="E12" s="10" t="str">
        <f t="shared" ca="1" si="2"/>
        <v>0503 3456757.49989658EUSft 1534732.50036942NUSft</v>
      </c>
      <c r="F12" s="35">
        <f t="shared" si="3"/>
        <v>94</v>
      </c>
      <c r="G12" s="10" t="str">
        <f t="shared" si="1"/>
        <v>Yellow</v>
      </c>
      <c r="H12" s="10" t="str">
        <f>IF(ISNUMBER(A12),Calculations!$A$1,"")</f>
        <v>CSS3</v>
      </c>
    </row>
    <row r="13" spans="1:8" x14ac:dyDescent="0.25">
      <c r="A13" s="10">
        <f>IF(ISNUMBER(Calculations!A29),Calculations!A29,"")</f>
        <v>9</v>
      </c>
      <c r="B13" s="34">
        <f ca="1">IF(ISNUMBER(A13),CONVERT(Calculations!T29,Units_In,Units_Out),"")</f>
        <v>3456758.3709259401</v>
      </c>
      <c r="C13" s="34">
        <f ca="1">IF(ISNUMBER(A13),CONVERT(Calculations!U29,Units_In,Units_Out),"")</f>
        <v>1534734.6626194853</v>
      </c>
      <c r="D13" s="34" t="str">
        <f>IF(ISTEXT(Calculations!F29),Calculations!F29,"")</f>
        <v/>
      </c>
      <c r="E13" s="10" t="str">
        <f t="shared" ca="1" si="2"/>
        <v>0503 3456758.37092594EUSft 1534734.66261949NUSft</v>
      </c>
      <c r="F13" s="35">
        <f t="shared" si="3"/>
        <v>94</v>
      </c>
      <c r="G13" s="10" t="str">
        <f t="shared" si="1"/>
        <v>Yellow</v>
      </c>
      <c r="H13" s="10" t="str">
        <f>IF(ISNUMBER(A13),Calculations!$A$1,"")</f>
        <v>CSS3</v>
      </c>
    </row>
    <row r="14" spans="1:8" x14ac:dyDescent="0.25">
      <c r="A14" s="10">
        <f>IF(ISNUMBER(Calculations!A30),Calculations!A30,"")</f>
        <v>10</v>
      </c>
      <c r="B14" s="34">
        <f ca="1">IF(ISNUMBER(A14),CONVERT(Calculations!T30,Units_In,Units_Out),"")</f>
        <v>3456758.2953510159</v>
      </c>
      <c r="C14" s="34">
        <f ca="1">IF(ISNUMBER(A14),CONVERT(Calculations!U30,Units_In,Units_Out),"")</f>
        <v>1534735.8685223418</v>
      </c>
      <c r="D14" s="34" t="str">
        <f>IF(ISTEXT(Calculations!F30),Calculations!F30,"")</f>
        <v/>
      </c>
      <c r="E14" s="10" t="str">
        <f t="shared" ca="1" si="2"/>
        <v>0503 3456758.29535102EUSft 1534735.86852234NUSft</v>
      </c>
      <c r="F14" s="35">
        <f t="shared" si="3"/>
        <v>94</v>
      </c>
      <c r="G14" s="10" t="str">
        <f t="shared" si="1"/>
        <v>Yellow</v>
      </c>
      <c r="H14" s="10" t="str">
        <f>IF(ISNUMBER(A14),Calculations!$A$1,"")</f>
        <v>CSS3</v>
      </c>
    </row>
    <row r="15" spans="1:8" x14ac:dyDescent="0.25">
      <c r="A15" s="10">
        <f>IF(ISNUMBER(Calculations!A31),Calculations!A31,"")</f>
        <v>11</v>
      </c>
      <c r="B15" s="34">
        <f ca="1">IF(ISNUMBER(A15),CONVERT(Calculations!T31,Units_In,Units_Out),"")</f>
        <v>3456758.3199917879</v>
      </c>
      <c r="C15" s="34">
        <f ca="1">IF(ISNUMBER(A15),CONVERT(Calculations!U31,Units_In,Units_Out),"")</f>
        <v>1534736.7495193947</v>
      </c>
      <c r="D15" s="34" t="str">
        <f>IF(ISTEXT(Calculations!F31),Calculations!F31,"")</f>
        <v/>
      </c>
      <c r="E15" s="10" t="str">
        <f t="shared" ca="1" si="2"/>
        <v>0503 3456758.31999179EUSft 1534736.74951939NUSft</v>
      </c>
      <c r="F15" s="35">
        <f t="shared" si="3"/>
        <v>94</v>
      </c>
      <c r="G15" s="10" t="str">
        <f t="shared" si="1"/>
        <v>Yellow</v>
      </c>
      <c r="H15" s="10" t="str">
        <f>IF(ISNUMBER(A15),Calculations!$A$1,"")</f>
        <v>CSS3</v>
      </c>
    </row>
    <row r="16" spans="1:8" x14ac:dyDescent="0.25">
      <c r="A16" s="10">
        <f>IF(ISNUMBER(Calculations!A32),Calculations!A32,"")</f>
        <v>12</v>
      </c>
      <c r="B16" s="34">
        <f ca="1">IF(ISNUMBER(A16),CONVERT(Calculations!T32,Units_In,Units_Out),"")</f>
        <v>3456759.8095493536</v>
      </c>
      <c r="C16" s="34">
        <f ca="1">IF(ISNUMBER(A16),CONVERT(Calculations!U32,Units_In,Units_Out),"")</f>
        <v>1534740.2563339015</v>
      </c>
      <c r="D16" s="34" t="str">
        <f>IF(ISTEXT(Calculations!F32),Calculations!F32,"")</f>
        <v>WS</v>
      </c>
      <c r="E16" s="10" t="str">
        <f t="shared" ca="1" si="2"/>
        <v>0503 3456759.80954935EUSft 1534740.2563339NUSft</v>
      </c>
      <c r="F16" s="35">
        <f t="shared" si="3"/>
        <v>94</v>
      </c>
      <c r="G16" s="10" t="str">
        <f t="shared" si="1"/>
        <v>Yellow</v>
      </c>
      <c r="H16" s="10" t="str">
        <f>IF(ISNUMBER(A16),Calculations!$A$1,"")</f>
        <v>CSS3</v>
      </c>
    </row>
    <row r="17" spans="1:8" x14ac:dyDescent="0.25">
      <c r="A17" s="10">
        <f>IF(ISNUMBER(Calculations!A33),Calculations!A33,"")</f>
        <v>13</v>
      </c>
      <c r="B17" s="34">
        <f ca="1">IF(ISNUMBER(A17),CONVERT(Calculations!T33,Units_In,Units_Out),"")</f>
        <v>3456760.1503052623</v>
      </c>
      <c r="C17" s="34">
        <f ca="1">IF(ISNUMBER(A17),CONVERT(Calculations!U33,Units_In,Units_Out),"")</f>
        <v>1534741.8453971618</v>
      </c>
      <c r="D17" s="34" t="str">
        <f>IF(ISTEXT(Calculations!F33),Calculations!F33,"")</f>
        <v/>
      </c>
      <c r="E17" s="10" t="str">
        <f t="shared" ca="1" si="2"/>
        <v>0503 3456760.15030526EUSft 1534741.84539716NUSft</v>
      </c>
      <c r="F17" s="35">
        <f t="shared" si="3"/>
        <v>94</v>
      </c>
      <c r="G17" s="10" t="str">
        <f t="shared" si="1"/>
        <v>Yellow</v>
      </c>
      <c r="H17" s="10" t="str">
        <f>IF(ISNUMBER(A17),Calculations!$A$1,"")</f>
        <v>CSS3</v>
      </c>
    </row>
    <row r="18" spans="1:8" x14ac:dyDescent="0.25">
      <c r="A18" s="10">
        <f>IF(ISNUMBER(Calculations!A34),Calculations!A34,"")</f>
        <v>14</v>
      </c>
      <c r="B18" s="34">
        <f ca="1">IF(ISNUMBER(A18),CONVERT(Calculations!T34,Units_In,Units_Out),"")</f>
        <v>3456792.4514272367</v>
      </c>
      <c r="C18" s="34">
        <f ca="1">IF(ISNUMBER(A18),CONVERT(Calculations!U34,Units_In,Units_Out),"")</f>
        <v>1534857.4922240633</v>
      </c>
      <c r="D18" s="34" t="str">
        <f>IF(ISTEXT(Calculations!F34),Calculations!F34,"")</f>
        <v>WS</v>
      </c>
      <c r="E18" s="10" t="str">
        <f t="shared" ca="1" si="2"/>
        <v>0503 3456792.45142724EUSft 1534857.49222406NUSft</v>
      </c>
      <c r="F18" s="35">
        <f t="shared" si="3"/>
        <v>94</v>
      </c>
      <c r="G18" s="10" t="str">
        <f t="shared" si="1"/>
        <v>Yellow</v>
      </c>
      <c r="H18" s="10" t="str">
        <f>IF(ISNUMBER(A18),Calculations!$A$1,"")</f>
        <v>CSS3</v>
      </c>
    </row>
    <row r="19" spans="1:8" x14ac:dyDescent="0.25">
      <c r="A19" s="10">
        <f>IF(ISNUMBER(Calculations!A35),Calculations!A35,"")</f>
        <v>15</v>
      </c>
      <c r="B19" s="34">
        <f ca="1">IF(ISNUMBER(A19),CONVERT(Calculations!T35,Units_In,Units_Out),"")</f>
        <v>3456799.3242094992</v>
      </c>
      <c r="C19" s="34">
        <f ca="1">IF(ISNUMBER(A19),CONVERT(Calculations!U35,Units_In,Units_Out),"")</f>
        <v>1534868.1385020961</v>
      </c>
      <c r="D19" s="34" t="str">
        <f>IF(ISTEXT(Calculations!F35),Calculations!F35,"")</f>
        <v>ISLAND</v>
      </c>
      <c r="E19" s="10" t="str">
        <f t="shared" ca="1" si="2"/>
        <v>0503 3456799.3242095EUSft 1534868.1385021NUSft</v>
      </c>
      <c r="F19" s="35">
        <f t="shared" si="3"/>
        <v>94</v>
      </c>
      <c r="G19" s="10" t="str">
        <f t="shared" si="1"/>
        <v>Yellow</v>
      </c>
      <c r="H19" s="10" t="str">
        <f>IF(ISNUMBER(A19),Calculations!$A$1,"")</f>
        <v>CSS3</v>
      </c>
    </row>
    <row r="20" spans="1:8" x14ac:dyDescent="0.25">
      <c r="A20" s="10">
        <f>IF(ISNUMBER(Calculations!A36),Calculations!A36,"")</f>
        <v>16</v>
      </c>
      <c r="B20" s="34">
        <f ca="1">IF(ISNUMBER(A20),CONVERT(Calculations!T36,Units_In,Units_Out),"")</f>
        <v>3456809.6469697305</v>
      </c>
      <c r="C20" s="34">
        <f ca="1">IF(ISNUMBER(A20),CONVERT(Calculations!U36,Units_In,Units_Out),"")</f>
        <v>1534896.5792272037</v>
      </c>
      <c r="D20" s="34" t="str">
        <f>IF(ISTEXT(Calculations!F36),Calculations!F36,"")</f>
        <v/>
      </c>
      <c r="E20" s="10" t="str">
        <f t="shared" ca="1" si="2"/>
        <v>0503 3456809.64696973EUSft 1534896.5792272NUSft</v>
      </c>
      <c r="F20" s="35">
        <f t="shared" si="3"/>
        <v>94</v>
      </c>
      <c r="G20" s="10" t="str">
        <f t="shared" si="1"/>
        <v>Yellow</v>
      </c>
      <c r="H20" s="10" t="str">
        <f>IF(ISNUMBER(A20),Calculations!$A$1,"")</f>
        <v>CSS3</v>
      </c>
    </row>
    <row r="21" spans="1:8" x14ac:dyDescent="0.25">
      <c r="A21" s="10">
        <f>IF(ISNUMBER(Calculations!A37),Calculations!A37,"")</f>
        <v>17</v>
      </c>
      <c r="B21" s="34">
        <f ca="1">IF(ISNUMBER(A21),CONVERT(Calculations!T37,Units_In,Units_Out),"")</f>
        <v>3456813.5078381747</v>
      </c>
      <c r="C21" s="34">
        <f ca="1">IF(ISNUMBER(A21),CONVERT(Calculations!U37,Units_In,Units_Out),"")</f>
        <v>1534901.2676279522</v>
      </c>
      <c r="D21" s="34" t="str">
        <f>IF(ISTEXT(Calculations!F37),Calculations!F37,"")</f>
        <v/>
      </c>
      <c r="E21" s="10" t="str">
        <f t="shared" ca="1" si="2"/>
        <v>0503 3456813.50783817EUSft 1534901.26762795NUSft</v>
      </c>
      <c r="F21" s="35">
        <f t="shared" si="3"/>
        <v>94</v>
      </c>
      <c r="G21" s="10" t="str">
        <f t="shared" si="1"/>
        <v>Yellow</v>
      </c>
      <c r="H21" s="10" t="str">
        <f>IF(ISNUMBER(A21),Calculations!$A$1,"")</f>
        <v>CSS3</v>
      </c>
    </row>
    <row r="22" spans="1:8" x14ac:dyDescent="0.25">
      <c r="A22" s="10">
        <f>IF(ISNUMBER(Calculations!A38),Calculations!A38,"")</f>
        <v>18</v>
      </c>
      <c r="B22" s="34">
        <f ca="1">IF(ISNUMBER(A22),CONVERT(Calculations!T38,Units_In,Units_Out),"")</f>
        <v>3456833.9675124073</v>
      </c>
      <c r="C22" s="34">
        <f ca="1">IF(ISNUMBER(A22),CONVERT(Calculations!U38,Units_In,Units_Out),"")</f>
        <v>1534966.3213832746</v>
      </c>
      <c r="D22" s="34" t="str">
        <f>IF(ISTEXT(Calculations!F38),Calculations!F38,"")</f>
        <v>WS</v>
      </c>
      <c r="E22" s="10" t="str">
        <f t="shared" ca="1" si="2"/>
        <v>0503 3456833.96751241EUSft 1534966.32138327NUSft</v>
      </c>
      <c r="F22" s="35">
        <f t="shared" si="3"/>
        <v>94</v>
      </c>
      <c r="G22" s="10" t="str">
        <f t="shared" si="1"/>
        <v>Yellow</v>
      </c>
      <c r="H22" s="10" t="str">
        <f>IF(ISNUMBER(A22),Calculations!$A$1,"")</f>
        <v>CSS3</v>
      </c>
    </row>
    <row r="23" spans="1:8" x14ac:dyDescent="0.25">
      <c r="A23" s="10">
        <f>IF(ISNUMBER(Calculations!A39),Calculations!A39,"")</f>
        <v>19</v>
      </c>
      <c r="B23" s="34">
        <f ca="1">IF(ISNUMBER(A23),CONVERT(Calculations!T39,Units_In,Units_Out),"")</f>
        <v>3456834.294644651</v>
      </c>
      <c r="C23" s="34">
        <f ca="1">IF(ISNUMBER(A23),CONVERT(Calculations!U39,Units_In,Units_Out),"")</f>
        <v>1534968.5622109226</v>
      </c>
      <c r="D23" s="34" t="str">
        <f>IF(ISTEXT(Calculations!F39),Calculations!F39,"")</f>
        <v/>
      </c>
      <c r="E23" s="10" t="str">
        <f t="shared" ca="1" si="2"/>
        <v>0503 3456834.29464465EUSft 1534968.56221092NUSft</v>
      </c>
      <c r="F23" s="35">
        <f t="shared" si="3"/>
        <v>94</v>
      </c>
      <c r="G23" s="10" t="str">
        <f t="shared" si="1"/>
        <v>Yellow</v>
      </c>
      <c r="H23" s="10" t="str">
        <f>IF(ISNUMBER(A23),Calculations!$A$1,"")</f>
        <v>CSS3</v>
      </c>
    </row>
    <row r="24" spans="1:8" x14ac:dyDescent="0.25">
      <c r="A24" s="10">
        <f>IF(ISNUMBER(Calculations!A40),Calculations!A40,"")</f>
        <v>20</v>
      </c>
      <c r="B24" s="34">
        <f ca="1">IF(ISNUMBER(A24),CONVERT(Calculations!T40,Units_In,Units_Out),"")</f>
        <v>3456839.2477667001</v>
      </c>
      <c r="C24" s="34">
        <f ca="1">IF(ISNUMBER(A24),CONVERT(Calculations!U40,Units_In,Units_Out),"")</f>
        <v>1534969.9219459973</v>
      </c>
      <c r="D24" s="34" t="str">
        <f>IF(ISTEXT(Calculations!F40),Calculations!F40,"")</f>
        <v/>
      </c>
      <c r="E24" s="10" t="str">
        <f t="shared" ca="1" si="2"/>
        <v>0503 3456839.2477667EUSft 1534969.921946NUSft</v>
      </c>
      <c r="F24" s="35">
        <f t="shared" si="3"/>
        <v>94</v>
      </c>
      <c r="G24" s="10" t="str">
        <f t="shared" si="1"/>
        <v>Yellow</v>
      </c>
      <c r="H24" s="10" t="str">
        <f>IF(ISNUMBER(A24),Calculations!$A$1,"")</f>
        <v>CSS3</v>
      </c>
    </row>
    <row r="25" spans="1:8" x14ac:dyDescent="0.25">
      <c r="A25" s="10">
        <f>IF(ISNUMBER(Calculations!A41),Calculations!A41,"")</f>
        <v>21</v>
      </c>
      <c r="B25" s="34">
        <f ca="1">IF(ISNUMBER(A25),CONVERT(Calculations!T41,Units_In,Units_Out),"")</f>
        <v>3456842.9374448955</v>
      </c>
      <c r="C25" s="34">
        <f ca="1">IF(ISNUMBER(A25),CONVERT(Calculations!U41,Units_In,Units_Out),"")</f>
        <v>1534971.0201485932</v>
      </c>
      <c r="D25" s="34" t="str">
        <f>IF(ISTEXT(Calculations!F41),Calculations!F41,"")</f>
        <v/>
      </c>
      <c r="E25" s="10" t="str">
        <f t="shared" ca="1" si="2"/>
        <v>0503 3456842.9374449EUSft 1534971.02014859NUSft</v>
      </c>
      <c r="F25" s="35">
        <f t="shared" si="3"/>
        <v>94</v>
      </c>
      <c r="G25" s="10" t="str">
        <f t="shared" si="1"/>
        <v>Yellow</v>
      </c>
      <c r="H25" s="10" t="str">
        <f>IF(ISNUMBER(A25),Calculations!$A$1,"")</f>
        <v>CSS3</v>
      </c>
    </row>
    <row r="26" spans="1:8" x14ac:dyDescent="0.25">
      <c r="A26" s="10">
        <f>IF(ISNUMBER(Calculations!A42),Calculations!A42,"")</f>
        <v>22</v>
      </c>
      <c r="B26" s="34">
        <f ca="1">IF(ISNUMBER(A26),CONVERT(Calculations!T42,Units_In,Units_Out),"")</f>
        <v>3456848.246925714</v>
      </c>
      <c r="C26" s="34">
        <f ca="1">IF(ISNUMBER(A26),CONVERT(Calculations!U42,Units_In,Units_Out),"")</f>
        <v>1534970.9593583047</v>
      </c>
      <c r="D26" s="34" t="str">
        <f>IF(ISTEXT(Calculations!F42),Calculations!F42,"")</f>
        <v/>
      </c>
      <c r="E26" s="10" t="str">
        <f t="shared" ca="1" si="2"/>
        <v>0503 3456848.24692571EUSft 1534970.9593583NUSft</v>
      </c>
      <c r="F26" s="35">
        <f t="shared" si="3"/>
        <v>94</v>
      </c>
      <c r="G26" s="10" t="str">
        <f t="shared" si="1"/>
        <v>Yellow</v>
      </c>
      <c r="H26" s="10" t="str">
        <f>IF(ISNUMBER(A26),Calculations!$A$1,"")</f>
        <v>CSS3</v>
      </c>
    </row>
    <row r="27" spans="1:8" x14ac:dyDescent="0.25">
      <c r="A27" s="10">
        <f>IF(ISNUMBER(Calculations!A43),Calculations!A43,"")</f>
        <v>23</v>
      </c>
      <c r="B27" s="34">
        <f ca="1">IF(ISNUMBER(A27),CONVERT(Calculations!T43,Units_In,Units_Out),"")</f>
        <v>3456709.7711786563</v>
      </c>
      <c r="C27" s="34">
        <f ca="1">IF(ISNUMBER(A27),CONVERT(Calculations!U43,Units_In,Units_Out),"")</f>
        <v>1534653.5873291136</v>
      </c>
      <c r="D27" s="34" t="str">
        <f>IF(ISTEXT(Calculations!F43),Calculations!F43,"")</f>
        <v>PT1</v>
      </c>
      <c r="E27" s="10" t="str">
        <f t="shared" ca="1" si="2"/>
        <v>0503 3456709.77117866EUSft 1534653.58732911NUSft</v>
      </c>
      <c r="F27" s="35">
        <f t="shared" si="3"/>
        <v>94</v>
      </c>
      <c r="G27" s="10" t="str">
        <f t="shared" si="1"/>
        <v>Yellow</v>
      </c>
      <c r="H27" s="10" t="str">
        <f>IF(ISNUMBER(A27),Calculations!$A$1,"")</f>
        <v>CSS3</v>
      </c>
    </row>
    <row r="28" spans="1:8" x14ac:dyDescent="0.25">
      <c r="A28" s="10">
        <f>IF(ISNUMBER(Calculations!A44),Calculations!A44,"")</f>
        <v>24</v>
      </c>
      <c r="B28" s="34">
        <f ca="1">IF(ISNUMBER(A28),CONVERT(Calculations!T44,Units_In,Units_Out),"")</f>
        <v>3456666.832016563</v>
      </c>
      <c r="C28" s="34">
        <f ca="1">IF(ISNUMBER(A28),CONVERT(Calculations!U44,Units_In,Units_Out),"")</f>
        <v>1534721.7272994553</v>
      </c>
      <c r="D28" s="34" t="str">
        <f>IF(ISTEXT(Calculations!F44),Calculations!F44,"")</f>
        <v>PT2</v>
      </c>
      <c r="E28" s="10" t="str">
        <f t="shared" ca="1" si="2"/>
        <v>0503 3456666.83201656EUSft 1534721.72729946NUSft</v>
      </c>
      <c r="F28" s="35">
        <f t="shared" si="3"/>
        <v>94</v>
      </c>
      <c r="G28" s="10" t="str">
        <f t="shared" si="1"/>
        <v>Yellow</v>
      </c>
      <c r="H28" s="10" t="str">
        <f>IF(ISNUMBER(A28),Calculations!$A$1,"")</f>
        <v>CSS3</v>
      </c>
    </row>
    <row r="29" spans="1:8" x14ac:dyDescent="0.25">
      <c r="A29" s="10" t="str">
        <f>IF(ISNUMBER(Calculations!A45),Calculations!A45,"")</f>
        <v/>
      </c>
      <c r="B29" s="34" t="str">
        <f>IF(ISNUMBER(A29),CONVERT(Calculations!T45,Units_In,Units_Out),"")</f>
        <v/>
      </c>
      <c r="C29" s="34" t="str">
        <f>IF(ISNUMBER(A29),CONVERT(Calculations!U45,Units_In,Units_Out),"")</f>
        <v/>
      </c>
      <c r="D29" s="34" t="str">
        <f>IF(ISTEXT(Calculations!F45),Calculations!F45,"")</f>
        <v/>
      </c>
      <c r="E29" s="10" t="str">
        <f t="shared" si="2"/>
        <v/>
      </c>
      <c r="F29" s="35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4" t="str">
        <f>IF(ISNUMBER(A30),CONVERT(Calculations!T46,Units_In,Units_Out),"")</f>
        <v/>
      </c>
      <c r="C30" s="34" t="str">
        <f>IF(ISNUMBER(A30),CONVERT(Calculations!U46,Units_In,Units_Out),"")</f>
        <v/>
      </c>
      <c r="D30" s="34" t="str">
        <f>IF(ISTEXT(Calculations!F46),Calculations!F46,"")</f>
        <v/>
      </c>
      <c r="E30" s="10" t="str">
        <f t="shared" si="2"/>
        <v/>
      </c>
      <c r="F30" s="35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4" t="str">
        <f>IF(ISNUMBER(A31),CONVERT(Calculations!T47,Units_In,Units_Out),"")</f>
        <v/>
      </c>
      <c r="C31" s="34" t="str">
        <f>IF(ISNUMBER(A31),CONVERT(Calculations!U47,Units_In,Units_Out),"")</f>
        <v/>
      </c>
      <c r="D31" s="34" t="str">
        <f>IF(ISTEXT(Calculations!F47),Calculations!F47,"")</f>
        <v/>
      </c>
      <c r="E31" s="10" t="str">
        <f t="shared" si="2"/>
        <v/>
      </c>
      <c r="F31" s="35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4" t="str">
        <f>IF(ISNUMBER(A32),CONVERT(Calculations!T48,Units_In,Units_Out),"")</f>
        <v/>
      </c>
      <c r="C32" s="34" t="str">
        <f>IF(ISNUMBER(A32),CONVERT(Calculations!U48,Units_In,Units_Out),"")</f>
        <v/>
      </c>
      <c r="D32" s="34" t="str">
        <f>IF(ISTEXT(Calculations!F48),Calculations!F48,"")</f>
        <v/>
      </c>
      <c r="E32" s="10" t="str">
        <f t="shared" si="2"/>
        <v/>
      </c>
      <c r="F32" s="35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4" t="str">
        <f>IF(ISNUMBER(A33),CONVERT(Calculations!T49,Units_In,Units_Out),"")</f>
        <v/>
      </c>
      <c r="C33" s="34" t="str">
        <f>IF(ISNUMBER(A33),CONVERT(Calculations!U49,Units_In,Units_Out),"")</f>
        <v/>
      </c>
      <c r="D33" s="34" t="str">
        <f>IF(ISTEXT(Calculations!F49),Calculations!F49,"")</f>
        <v/>
      </c>
      <c r="E33" s="10" t="str">
        <f t="shared" si="2"/>
        <v/>
      </c>
      <c r="F33" s="35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4" t="str">
        <f>IF(ISNUMBER(A34),CONVERT(Calculations!T50,Units_In,Units_Out),"")</f>
        <v/>
      </c>
      <c r="C34" s="34" t="str">
        <f>IF(ISNUMBER(A34),CONVERT(Calculations!U50,Units_In,Units_Out),"")</f>
        <v/>
      </c>
      <c r="D34" s="34" t="str">
        <f>IF(ISTEXT(Calculations!F50),Calculations!F50,"")</f>
        <v/>
      </c>
      <c r="E34" s="10" t="str">
        <f t="shared" si="2"/>
        <v/>
      </c>
      <c r="F34" s="35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4" t="str">
        <f>IF(ISNUMBER(A35),CONVERT(Calculations!T51,Units_In,Units_Out),"")</f>
        <v/>
      </c>
      <c r="C35" s="34" t="str">
        <f>IF(ISNUMBER(A35),CONVERT(Calculations!U51,Units_In,Units_Out),"")</f>
        <v/>
      </c>
      <c r="D35" s="34" t="str">
        <f>IF(ISTEXT(Calculations!F51),Calculations!F51,"")</f>
        <v/>
      </c>
      <c r="E35" s="10" t="str">
        <f t="shared" si="2"/>
        <v/>
      </c>
      <c r="F35" s="35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4" t="str">
        <f>IF(ISNUMBER(A36),CONVERT(Calculations!U52,Units_In,Units_Out),"")</f>
        <v/>
      </c>
      <c r="C36" s="34" t="str">
        <f>IF(ISNUMBER(A36),CONVERT(Calculations!V52,Units_In,Units_Out),"")</f>
        <v/>
      </c>
      <c r="D36" s="34" t="str">
        <f>IF(ISTEXT(Calculations!F52),Calculations!F52,"")</f>
        <v/>
      </c>
      <c r="E36" s="10" t="str">
        <f t="shared" si="2"/>
        <v/>
      </c>
      <c r="F36" s="35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4" t="str">
        <f>IF(ISNUMBER(A37),CONVERT(Calculations!U53,Units_In,Units_Out),"")</f>
        <v/>
      </c>
      <c r="C37" s="34" t="str">
        <f>IF(ISNUMBER(A37),CONVERT(Calculations!V53,Units_In,Units_Out),"")</f>
        <v/>
      </c>
      <c r="D37" s="34" t="str">
        <f>IF(ISTEXT(Calculations!F53),Calculations!F53,"")</f>
        <v/>
      </c>
      <c r="E37" s="10" t="str">
        <f t="shared" si="2"/>
        <v/>
      </c>
      <c r="F37" s="35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4" t="str">
        <f>IF(ISNUMBER(A38),CONVERT(Calculations!#REF!,Units_In,Units_Out),"")</f>
        <v/>
      </c>
      <c r="C38" s="34" t="str">
        <f>IF(ISNUMBER(A38),CONVERT(Calculations!#REF!,Units_In,Units_Out),"")</f>
        <v/>
      </c>
      <c r="D38" s="34" t="str">
        <f>IF(ISTEXT(Calculations!#REF!),Calculations!#REF!,"")</f>
        <v/>
      </c>
      <c r="E38" s="10" t="str">
        <f t="shared" si="2"/>
        <v/>
      </c>
      <c r="F38" s="35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4" t="str">
        <f>IF(ISNUMBER(A39),CONVERT(Calculations!#REF!,Units_In,Units_Out),"")</f>
        <v/>
      </c>
      <c r="C39" s="34" t="str">
        <f>IF(ISNUMBER(A39),CONVERT(Calculations!#REF!,Units_In,Units_Out),"")</f>
        <v/>
      </c>
      <c r="D39" s="34" t="str">
        <f>IF(ISTEXT(Calculations!#REF!),Calculations!#REF!,"")</f>
        <v/>
      </c>
      <c r="E39" s="10" t="str">
        <f t="shared" si="2"/>
        <v/>
      </c>
      <c r="F39" s="35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4" t="str">
        <f>IF(ISNUMBER(A40),CONVERT(Calculations!#REF!,Units_In,Units_Out),"")</f>
        <v/>
      </c>
      <c r="C40" s="34" t="str">
        <f>IF(ISNUMBER(A40),CONVERT(Calculations!#REF!,Units_In,Units_Out),"")</f>
        <v/>
      </c>
      <c r="D40" s="34" t="str">
        <f>IF(ISTEXT(Calculations!#REF!),Calculations!#REF!,"")</f>
        <v/>
      </c>
      <c r="E40" s="10" t="str">
        <f t="shared" si="2"/>
        <v/>
      </c>
      <c r="F40" s="35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4" t="str">
        <f>IF(ISNUMBER(A41),CONVERT(Calculations!#REF!,Units_In,Units_Out),"")</f>
        <v/>
      </c>
      <c r="C41" s="34" t="str">
        <f>IF(ISNUMBER(A41),CONVERT(Calculations!#REF!,Units_In,Units_Out),"")</f>
        <v/>
      </c>
      <c r="D41" s="34" t="str">
        <f>IF(ISTEXT(Calculations!#REF!),Calculations!#REF!,"")</f>
        <v/>
      </c>
      <c r="E41" s="10" t="str">
        <f t="shared" si="2"/>
        <v/>
      </c>
      <c r="F41" s="35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4" t="str">
        <f>IF(ISNUMBER(A42),CONVERT(Calculations!#REF!,Units_In,Units_Out),"")</f>
        <v/>
      </c>
      <c r="C42" s="34" t="str">
        <f>IF(ISNUMBER(A42),CONVERT(Calculations!#REF!,Units_In,Units_Out),"")</f>
        <v/>
      </c>
      <c r="D42" s="34" t="str">
        <f>IF(ISTEXT(Calculations!#REF!),Calculations!#REF!,"")</f>
        <v/>
      </c>
      <c r="E42" s="10" t="str">
        <f t="shared" si="2"/>
        <v/>
      </c>
      <c r="F42" s="35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4" t="str">
        <f>IF(ISNUMBER(A43),CONVERT(Calculations!#REF!,Units_In,Units_Out),"")</f>
        <v/>
      </c>
      <c r="C43" s="34" t="str">
        <f>IF(ISNUMBER(A43),CONVERT(Calculations!#REF!,Units_In,Units_Out),"")</f>
        <v/>
      </c>
      <c r="D43" s="34" t="str">
        <f>IF(ISTEXT(Calculations!#REF!),Calculations!#REF!,"")</f>
        <v/>
      </c>
      <c r="E43" s="10" t="str">
        <f t="shared" si="2"/>
        <v/>
      </c>
      <c r="F43" s="35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4" t="str">
        <f>IF(ISNUMBER(A44),CONVERT(Calculations!#REF!,Units_In,Units_Out),"")</f>
        <v/>
      </c>
      <c r="C44" s="34" t="str">
        <f>IF(ISNUMBER(A44),CONVERT(Calculations!#REF!,Units_In,Units_Out),"")</f>
        <v/>
      </c>
      <c r="D44" s="34" t="str">
        <f>IF(ISTEXT(Calculations!#REF!),Calculations!#REF!,"")</f>
        <v/>
      </c>
      <c r="E44" s="10" t="str">
        <f t="shared" si="2"/>
        <v/>
      </c>
      <c r="F44" s="35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4" t="str">
        <f>IF(ISNUMBER(A45),CONVERT(Calculations!#REF!,Units_In,Units_Out),"")</f>
        <v/>
      </c>
      <c r="C45" s="34" t="str">
        <f>IF(ISNUMBER(A45),CONVERT(Calculations!#REF!,Units_In,Units_Out),"")</f>
        <v/>
      </c>
      <c r="D45" s="34" t="str">
        <f>IF(ISTEXT(Calculations!#REF!),Calculations!#REF!,"")</f>
        <v/>
      </c>
      <c r="E45" s="10" t="str">
        <f t="shared" si="2"/>
        <v/>
      </c>
      <c r="F45" s="35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4" t="str">
        <f>IF(ISNUMBER(A46),CONVERT(Calculations!#REF!,Units_In,Units_Out),"")</f>
        <v/>
      </c>
      <c r="C46" s="34" t="str">
        <f>IF(ISNUMBER(A46),CONVERT(Calculations!#REF!,Units_In,Units_Out),"")</f>
        <v/>
      </c>
      <c r="D46" s="34" t="str">
        <f>IF(ISTEXT(Calculations!#REF!),Calculations!#REF!,"")</f>
        <v/>
      </c>
      <c r="E46" s="10" t="str">
        <f t="shared" si="2"/>
        <v/>
      </c>
      <c r="F46" s="35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4" t="str">
        <f>IF(ISNUMBER(A47),CONVERT(Calculations!#REF!,Units_In,Units_Out),"")</f>
        <v/>
      </c>
      <c r="C47" s="34" t="str">
        <f>IF(ISNUMBER(A47),CONVERT(Calculations!#REF!,Units_In,Units_Out),"")</f>
        <v/>
      </c>
      <c r="D47" s="34" t="str">
        <f>IF(ISTEXT(Calculations!#REF!),Calculations!#REF!,"")</f>
        <v/>
      </c>
      <c r="E47" s="10" t="str">
        <f t="shared" si="2"/>
        <v/>
      </c>
      <c r="F47" s="35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4" t="str">
        <f>IF(ISNUMBER(A48),CONVERT(Calculations!#REF!,Units_In,Units_Out),"")</f>
        <v/>
      </c>
      <c r="C48" s="34" t="str">
        <f>IF(ISNUMBER(A48),CONVERT(Calculations!#REF!,Units_In,Units_Out),"")</f>
        <v/>
      </c>
      <c r="D48" s="34" t="str">
        <f>IF(ISTEXT(Calculations!#REF!),Calculations!#REF!,"")</f>
        <v/>
      </c>
      <c r="E48" s="10" t="str">
        <f t="shared" si="2"/>
        <v/>
      </c>
      <c r="F48" s="35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4" t="str">
        <f>IF(ISNUMBER(A49),CONVERT(Calculations!#REF!,Units_In,Units_Out),"")</f>
        <v/>
      </c>
      <c r="C49" s="34" t="str">
        <f>IF(ISNUMBER(A49),CONVERT(Calculations!#REF!,Units_In,Units_Out),"")</f>
        <v/>
      </c>
      <c r="D49" s="34" t="str">
        <f>IF(ISTEXT(Calculations!#REF!),Calculations!#REF!,"")</f>
        <v/>
      </c>
      <c r="E49" s="10" t="str">
        <f t="shared" si="2"/>
        <v/>
      </c>
      <c r="F49" s="35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4" t="str">
        <f>IF(ISNUMBER(A50),CONVERT(Calculations!#REF!,Units_In,Units_Out),"")</f>
        <v/>
      </c>
      <c r="C50" s="34" t="str">
        <f>IF(ISNUMBER(A50),CONVERT(Calculations!#REF!,Units_In,Units_Out),"")</f>
        <v/>
      </c>
      <c r="D50" s="34" t="str">
        <f>IF(ISTEXT(Calculations!#REF!),Calculations!#REF!,"")</f>
        <v/>
      </c>
      <c r="E50" s="10" t="str">
        <f t="shared" si="2"/>
        <v/>
      </c>
      <c r="F50" s="35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4" t="str">
        <f>IF(ISNUMBER(A51),CONVERT(Calculations!#REF!,Units_In,Units_Out),"")</f>
        <v/>
      </c>
      <c r="C51" s="34" t="str">
        <f>IF(ISNUMBER(A51),CONVERT(Calculations!#REF!,Units_In,Units_Out),"")</f>
        <v/>
      </c>
      <c r="D51" s="34" t="str">
        <f>IF(ISTEXT(Calculations!#REF!),Calculations!#REF!,"")</f>
        <v/>
      </c>
      <c r="E51" s="10" t="str">
        <f t="shared" si="2"/>
        <v/>
      </c>
      <c r="F51" s="35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4" t="str">
        <f>IF(ISNUMBER(A52),CONVERT(Calculations!#REF!,Units_In,Units_Out),"")</f>
        <v/>
      </c>
      <c r="C52" s="34" t="str">
        <f>IF(ISNUMBER(A52),CONVERT(Calculations!#REF!,Units_In,Units_Out),"")</f>
        <v/>
      </c>
      <c r="D52" s="34" t="str">
        <f>IF(ISTEXT(Calculations!#REF!),Calculations!#REF!,"")</f>
        <v/>
      </c>
      <c r="E52" s="10" t="str">
        <f t="shared" si="2"/>
        <v/>
      </c>
      <c r="F52" s="35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4" t="str">
        <f>IF(ISNUMBER(A53),CONVERT(Calculations!#REF!,Units_In,Units_Out),"")</f>
        <v/>
      </c>
      <c r="C53" s="34" t="str">
        <f>IF(ISNUMBER(A53),CONVERT(Calculations!#REF!,Units_In,Units_Out),"")</f>
        <v/>
      </c>
      <c r="D53" s="34" t="str">
        <f>IF(ISTEXT(Calculations!#REF!),Calculations!#REF!,"")</f>
        <v/>
      </c>
      <c r="E53" s="10" t="str">
        <f t="shared" si="2"/>
        <v/>
      </c>
      <c r="F53" s="35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4" t="str">
        <f>IF(ISNUMBER(A54),CONVERT(Calculations!#REF!,Units_In,Units_Out),"")</f>
        <v/>
      </c>
      <c r="C54" s="34" t="str">
        <f>IF(ISNUMBER(A54),CONVERT(Calculations!#REF!,Units_In,Units_Out),"")</f>
        <v/>
      </c>
      <c r="D54" s="34" t="str">
        <f>IF(ISTEXT(Calculations!#REF!),Calculations!#REF!,"")</f>
        <v/>
      </c>
      <c r="E54" s="10" t="str">
        <f t="shared" si="2"/>
        <v/>
      </c>
      <c r="F54" s="35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4" t="str">
        <f>IF(ISNUMBER(A55),CONVERT(Calculations!#REF!,Units_In,Units_Out),"")</f>
        <v/>
      </c>
      <c r="C55" s="34" t="str">
        <f>IF(ISNUMBER(A55),CONVERT(Calculations!#REF!,Units_In,Units_Out),"")</f>
        <v/>
      </c>
      <c r="D55" s="34" t="str">
        <f>IF(ISTEXT(Calculations!#REF!),Calculations!#REF!,"")</f>
        <v/>
      </c>
      <c r="E55" s="10" t="str">
        <f t="shared" si="2"/>
        <v/>
      </c>
      <c r="F55" s="35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4" t="str">
        <f>IF(ISNUMBER(A56),CONVERT(Calculations!#REF!,Units_In,Units_Out),"")</f>
        <v/>
      </c>
      <c r="C56" s="34" t="str">
        <f>IF(ISNUMBER(A56),CONVERT(Calculations!#REF!,Units_In,Units_Out),"")</f>
        <v/>
      </c>
      <c r="D56" s="34" t="str">
        <f>IF(ISTEXT(Calculations!#REF!),Calculations!#REF!,"")</f>
        <v/>
      </c>
      <c r="E56" s="10" t="str">
        <f t="shared" si="2"/>
        <v/>
      </c>
      <c r="F56" s="35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4" t="str">
        <f>IF(ISNUMBER(A57),CONVERT(Calculations!#REF!,Units_In,Units_Out),"")</f>
        <v/>
      </c>
      <c r="C57" s="34" t="str">
        <f>IF(ISNUMBER(A57),CONVERT(Calculations!#REF!,Units_In,Units_Out),"")</f>
        <v/>
      </c>
      <c r="D57" s="34" t="str">
        <f>IF(ISTEXT(Calculations!#REF!),Calculations!#REF!,"")</f>
        <v/>
      </c>
      <c r="E57" s="10" t="str">
        <f t="shared" si="2"/>
        <v/>
      </c>
      <c r="F57" s="35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4" t="str">
        <f>IF(ISNUMBER(A58),CONVERT(Calculations!#REF!,Units_In,Units_Out),"")</f>
        <v/>
      </c>
      <c r="C58" s="34" t="str">
        <f>IF(ISNUMBER(A58),CONVERT(Calculations!#REF!,Units_In,Units_Out),"")</f>
        <v/>
      </c>
      <c r="D58" s="34" t="str">
        <f>IF(ISTEXT(Calculations!#REF!),Calculations!#REF!,"")</f>
        <v/>
      </c>
      <c r="E58" s="10" t="str">
        <f t="shared" si="2"/>
        <v/>
      </c>
      <c r="F58" s="35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4" t="str">
        <f>IF(ISNUMBER(A59),CONVERT(Calculations!#REF!,Units_In,Units_Out),"")</f>
        <v/>
      </c>
      <c r="C59" s="34" t="str">
        <f>IF(ISNUMBER(A59),CONVERT(Calculations!#REF!,Units_In,Units_Out),"")</f>
        <v/>
      </c>
      <c r="D59" s="34" t="str">
        <f>IF(ISTEXT(Calculations!#REF!),Calculations!#REF!,"")</f>
        <v/>
      </c>
      <c r="E59" s="10" t="str">
        <f t="shared" si="2"/>
        <v/>
      </c>
      <c r="F59" s="35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4" t="str">
        <f>IF(ISNUMBER(A60),CONVERT(Calculations!#REF!,Units_In,Units_Out),"")</f>
        <v/>
      </c>
      <c r="C60" s="34" t="str">
        <f>IF(ISNUMBER(A60),CONVERT(Calculations!#REF!,Units_In,Units_Out),"")</f>
        <v/>
      </c>
      <c r="D60" s="34" t="str">
        <f>IF(ISTEXT(Calculations!#REF!),Calculations!#REF!,"")</f>
        <v/>
      </c>
      <c r="E60" s="10" t="str">
        <f t="shared" si="2"/>
        <v/>
      </c>
      <c r="F60" s="35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4" t="str">
        <f>IF(ISNUMBER(A61),CONVERT(Calculations!#REF!,Units_In,Units_Out),"")</f>
        <v/>
      </c>
      <c r="C61" s="34" t="str">
        <f>IF(ISNUMBER(A61),CONVERT(Calculations!#REF!,Units_In,Units_Out),"")</f>
        <v/>
      </c>
      <c r="D61" s="34" t="str">
        <f>IF(ISTEXT(Calculations!#REF!),Calculations!#REF!,"")</f>
        <v/>
      </c>
      <c r="E61" s="10" t="str">
        <f t="shared" si="2"/>
        <v/>
      </c>
      <c r="F61" s="35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4" t="str">
        <f>IF(ISNUMBER(A62),CONVERT(Calculations!#REF!,Units_In,Units_Out),"")</f>
        <v/>
      </c>
      <c r="C62" s="34" t="str">
        <f>IF(ISNUMBER(A62),CONVERT(Calculations!#REF!,Units_In,Units_Out),"")</f>
        <v/>
      </c>
      <c r="D62" s="34" t="str">
        <f>IF(ISTEXT(Calculations!#REF!),Calculations!#REF!,"")</f>
        <v/>
      </c>
      <c r="E62" s="10" t="str">
        <f t="shared" si="2"/>
        <v/>
      </c>
      <c r="F62" s="35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4" t="str">
        <f>IF(ISNUMBER(A63),CONVERT(Calculations!#REF!,Units_In,Units_Out),"")</f>
        <v/>
      </c>
      <c r="C63" s="34" t="str">
        <f>IF(ISNUMBER(A63),CONVERT(Calculations!#REF!,Units_In,Units_Out),"")</f>
        <v/>
      </c>
      <c r="D63" s="34" t="str">
        <f>IF(ISTEXT(Calculations!#REF!),Calculations!#REF!,"")</f>
        <v/>
      </c>
      <c r="E63" s="10" t="str">
        <f t="shared" si="2"/>
        <v/>
      </c>
      <c r="F63" s="35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4" t="str">
        <f>IF(ISNUMBER(A64),CONVERT(Calculations!#REF!,Units_In,Units_Out),"")</f>
        <v/>
      </c>
      <c r="C64" s="34" t="str">
        <f>IF(ISNUMBER(A64),CONVERT(Calculations!#REF!,Units_In,Units_Out),"")</f>
        <v/>
      </c>
      <c r="D64" s="34" t="str">
        <f>IF(ISTEXT(Calculations!#REF!),Calculations!#REF!,"")</f>
        <v/>
      </c>
      <c r="E64" s="10" t="str">
        <f t="shared" si="2"/>
        <v/>
      </c>
      <c r="F64" s="35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4" t="str">
        <f>IF(ISNUMBER(A65),CONVERT(Calculations!#REF!,Units_In,Units_Out),"")</f>
        <v/>
      </c>
      <c r="C65" s="34" t="str">
        <f>IF(ISNUMBER(A65),CONVERT(Calculations!#REF!,Units_In,Units_Out),"")</f>
        <v/>
      </c>
      <c r="D65" s="34" t="str">
        <f>IF(ISTEXT(Calculations!#REF!),Calculations!#REF!,"")</f>
        <v/>
      </c>
      <c r="E65" s="10" t="str">
        <f t="shared" si="2"/>
        <v/>
      </c>
      <c r="F65" s="35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Keith Morse</cp:lastModifiedBy>
  <dcterms:created xsi:type="dcterms:W3CDTF">2011-11-09T05:33:48Z</dcterms:created>
  <dcterms:modified xsi:type="dcterms:W3CDTF">2014-05-15T15:23:08Z</dcterms:modified>
</cp:coreProperties>
</file>