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hesis\LARB\03 Thesis-Calcs\1 Data\survey\USR Survey\1 Fieldbooks\"/>
    </mc:Choice>
  </mc:AlternateContent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52511"/>
</workbook>
</file>

<file path=xl/calcChain.xml><?xml version="1.0" encoding="utf-8"?>
<calcChain xmlns="http://schemas.openxmlformats.org/spreadsheetml/2006/main">
  <c r="X45" i="1" l="1"/>
  <c r="Y45" i="1" s="1"/>
  <c r="X22" i="1"/>
  <c r="Y22" i="1" s="1"/>
  <c r="X44" i="1"/>
  <c r="Y44" i="1" s="1"/>
  <c r="X21" i="1"/>
  <c r="G45" i="1"/>
  <c r="H45" i="1" s="1"/>
  <c r="I45" i="1"/>
  <c r="J45" i="1" s="1"/>
  <c r="N45" i="1"/>
  <c r="G46" i="1"/>
  <c r="H46" i="1"/>
  <c r="K46" i="1" s="1"/>
  <c r="I46" i="1"/>
  <c r="J46" i="1"/>
  <c r="L46" i="1"/>
  <c r="N46" i="1"/>
  <c r="G47" i="1"/>
  <c r="H47" i="1" s="1"/>
  <c r="I47" i="1"/>
  <c r="J47" i="1" s="1"/>
  <c r="G48" i="1"/>
  <c r="H48" i="1" s="1"/>
  <c r="I48" i="1"/>
  <c r="J48" i="1"/>
  <c r="N48" i="1"/>
  <c r="G49" i="1"/>
  <c r="H49" i="1" s="1"/>
  <c r="I49" i="1"/>
  <c r="J49" i="1" s="1"/>
  <c r="N49" i="1"/>
  <c r="G50" i="1"/>
  <c r="H50" i="1"/>
  <c r="K50" i="1" s="1"/>
  <c r="I50" i="1"/>
  <c r="J50" i="1"/>
  <c r="L50" i="1"/>
  <c r="N50" i="1"/>
  <c r="G51" i="1"/>
  <c r="H51" i="1" s="1"/>
  <c r="I51" i="1"/>
  <c r="J51" i="1" s="1"/>
  <c r="G52" i="1"/>
  <c r="H52" i="1"/>
  <c r="K52" i="1" s="1"/>
  <c r="I52" i="1"/>
  <c r="N52" i="1" s="1"/>
  <c r="J52" i="1"/>
  <c r="L52" i="1"/>
  <c r="G53" i="1"/>
  <c r="H53" i="1" s="1"/>
  <c r="I53" i="1"/>
  <c r="J53" i="1" s="1"/>
  <c r="N53" i="1"/>
  <c r="G54" i="1"/>
  <c r="H54" i="1"/>
  <c r="K54" i="1" s="1"/>
  <c r="I54" i="1"/>
  <c r="N54" i="1" s="1"/>
  <c r="J54" i="1"/>
  <c r="G55" i="1"/>
  <c r="H55" i="1" s="1"/>
  <c r="I55" i="1"/>
  <c r="J55" i="1" s="1"/>
  <c r="N55" i="1"/>
  <c r="G56" i="1"/>
  <c r="H56" i="1"/>
  <c r="K56" i="1" s="1"/>
  <c r="I56" i="1"/>
  <c r="J56" i="1" s="1"/>
  <c r="G57" i="1"/>
  <c r="H57" i="1" s="1"/>
  <c r="L57" i="1" s="1"/>
  <c r="I57" i="1"/>
  <c r="J57" i="1" s="1"/>
  <c r="K57" i="1"/>
  <c r="N57" i="1"/>
  <c r="G58" i="1"/>
  <c r="H58" i="1" s="1"/>
  <c r="I58" i="1"/>
  <c r="J58" i="1" s="1"/>
  <c r="N58" i="1"/>
  <c r="G59" i="1"/>
  <c r="H59" i="1" s="1"/>
  <c r="K59" i="1" s="1"/>
  <c r="I59" i="1"/>
  <c r="N59" i="1" s="1"/>
  <c r="J59" i="1"/>
  <c r="G60" i="1"/>
  <c r="H60" i="1" s="1"/>
  <c r="I60" i="1"/>
  <c r="J60" i="1" s="1"/>
  <c r="N60" i="1"/>
  <c r="R12" i="1" s="1"/>
  <c r="G61" i="1"/>
  <c r="H61" i="1"/>
  <c r="K61" i="1" s="1"/>
  <c r="I61" i="1"/>
  <c r="J61" i="1" s="1"/>
  <c r="K58" i="1" l="1"/>
  <c r="L58" i="1"/>
  <c r="K48" i="1"/>
  <c r="L48" i="1"/>
  <c r="N61" i="1"/>
  <c r="P12" i="1" s="1"/>
  <c r="N56" i="1"/>
  <c r="N51" i="1"/>
  <c r="L61" i="1"/>
  <c r="L56" i="1"/>
  <c r="L59" i="1"/>
  <c r="L54" i="1"/>
  <c r="N47" i="1"/>
  <c r="AD44" i="1"/>
  <c r="AF44" i="1" s="1"/>
  <c r="Z44" i="1"/>
  <c r="AA44" i="1" s="1"/>
  <c r="AB45" i="1"/>
  <c r="AB44" i="1"/>
  <c r="AD45" i="1"/>
  <c r="AF45" i="1" s="1"/>
  <c r="Z45" i="1"/>
  <c r="AA45" i="1" s="1"/>
  <c r="AC44" i="1"/>
  <c r="AE44" i="1" s="1"/>
  <c r="L60" i="1"/>
  <c r="K60" i="1"/>
  <c r="K55" i="1"/>
  <c r="L55" i="1"/>
  <c r="K51" i="1"/>
  <c r="L51" i="1"/>
  <c r="K47" i="1"/>
  <c r="L47" i="1"/>
  <c r="K53" i="1"/>
  <c r="L53" i="1"/>
  <c r="K49" i="1"/>
  <c r="L49" i="1"/>
  <c r="K45" i="1"/>
  <c r="L45" i="1"/>
  <c r="AC45" i="1" l="1"/>
  <c r="AE45" i="1" s="1"/>
  <c r="G40" i="1" l="1"/>
  <c r="H40" i="1" s="1"/>
  <c r="I40" i="1"/>
  <c r="J40" i="1"/>
  <c r="N40" i="1"/>
  <c r="G41" i="1"/>
  <c r="H41" i="1" s="1"/>
  <c r="I41" i="1"/>
  <c r="J41" i="1"/>
  <c r="N41" i="1"/>
  <c r="G42" i="1"/>
  <c r="H42" i="1" s="1"/>
  <c r="I42" i="1"/>
  <c r="J42" i="1"/>
  <c r="N42" i="1"/>
  <c r="G43" i="1"/>
  <c r="H43" i="1" s="1"/>
  <c r="I43" i="1"/>
  <c r="J43" i="1"/>
  <c r="N43" i="1"/>
  <c r="G44" i="1"/>
  <c r="H44" i="1" s="1"/>
  <c r="I44" i="1"/>
  <c r="J44" i="1"/>
  <c r="N44" i="1"/>
  <c r="K43" i="1" l="1"/>
  <c r="L43" i="1"/>
  <c r="K41" i="1"/>
  <c r="L41" i="1"/>
  <c r="K44" i="1"/>
  <c r="L44" i="1"/>
  <c r="K42" i="1"/>
  <c r="L42" i="1"/>
  <c r="K40" i="1"/>
  <c r="L40" i="1"/>
  <c r="P5" i="1"/>
  <c r="P6" i="1"/>
  <c r="P4" i="1"/>
  <c r="O5" i="1"/>
  <c r="O6" i="1"/>
  <c r="O4" i="1"/>
  <c r="N5" i="1"/>
  <c r="N6" i="1"/>
  <c r="N4" i="1"/>
  <c r="V52" i="1" l="1"/>
  <c r="V50" i="1"/>
  <c r="V46" i="1"/>
  <c r="V57" i="1"/>
  <c r="V54" i="1"/>
  <c r="V48" i="1"/>
  <c r="V45" i="1"/>
  <c r="V47" i="1"/>
  <c r="V51" i="1"/>
  <c r="V53" i="1"/>
  <c r="V59" i="1"/>
  <c r="V58" i="1"/>
  <c r="V60" i="1"/>
  <c r="V49" i="1"/>
  <c r="V56" i="1"/>
  <c r="V55" i="1"/>
  <c r="V61" i="1"/>
  <c r="Q5" i="1"/>
  <c r="V40" i="1"/>
  <c r="V42" i="1"/>
  <c r="V44" i="1"/>
  <c r="V41" i="1"/>
  <c r="V43" i="1"/>
  <c r="Q6" i="1"/>
  <c r="Y6" i="1" l="1"/>
  <c r="X6" i="1"/>
  <c r="P10" i="1"/>
  <c r="R10" i="1"/>
  <c r="G22" i="1"/>
  <c r="H22" i="1" s="1"/>
  <c r="G23" i="1"/>
  <c r="H23" i="1" s="1"/>
  <c r="K23" i="1" s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34" i="1"/>
  <c r="H34" i="1" s="1"/>
  <c r="K34" i="1" s="1"/>
  <c r="G35" i="1"/>
  <c r="H35" i="1" s="1"/>
  <c r="L35" i="1" s="1"/>
  <c r="V35" i="1" s="1"/>
  <c r="G36" i="1"/>
  <c r="H36" i="1" s="1"/>
  <c r="G37" i="1"/>
  <c r="H37" i="1" s="1"/>
  <c r="L37" i="1" s="1"/>
  <c r="V37" i="1" s="1"/>
  <c r="G38" i="1"/>
  <c r="H38" i="1" s="1"/>
  <c r="G39" i="1"/>
  <c r="H39" i="1" s="1"/>
  <c r="K39" i="1" s="1"/>
  <c r="G21" i="1"/>
  <c r="H21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34" i="1"/>
  <c r="I35" i="1"/>
  <c r="I36" i="1"/>
  <c r="I37" i="1"/>
  <c r="I38" i="1"/>
  <c r="I39" i="1"/>
  <c r="I21" i="1"/>
  <c r="K29" i="1" l="1"/>
  <c r="K37" i="1"/>
  <c r="L32" i="1"/>
  <c r="V32" i="1" s="1"/>
  <c r="K32" i="1"/>
  <c r="K31" i="1"/>
  <c r="L31" i="1"/>
  <c r="V31" i="1" s="1"/>
  <c r="K24" i="1"/>
  <c r="L23" i="1"/>
  <c r="V23" i="1" s="1"/>
  <c r="L39" i="1"/>
  <c r="V39" i="1" s="1"/>
  <c r="K22" i="1"/>
  <c r="L22" i="1"/>
  <c r="V22" i="1" s="1"/>
  <c r="L33" i="1"/>
  <c r="V33" i="1" s="1"/>
  <c r="K33" i="1"/>
  <c r="L38" i="1"/>
  <c r="V38" i="1" s="1"/>
  <c r="K38" i="1"/>
  <c r="L21" i="1"/>
  <c r="V21" i="1" s="1"/>
  <c r="K21" i="1"/>
  <c r="K36" i="1"/>
  <c r="L36" i="1"/>
  <c r="V36" i="1" s="1"/>
  <c r="K25" i="1"/>
  <c r="L28" i="1"/>
  <c r="V28" i="1" s="1"/>
  <c r="K35" i="1"/>
  <c r="K27" i="1"/>
  <c r="L34" i="1"/>
  <c r="V34" i="1" s="1"/>
  <c r="L30" i="1"/>
  <c r="V30" i="1" s="1"/>
  <c r="K26" i="1"/>
  <c r="J33" i="1"/>
  <c r="N34" i="1"/>
  <c r="N33" i="1"/>
  <c r="N25" i="1"/>
  <c r="N21" i="1"/>
  <c r="N36" i="1"/>
  <c r="N35" i="1"/>
  <c r="N28" i="1"/>
  <c r="J36" i="1"/>
  <c r="N27" i="1"/>
  <c r="J35" i="1"/>
  <c r="N26" i="1"/>
  <c r="J24" i="1"/>
  <c r="N37" i="1"/>
  <c r="N29" i="1"/>
  <c r="J32" i="1"/>
  <c r="J28" i="1"/>
  <c r="N32" i="1"/>
  <c r="N24" i="1"/>
  <c r="J27" i="1"/>
  <c r="N39" i="1"/>
  <c r="N31" i="1"/>
  <c r="N23" i="1"/>
  <c r="J25" i="1"/>
  <c r="N38" i="1"/>
  <c r="N30" i="1"/>
  <c r="N22" i="1"/>
  <c r="R11" i="1" s="1"/>
  <c r="J34" i="1"/>
  <c r="J26" i="1"/>
  <c r="J39" i="1"/>
  <c r="J31" i="1"/>
  <c r="J23" i="1"/>
  <c r="J38" i="1"/>
  <c r="J30" i="1"/>
  <c r="J22" i="1"/>
  <c r="J37" i="1"/>
  <c r="J21" i="1"/>
  <c r="R14" i="1" l="1"/>
  <c r="P11" i="1"/>
  <c r="P14" i="1" s="1"/>
  <c r="R15" i="1"/>
  <c r="P15" i="1"/>
  <c r="O17" i="1" l="1"/>
  <c r="H3" i="2"/>
  <c r="H4" i="2"/>
  <c r="H2" i="2"/>
  <c r="O46" i="1" l="1"/>
  <c r="P46" i="1" s="1"/>
  <c r="Q46" i="1" s="1"/>
  <c r="O48" i="1"/>
  <c r="P48" i="1" s="1"/>
  <c r="Q48" i="1" s="1"/>
  <c r="O50" i="1"/>
  <c r="P50" i="1" s="1"/>
  <c r="Q50" i="1" s="1"/>
  <c r="O52" i="1"/>
  <c r="P52" i="1" s="1"/>
  <c r="Q52" i="1" s="1"/>
  <c r="O54" i="1"/>
  <c r="P54" i="1" s="1"/>
  <c r="Q54" i="1" s="1"/>
  <c r="O45" i="1"/>
  <c r="P45" i="1" s="1"/>
  <c r="Q45" i="1" s="1"/>
  <c r="O47" i="1"/>
  <c r="P47" i="1" s="1"/>
  <c r="Q47" i="1" s="1"/>
  <c r="O49" i="1"/>
  <c r="P49" i="1" s="1"/>
  <c r="Q49" i="1" s="1"/>
  <c r="O51" i="1"/>
  <c r="P51" i="1" s="1"/>
  <c r="Q51" i="1" s="1"/>
  <c r="O53" i="1"/>
  <c r="P53" i="1" s="1"/>
  <c r="Q53" i="1" s="1"/>
  <c r="O55" i="1"/>
  <c r="P55" i="1" s="1"/>
  <c r="Q55" i="1" s="1"/>
  <c r="O57" i="1"/>
  <c r="P57" i="1" s="1"/>
  <c r="Q57" i="1" s="1"/>
  <c r="O56" i="1"/>
  <c r="P56" i="1" s="1"/>
  <c r="Q56" i="1" s="1"/>
  <c r="O61" i="1"/>
  <c r="P61" i="1" s="1"/>
  <c r="Q61" i="1" s="1"/>
  <c r="O60" i="1"/>
  <c r="P60" i="1" s="1"/>
  <c r="Q60" i="1" s="1"/>
  <c r="O58" i="1"/>
  <c r="P58" i="1" s="1"/>
  <c r="Q58" i="1" s="1"/>
  <c r="O59" i="1"/>
  <c r="P59" i="1" s="1"/>
  <c r="Q59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0" i="1"/>
  <c r="P40" i="1" s="1"/>
  <c r="Q40" i="1" s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S58" i="1" l="1"/>
  <c r="U58" i="1" s="1"/>
  <c r="R58" i="1"/>
  <c r="T58" i="1" s="1"/>
  <c r="X58" i="1" s="1"/>
  <c r="S61" i="1"/>
  <c r="U61" i="1" s="1"/>
  <c r="R61" i="1"/>
  <c r="T61" i="1" s="1"/>
  <c r="X61" i="1" s="1"/>
  <c r="R57" i="1"/>
  <c r="T57" i="1" s="1"/>
  <c r="X57" i="1" s="1"/>
  <c r="S57" i="1"/>
  <c r="U57" i="1" s="1"/>
  <c r="R53" i="1"/>
  <c r="T53" i="1" s="1"/>
  <c r="X53" i="1" s="1"/>
  <c r="S53" i="1"/>
  <c r="U53" i="1" s="1"/>
  <c r="R49" i="1"/>
  <c r="T49" i="1" s="1"/>
  <c r="X49" i="1" s="1"/>
  <c r="S49" i="1"/>
  <c r="U49" i="1" s="1"/>
  <c r="R45" i="1"/>
  <c r="T45" i="1" s="1"/>
  <c r="S45" i="1"/>
  <c r="U45" i="1" s="1"/>
  <c r="S52" i="1"/>
  <c r="U52" i="1" s="1"/>
  <c r="B36" i="2" s="1"/>
  <c r="R52" i="1"/>
  <c r="T52" i="1" s="1"/>
  <c r="X52" i="1" s="1"/>
  <c r="S48" i="1"/>
  <c r="U48" i="1" s="1"/>
  <c r="R48" i="1"/>
  <c r="T48" i="1" s="1"/>
  <c r="X48" i="1" s="1"/>
  <c r="R59" i="1"/>
  <c r="T59" i="1" s="1"/>
  <c r="X59" i="1" s="1"/>
  <c r="S59" i="1"/>
  <c r="U59" i="1" s="1"/>
  <c r="R60" i="1"/>
  <c r="T60" i="1" s="1"/>
  <c r="X60" i="1" s="1"/>
  <c r="S60" i="1"/>
  <c r="U60" i="1" s="1"/>
  <c r="S56" i="1"/>
  <c r="U56" i="1" s="1"/>
  <c r="R56" i="1"/>
  <c r="T56" i="1" s="1"/>
  <c r="X56" i="1" s="1"/>
  <c r="R55" i="1"/>
  <c r="T55" i="1" s="1"/>
  <c r="X55" i="1" s="1"/>
  <c r="S55" i="1"/>
  <c r="U55" i="1" s="1"/>
  <c r="R51" i="1"/>
  <c r="T51" i="1" s="1"/>
  <c r="X51" i="1" s="1"/>
  <c r="S51" i="1"/>
  <c r="U51" i="1" s="1"/>
  <c r="R47" i="1"/>
  <c r="T47" i="1" s="1"/>
  <c r="X47" i="1" s="1"/>
  <c r="S47" i="1"/>
  <c r="U47" i="1" s="1"/>
  <c r="R54" i="1"/>
  <c r="T54" i="1" s="1"/>
  <c r="X54" i="1" s="1"/>
  <c r="S54" i="1"/>
  <c r="U54" i="1" s="1"/>
  <c r="R50" i="1"/>
  <c r="T50" i="1" s="1"/>
  <c r="X50" i="1" s="1"/>
  <c r="S50" i="1"/>
  <c r="U50" i="1" s="1"/>
  <c r="R46" i="1"/>
  <c r="T46" i="1" s="1"/>
  <c r="X46" i="1" s="1"/>
  <c r="S46" i="1"/>
  <c r="U46" i="1" s="1"/>
  <c r="R40" i="1"/>
  <c r="T40" i="1" s="1"/>
  <c r="X40" i="1" s="1"/>
  <c r="S40" i="1"/>
  <c r="U40" i="1" s="1"/>
  <c r="S44" i="1"/>
  <c r="U44" i="1" s="1"/>
  <c r="R44" i="1"/>
  <c r="T44" i="1" s="1"/>
  <c r="S43" i="1"/>
  <c r="U43" i="1" s="1"/>
  <c r="R43" i="1"/>
  <c r="T43" i="1" s="1"/>
  <c r="X43" i="1" s="1"/>
  <c r="R42" i="1"/>
  <c r="T42" i="1" s="1"/>
  <c r="X42" i="1" s="1"/>
  <c r="S42" i="1"/>
  <c r="U42" i="1" s="1"/>
  <c r="R41" i="1"/>
  <c r="T41" i="1" s="1"/>
  <c r="X41" i="1" s="1"/>
  <c r="S41" i="1"/>
  <c r="U41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Y61" i="1" l="1"/>
  <c r="Y60" i="1"/>
  <c r="Y41" i="1"/>
  <c r="Y43" i="1"/>
  <c r="Y42" i="1"/>
  <c r="Y40" i="1"/>
  <c r="E36" i="2"/>
  <c r="Y46" i="1"/>
  <c r="Y50" i="1"/>
  <c r="Y54" i="1"/>
  <c r="Y47" i="1"/>
  <c r="Y51" i="1"/>
  <c r="Y55" i="1"/>
  <c r="Y59" i="1"/>
  <c r="Y49" i="1"/>
  <c r="Y53" i="1"/>
  <c r="Y57" i="1"/>
  <c r="Y58" i="1"/>
  <c r="Y56" i="1"/>
  <c r="Y48" i="1"/>
  <c r="Y52" i="1"/>
  <c r="E37" i="2"/>
  <c r="X4" i="1"/>
  <c r="Y4" i="1"/>
  <c r="Y5" i="1" l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34" i="1"/>
  <c r="O36" i="1"/>
  <c r="O38" i="1"/>
  <c r="O23" i="1"/>
  <c r="O25" i="1"/>
  <c r="O27" i="1"/>
  <c r="O29" i="1"/>
  <c r="O31" i="1"/>
  <c r="O33" i="1"/>
  <c r="O35" i="1"/>
  <c r="O37" i="1"/>
  <c r="O39" i="1"/>
  <c r="P39" i="1" l="1"/>
  <c r="P23" i="1"/>
  <c r="P36" i="1"/>
  <c r="P37" i="1"/>
  <c r="P34" i="1"/>
  <c r="P35" i="1"/>
  <c r="P32" i="1"/>
  <c r="P33" i="1"/>
  <c r="P30" i="1"/>
  <c r="P31" i="1"/>
  <c r="P28" i="1"/>
  <c r="P29" i="1"/>
  <c r="P26" i="1"/>
  <c r="P27" i="1"/>
  <c r="P24" i="1"/>
  <c r="P25" i="1"/>
  <c r="P38" i="1"/>
  <c r="P22" i="1"/>
  <c r="R21" i="1"/>
  <c r="T21" i="1" s="1"/>
  <c r="S21" i="1"/>
  <c r="U21" i="1" s="1"/>
  <c r="X5" i="1"/>
  <c r="X8" i="1" s="1"/>
  <c r="X11" i="1" s="1"/>
  <c r="W56" i="1" l="1"/>
  <c r="W52" i="1"/>
  <c r="W58" i="1"/>
  <c r="W50" i="1"/>
  <c r="W47" i="1"/>
  <c r="W55" i="1"/>
  <c r="W59" i="1"/>
  <c r="W49" i="1"/>
  <c r="W57" i="1"/>
  <c r="W48" i="1"/>
  <c r="W61" i="1"/>
  <c r="W46" i="1"/>
  <c r="W54" i="1"/>
  <c r="W51" i="1"/>
  <c r="W60" i="1"/>
  <c r="W45" i="1"/>
  <c r="W53" i="1"/>
  <c r="W42" i="1"/>
  <c r="W41" i="1"/>
  <c r="W40" i="1"/>
  <c r="W43" i="1"/>
  <c r="W44" i="1"/>
  <c r="Q27" i="1"/>
  <c r="S27" i="1" s="1"/>
  <c r="U27" i="1" s="1"/>
  <c r="C11" i="2" s="1"/>
  <c r="Q31" i="1"/>
  <c r="S31" i="1" s="1"/>
  <c r="U31" i="1" s="1"/>
  <c r="C15" i="2" s="1"/>
  <c r="Q35" i="1"/>
  <c r="R35" i="1" s="1"/>
  <c r="T35" i="1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Q34" i="1"/>
  <c r="R34" i="1" s="1"/>
  <c r="T34" i="1" s="1"/>
  <c r="Q38" i="1"/>
  <c r="S38" i="1" s="1"/>
  <c r="U38" i="1" s="1"/>
  <c r="C22" i="2" s="1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Q37" i="1"/>
  <c r="R37" i="1" s="1"/>
  <c r="T37" i="1" s="1"/>
  <c r="X37" i="1" s="1"/>
  <c r="B29" i="2"/>
  <c r="C33" i="2"/>
  <c r="Q36" i="1"/>
  <c r="R36" i="1" s="1"/>
  <c r="T36" i="1" s="1"/>
  <c r="Q24" i="1"/>
  <c r="R24" i="1" s="1"/>
  <c r="T24" i="1" s="1"/>
  <c r="Q28" i="1"/>
  <c r="R28" i="1" s="1"/>
  <c r="T28" i="1" s="1"/>
  <c r="Q32" i="1"/>
  <c r="R32" i="1" s="1"/>
  <c r="T32" i="1" s="1"/>
  <c r="Q23" i="1"/>
  <c r="R23" i="1" s="1"/>
  <c r="T23" i="1" s="1"/>
  <c r="B24" i="2"/>
  <c r="B28" i="2"/>
  <c r="B32" i="2"/>
  <c r="Q39" i="1"/>
  <c r="C5" i="2"/>
  <c r="B5" i="2"/>
  <c r="W21" i="1"/>
  <c r="X13" i="1" l="1"/>
  <c r="B7" i="2"/>
  <c r="X23" i="1"/>
  <c r="B16" i="2"/>
  <c r="X32" i="1"/>
  <c r="B8" i="2"/>
  <c r="X24" i="1"/>
  <c r="W34" i="1"/>
  <c r="X34" i="1"/>
  <c r="B12" i="2"/>
  <c r="X28" i="1"/>
  <c r="B20" i="2"/>
  <c r="X36" i="1"/>
  <c r="B19" i="2"/>
  <c r="X35" i="1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R38" i="1"/>
  <c r="T38" i="1" s="1"/>
  <c r="X38" i="1" s="1"/>
  <c r="S37" i="1"/>
  <c r="U37" i="1" s="1"/>
  <c r="C21" i="2" s="1"/>
  <c r="S25" i="1"/>
  <c r="U25" i="1" s="1"/>
  <c r="C9" i="2" s="1"/>
  <c r="C25" i="2"/>
  <c r="C26" i="2"/>
  <c r="B26" i="2"/>
  <c r="B25" i="2"/>
  <c r="W25" i="1"/>
  <c r="B9" i="2"/>
  <c r="W37" i="1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E12" i="2" s="1"/>
  <c r="C35" i="2"/>
  <c r="E35" i="2" s="1"/>
  <c r="R31" i="1"/>
  <c r="T31" i="1" s="1"/>
  <c r="X31" i="1" s="1"/>
  <c r="S35" i="1"/>
  <c r="U35" i="1" s="1"/>
  <c r="C19" i="2" s="1"/>
  <c r="R39" i="1"/>
  <c r="T39" i="1" s="1"/>
  <c r="X39" i="1" s="1"/>
  <c r="S39" i="1"/>
  <c r="U39" i="1" s="1"/>
  <c r="C23" i="2" s="1"/>
  <c r="C24" i="2"/>
  <c r="E24" i="2" s="1"/>
  <c r="S34" i="1"/>
  <c r="U34" i="1" s="1"/>
  <c r="C18" i="2" s="1"/>
  <c r="S24" i="1"/>
  <c r="U24" i="1" s="1"/>
  <c r="C8" i="2" s="1"/>
  <c r="E8" i="2" s="1"/>
  <c r="S36" i="1"/>
  <c r="U36" i="1" s="1"/>
  <c r="C20" i="2" s="1"/>
  <c r="E20" i="2" s="1"/>
  <c r="R27" i="1"/>
  <c r="T27" i="1" s="1"/>
  <c r="X27" i="1" s="1"/>
  <c r="W23" i="1"/>
  <c r="B21" i="2"/>
  <c r="B18" i="2"/>
  <c r="W24" i="1"/>
  <c r="W28" i="1"/>
  <c r="W36" i="1"/>
  <c r="B30" i="2"/>
  <c r="W35" i="1"/>
  <c r="E5" i="2"/>
  <c r="AD21" i="1"/>
  <c r="Y21" i="1"/>
  <c r="Z21" i="1"/>
  <c r="AB21" i="1"/>
  <c r="AD22" i="1"/>
  <c r="E7" i="2" l="1"/>
  <c r="E30" i="2"/>
  <c r="E19" i="2"/>
  <c r="E16" i="2"/>
  <c r="Y27" i="1"/>
  <c r="Y39" i="1"/>
  <c r="Y31" i="1"/>
  <c r="Y29" i="1"/>
  <c r="B17" i="2"/>
  <c r="E17" i="2" s="1"/>
  <c r="X33" i="1"/>
  <c r="Y35" i="1"/>
  <c r="Y36" i="1"/>
  <c r="Y28" i="1"/>
  <c r="Y34" i="1"/>
  <c r="Y24" i="1"/>
  <c r="Y32" i="1"/>
  <c r="Y23" i="1"/>
  <c r="Y26" i="1"/>
  <c r="Y38" i="1"/>
  <c r="Y30" i="1"/>
  <c r="Y25" i="1"/>
  <c r="Y37" i="1"/>
  <c r="B14" i="2"/>
  <c r="E14" i="2" s="1"/>
  <c r="W30" i="1"/>
  <c r="E26" i="2"/>
  <c r="B27" i="2"/>
  <c r="E27" i="2" s="1"/>
  <c r="E21" i="2"/>
  <c r="W38" i="1"/>
  <c r="W33" i="1"/>
  <c r="B22" i="2"/>
  <c r="E22" i="2" s="1"/>
  <c r="E9" i="2"/>
  <c r="E25" i="2"/>
  <c r="B34" i="2"/>
  <c r="E34" i="2" s="1"/>
  <c r="B23" i="2"/>
  <c r="E23" i="2" s="1"/>
  <c r="W39" i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C21" i="1"/>
  <c r="AA21" i="1"/>
  <c r="AB22" i="1"/>
  <c r="Y33" i="1" l="1"/>
  <c r="AD60" i="1" l="1"/>
  <c r="AF60" i="1" s="1"/>
  <c r="AD61" i="1"/>
  <c r="AF61" i="1" s="1"/>
  <c r="AD38" i="1"/>
  <c r="AF38" i="1" s="1"/>
  <c r="AD39" i="1"/>
  <c r="AF39" i="1" s="1"/>
  <c r="AD33" i="1"/>
  <c r="AF33" i="1" s="1"/>
  <c r="AD26" i="1"/>
  <c r="AF26" i="1" s="1"/>
  <c r="AD27" i="1"/>
  <c r="AF27" i="1" s="1"/>
  <c r="AD40" i="1"/>
  <c r="AF40" i="1" s="1"/>
  <c r="AD43" i="1"/>
  <c r="AF43" i="1" s="1"/>
  <c r="AD42" i="1"/>
  <c r="AF42" i="1" s="1"/>
  <c r="AD41" i="1"/>
  <c r="AF41" i="1" s="1"/>
  <c r="AD37" i="1"/>
  <c r="AF37" i="1" s="1"/>
  <c r="AD36" i="1"/>
  <c r="AF36" i="1" s="1"/>
  <c r="AD28" i="1"/>
  <c r="AF28" i="1" s="1"/>
  <c r="AD24" i="1"/>
  <c r="AF24" i="1" s="1"/>
  <c r="AD32" i="1"/>
  <c r="AF32" i="1" s="1"/>
  <c r="AD25" i="1"/>
  <c r="AF25" i="1" s="1"/>
  <c r="AD35" i="1"/>
  <c r="AF35" i="1" s="1"/>
  <c r="AD34" i="1"/>
  <c r="AF34" i="1" s="1"/>
  <c r="AD30" i="1"/>
  <c r="AF30" i="1" s="1"/>
  <c r="AD29" i="1"/>
  <c r="AF29" i="1" s="1"/>
  <c r="AD31" i="1"/>
  <c r="AF31" i="1" s="1"/>
  <c r="AD51" i="1"/>
  <c r="AF51" i="1" s="1"/>
  <c r="AD48" i="1"/>
  <c r="AF48" i="1" s="1"/>
  <c r="AD55" i="1"/>
  <c r="AF55" i="1" s="1"/>
  <c r="AD52" i="1"/>
  <c r="AF52" i="1" s="1"/>
  <c r="AD54" i="1"/>
  <c r="AF54" i="1" s="1"/>
  <c r="AD59" i="1"/>
  <c r="AF59" i="1" s="1"/>
  <c r="AD58" i="1"/>
  <c r="AF58" i="1" s="1"/>
  <c r="AD46" i="1"/>
  <c r="AF46" i="1" s="1"/>
  <c r="AD49" i="1"/>
  <c r="AF49" i="1" s="1"/>
  <c r="AD50" i="1"/>
  <c r="AF50" i="1" s="1"/>
  <c r="AD53" i="1"/>
  <c r="AF53" i="1" s="1"/>
  <c r="AD57" i="1"/>
  <c r="AF57" i="1" s="1"/>
  <c r="AD47" i="1"/>
  <c r="AF47" i="1" s="1"/>
  <c r="AD56" i="1"/>
  <c r="AF56" i="1" s="1"/>
  <c r="AD23" i="1"/>
  <c r="AF23" i="1" s="1"/>
  <c r="Z22" i="1" l="1"/>
  <c r="AA22" i="1" s="1"/>
  <c r="AC22" i="1" l="1"/>
  <c r="AC4" i="1"/>
  <c r="AC3" i="1"/>
  <c r="AC6" i="1" s="1"/>
  <c r="Z61" i="1" l="1"/>
  <c r="Z60" i="1"/>
  <c r="Z41" i="1"/>
  <c r="Z43" i="1"/>
  <c r="Z42" i="1"/>
  <c r="Z40" i="1"/>
  <c r="Z37" i="1"/>
  <c r="Z25" i="1"/>
  <c r="Z27" i="1"/>
  <c r="Z39" i="1"/>
  <c r="Z31" i="1"/>
  <c r="Z29" i="1"/>
  <c r="Z35" i="1"/>
  <c r="Z26" i="1"/>
  <c r="Z38" i="1"/>
  <c r="Z30" i="1"/>
  <c r="Z36" i="1"/>
  <c r="Z28" i="1"/>
  <c r="Z34" i="1"/>
  <c r="Z24" i="1"/>
  <c r="Z32" i="1"/>
  <c r="Z33" i="1"/>
  <c r="Z56" i="1"/>
  <c r="Z52" i="1"/>
  <c r="Z48" i="1"/>
  <c r="Z58" i="1"/>
  <c r="Z46" i="1"/>
  <c r="Z50" i="1"/>
  <c r="Z54" i="1"/>
  <c r="Z47" i="1"/>
  <c r="Z51" i="1"/>
  <c r="Z55" i="1"/>
  <c r="Z59" i="1"/>
  <c r="Z49" i="1"/>
  <c r="Z53" i="1"/>
  <c r="Z57" i="1"/>
  <c r="Z23" i="1"/>
  <c r="AA23" i="1" s="1"/>
  <c r="AA60" i="1" l="1"/>
  <c r="AA61" i="1"/>
  <c r="AB61" i="1"/>
  <c r="AA33" i="1"/>
  <c r="AC33" i="1" s="1"/>
  <c r="AE33" i="1" s="1"/>
  <c r="AB33" i="1"/>
  <c r="AA24" i="1"/>
  <c r="AC24" i="1" s="1"/>
  <c r="AE24" i="1" s="1"/>
  <c r="AA28" i="1"/>
  <c r="AC28" i="1" s="1"/>
  <c r="AE28" i="1" s="1"/>
  <c r="AB28" i="1"/>
  <c r="AA30" i="1"/>
  <c r="AC30" i="1" s="1"/>
  <c r="AE30" i="1" s="1"/>
  <c r="AA26" i="1"/>
  <c r="AC26" i="1" s="1"/>
  <c r="AE26" i="1" s="1"/>
  <c r="AA29" i="1"/>
  <c r="AC29" i="1" s="1"/>
  <c r="AE29" i="1" s="1"/>
  <c r="AA39" i="1"/>
  <c r="AC39" i="1" s="1"/>
  <c r="AE39" i="1" s="1"/>
  <c r="AA25" i="1"/>
  <c r="AC25" i="1" s="1"/>
  <c r="AE25" i="1" s="1"/>
  <c r="AA40" i="1"/>
  <c r="AC40" i="1" s="1"/>
  <c r="AE40" i="1" s="1"/>
  <c r="AA43" i="1"/>
  <c r="AC43" i="1" s="1"/>
  <c r="AE43" i="1" s="1"/>
  <c r="AA32" i="1"/>
  <c r="AC32" i="1" s="1"/>
  <c r="AE32" i="1" s="1"/>
  <c r="AB32" i="1"/>
  <c r="AA34" i="1"/>
  <c r="AC34" i="1" s="1"/>
  <c r="AE34" i="1" s="1"/>
  <c r="AA36" i="1"/>
  <c r="AC36" i="1" s="1"/>
  <c r="AE36" i="1" s="1"/>
  <c r="AA38" i="1"/>
  <c r="AC38" i="1" s="1"/>
  <c r="AE38" i="1" s="1"/>
  <c r="AA35" i="1"/>
  <c r="AC35" i="1" s="1"/>
  <c r="AE35" i="1" s="1"/>
  <c r="AB35" i="1"/>
  <c r="AA31" i="1"/>
  <c r="AC31" i="1" s="1"/>
  <c r="AE31" i="1" s="1"/>
  <c r="AA27" i="1"/>
  <c r="AC27" i="1" s="1"/>
  <c r="AE27" i="1" s="1"/>
  <c r="AA37" i="1"/>
  <c r="AC37" i="1" s="1"/>
  <c r="AE37" i="1" s="1"/>
  <c r="AA42" i="1"/>
  <c r="AC42" i="1" s="1"/>
  <c r="AE42" i="1" s="1"/>
  <c r="AA41" i="1"/>
  <c r="AC41" i="1" s="1"/>
  <c r="AE41" i="1" s="1"/>
  <c r="AA53" i="1"/>
  <c r="AB53" i="1" s="1"/>
  <c r="AA51" i="1"/>
  <c r="AA46" i="1"/>
  <c r="AC46" i="1" s="1"/>
  <c r="AE46" i="1" s="1"/>
  <c r="AA57" i="1"/>
  <c r="AB57" i="1" s="1"/>
  <c r="AA49" i="1"/>
  <c r="AA55" i="1"/>
  <c r="AA47" i="1"/>
  <c r="AA50" i="1"/>
  <c r="AA58" i="1"/>
  <c r="AA52" i="1"/>
  <c r="AA59" i="1"/>
  <c r="AC59" i="1" s="1"/>
  <c r="AE59" i="1" s="1"/>
  <c r="AA54" i="1"/>
  <c r="AA48" i="1"/>
  <c r="AA56" i="1"/>
  <c r="AC23" i="1"/>
  <c r="AE23" i="1" s="1"/>
  <c r="AB23" i="1"/>
  <c r="AC48" i="1" l="1"/>
  <c r="AE48" i="1" s="1"/>
  <c r="AC49" i="1"/>
  <c r="AE49" i="1" s="1"/>
  <c r="AC58" i="1"/>
  <c r="AE58" i="1" s="1"/>
  <c r="AC47" i="1"/>
  <c r="AE47" i="1" s="1"/>
  <c r="AC61" i="1"/>
  <c r="AE61" i="1" s="1"/>
  <c r="AC60" i="1"/>
  <c r="AE60" i="1" s="1"/>
  <c r="AB39" i="1"/>
  <c r="AB42" i="1"/>
  <c r="AB37" i="1"/>
  <c r="AB27" i="1"/>
  <c r="AB38" i="1"/>
  <c r="AB36" i="1"/>
  <c r="AB43" i="1"/>
  <c r="AB40" i="1"/>
  <c r="AB29" i="1"/>
  <c r="AB26" i="1"/>
  <c r="AB24" i="1"/>
  <c r="AB60" i="1"/>
  <c r="AB41" i="1"/>
  <c r="AB31" i="1"/>
  <c r="AB34" i="1"/>
  <c r="AB25" i="1"/>
  <c r="AB30" i="1"/>
  <c r="AC56" i="1"/>
  <c r="AE56" i="1" s="1"/>
  <c r="AC54" i="1"/>
  <c r="AE54" i="1" s="1"/>
  <c r="AC52" i="1"/>
  <c r="AE52" i="1" s="1"/>
  <c r="AC50" i="1"/>
  <c r="AE50" i="1" s="1"/>
  <c r="AB47" i="1"/>
  <c r="AC55" i="1"/>
  <c r="AE55" i="1" s="1"/>
  <c r="AB58" i="1"/>
  <c r="AB49" i="1"/>
  <c r="AB48" i="1"/>
  <c r="AB54" i="1"/>
  <c r="AB59" i="1"/>
  <c r="AB50" i="1"/>
  <c r="AB46" i="1"/>
  <c r="AC51" i="1"/>
  <c r="AE51" i="1" s="1"/>
  <c r="AC53" i="1"/>
  <c r="AE53" i="1" s="1"/>
  <c r="AB56" i="1"/>
  <c r="AB52" i="1"/>
  <c r="AB55" i="1"/>
  <c r="AC57" i="1"/>
  <c r="AE57" i="1" s="1"/>
  <c r="AB51" i="1"/>
  <c r="AI49" i="1" l="1"/>
  <c r="AI46" i="1"/>
  <c r="AI48" i="1"/>
  <c r="AJ48" i="1" s="1"/>
  <c r="AI47" i="1"/>
  <c r="AJ47" i="1" s="1"/>
  <c r="AI59" i="1"/>
  <c r="AJ59" i="1" s="1"/>
  <c r="AI57" i="1"/>
  <c r="AJ57" i="1" s="1"/>
  <c r="AI51" i="1"/>
  <c r="AJ51" i="1" s="1"/>
  <c r="AI56" i="1"/>
  <c r="AJ56" i="1" s="1"/>
  <c r="AI52" i="1"/>
  <c r="AJ52" i="1" s="1"/>
  <c r="AI55" i="1"/>
  <c r="AJ55" i="1" s="1"/>
  <c r="AI53" i="1"/>
  <c r="AJ53" i="1" s="1"/>
  <c r="AI58" i="1"/>
  <c r="AJ58" i="1" s="1"/>
  <c r="AI54" i="1"/>
  <c r="AJ54" i="1" s="1"/>
  <c r="AI50" i="1"/>
  <c r="AJ50" i="1" s="1"/>
  <c r="AC9" i="1"/>
  <c r="AJ46" i="1"/>
  <c r="AJ49" i="1"/>
  <c r="AC10" i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 shape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 shape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 shape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 shape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 shape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<sst xmlns="http://schemas.openxmlformats.org/spreadsheetml/2006/main" count="109" uniqueCount="96">
  <si>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</si>
  <si>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</si>
  <si>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</si>
  <si>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</si>
  <si>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</si>
  <si>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</si>
  <si>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</si>
  <si>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</si>
  <si>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</si>
  <si>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</si>
  <si>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</si>
  <si>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</si>
  <si>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</si>
  <si>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</si>
  <si>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</si>
  <si>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</si>
  <si>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</si>
  <si>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</si>
  <si>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</si>
  <si>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</si>
  <si>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</si>
  <si>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</si>
  <si>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</si>
  <si>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</si>
  <si>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</si>
  <si>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</si>
  <si>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</si>
  <si>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</si>
  <si>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</si>
  <si>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</si>
  <si>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</si>
  <si>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</si>
  <si>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</si>
  <si>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</si>
  <si>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</si>
  <si>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</si>
  <si>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</si>
  <si>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</si>
  <si>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</si>
  <si>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</si>
  <si>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</si>
  <si>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</si>
  <si>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</si>
  <si>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</si>
  <si>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</si>
  <si>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</si>
  <si>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</si>
  <si>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</si>
  <si>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</si>
  <si>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</si>
  <si>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</si>
  <si>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</si>
  <si>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</si>
  <si>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</si>
  <si>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</si>
  <si>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</si>
  <si>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</si>
  <si>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</si>
  <si>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</si>
  <si>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</si>
  <si>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</si>
  <si>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</si>
  <si>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</si>
  <si>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</si>
  <si>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</si>
  <si>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</si>
  <si>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</si>
  <si>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</si>
  <si>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</si>
  <si>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</si>
  <si>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WS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</si>
  <si>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</si>
  <si>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</si>
  <si>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</si>
  <si>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</si>
  <si>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</si>
  <si>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</si>
  <si>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</si>
  <si>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</si>
  <si>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</si>
  <si>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</si>
  <si>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</si>
  <si>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</si>
  <si>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</si>
  <si>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</si>
  <si>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</si>
  <si>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1,467197.943,1062697.635,1262.280,</t>
  </si>
  <si>
    <t>2,467224.034,1062707.245,1263.247,</t>
  </si>
  <si>
    <t>3,467219.321,1062714.587,1261.248,</t>
  </si>
  <si>
    <t>BS/ZERO</t>
  </si>
  <si>
    <t>DAM LOW</t>
  </si>
  <si>
    <t>DAM HIGH</t>
  </si>
  <si>
    <t>START DS</t>
  </si>
  <si>
    <t>WS?</t>
  </si>
  <si>
    <t>91:52:93</t>
  </si>
  <si>
    <t>CSS5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</si>
</sst>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Calculations!$AH$46:$AH$66</c:f>
              <c:numCache>
                <c:formatCode>General</c:formatCode>
                <c:ptCount val="21"/>
                <c:pt idx="0">
                  <c:v>0</c:v>
                </c:pt>
                <c:pt idx="1">
                  <c:v>10.61</c:v>
                </c:pt>
                <c:pt idx="2">
                  <c:v>32.51</c:v>
                </c:pt>
                <c:pt idx="3">
                  <c:v>48.73</c:v>
                </c:pt>
                <c:pt idx="4">
                  <c:v>85.44</c:v>
                </c:pt>
                <c:pt idx="5">
                  <c:v>95.55</c:v>
                </c:pt>
                <c:pt idx="6">
                  <c:v>147.34</c:v>
                </c:pt>
                <c:pt idx="7">
                  <c:v>201.65</c:v>
                </c:pt>
                <c:pt idx="8">
                  <c:v>244.32</c:v>
                </c:pt>
                <c:pt idx="9">
                  <c:v>244.58</c:v>
                </c:pt>
                <c:pt idx="10">
                  <c:v>259.55</c:v>
                </c:pt>
                <c:pt idx="11">
                  <c:v>272.66000000000003</c:v>
                </c:pt>
                <c:pt idx="12">
                  <c:v>349.3</c:v>
                </c:pt>
                <c:pt idx="13">
                  <c:v>381.06</c:v>
                </c:pt>
              </c:numCache>
            </c:numRef>
          </c:xVal>
          <c:yVal>
            <c:numRef>
              <c:f>Calculations!$AI$46:$AI$66</c:f>
              <c:numCache>
                <c:formatCode>General</c:formatCode>
                <c:ptCount val="21"/>
                <c:pt idx="0">
                  <c:v>16.2</c:v>
                </c:pt>
                <c:pt idx="1">
                  <c:v>9.67</c:v>
                </c:pt>
                <c:pt idx="2">
                  <c:v>4.72</c:v>
                </c:pt>
                <c:pt idx="3">
                  <c:v>3.79</c:v>
                </c:pt>
                <c:pt idx="4">
                  <c:v>2.41</c:v>
                </c:pt>
                <c:pt idx="5">
                  <c:v>1.42</c:v>
                </c:pt>
                <c:pt idx="6">
                  <c:v>0</c:v>
                </c:pt>
                <c:pt idx="7">
                  <c:v>2.35</c:v>
                </c:pt>
                <c:pt idx="8">
                  <c:v>3.73</c:v>
                </c:pt>
                <c:pt idx="9">
                  <c:v>3.7</c:v>
                </c:pt>
                <c:pt idx="10">
                  <c:v>3.76</c:v>
                </c:pt>
                <c:pt idx="11">
                  <c:v>5.23</c:v>
                </c:pt>
                <c:pt idx="12">
                  <c:v>5.15</c:v>
                </c:pt>
                <c:pt idx="13">
                  <c:v>9.94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34528"/>
        <c:axId val="331905040"/>
      </c:scatterChart>
      <c:valAx>
        <c:axId val="3148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1905040"/>
        <c:crosses val="autoZero"/>
        <c:crossBetween val="midCat"/>
      </c:valAx>
      <c:valAx>
        <c:axId val="33190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483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Calculations!$R$46:$R$59</c:f>
              <c:numCache>
                <c:formatCode>0.00</c:formatCode>
                <c:ptCount val="14"/>
                <c:pt idx="0">
                  <c:v>42.510524295499359</c:v>
                </c:pt>
                <c:pt idx="1">
                  <c:v>42.173357943835306</c:v>
                </c:pt>
                <c:pt idx="2">
                  <c:v>41.172699767039532</c:v>
                </c:pt>
                <c:pt idx="3">
                  <c:v>40.150075024282764</c:v>
                </c:pt>
                <c:pt idx="4">
                  <c:v>37.619243139047526</c:v>
                </c:pt>
                <c:pt idx="5">
                  <c:v>36.77363032225945</c:v>
                </c:pt>
                <c:pt idx="6">
                  <c:v>32.845548668506609</c:v>
                </c:pt>
                <c:pt idx="7">
                  <c:v>28.270649131004248</c:v>
                </c:pt>
                <c:pt idx="8">
                  <c:v>24.679329222342933</c:v>
                </c:pt>
                <c:pt idx="9">
                  <c:v>24.684752138804775</c:v>
                </c:pt>
                <c:pt idx="10">
                  <c:v>23.802290202344487</c:v>
                </c:pt>
                <c:pt idx="11">
                  <c:v>23.097870225032086</c:v>
                </c:pt>
                <c:pt idx="12">
                  <c:v>26.156749044658685</c:v>
                </c:pt>
                <c:pt idx="13">
                  <c:v>27.565960713139983</c:v>
                </c:pt>
              </c:numCache>
            </c:numRef>
          </c:xVal>
          <c:yVal>
            <c:numRef>
              <c:f>Calculations!$S$46:$S$59</c:f>
              <c:numCache>
                <c:formatCode>0.00</c:formatCode>
                <c:ptCount val="14"/>
                <c:pt idx="0">
                  <c:v>-9.0267417359204689</c:v>
                </c:pt>
                <c:pt idx="1">
                  <c:v>-12.265026767554453</c:v>
                </c:pt>
                <c:pt idx="2">
                  <c:v>-18.878959265425614</c:v>
                </c:pt>
                <c:pt idx="3">
                  <c:v>-23.715671808973038</c:v>
                </c:pt>
                <c:pt idx="4">
                  <c:v>-34.613382270098931</c:v>
                </c:pt>
                <c:pt idx="5">
                  <c:v>-37.583155689991514</c:v>
                </c:pt>
                <c:pt idx="6">
                  <c:v>-52.883108079705046</c:v>
                </c:pt>
                <c:pt idx="7">
                  <c:v>-68.8287901228462</c:v>
                </c:pt>
                <c:pt idx="8">
                  <c:v>-81.435755233532134</c:v>
                </c:pt>
                <c:pt idx="9">
                  <c:v>-81.357008109083878</c:v>
                </c:pt>
                <c:pt idx="10">
                  <c:v>-85.914853522958708</c:v>
                </c:pt>
                <c:pt idx="11">
                  <c:v>-89.852697774025785</c:v>
                </c:pt>
                <c:pt idx="12">
                  <c:v>-114.43713143521229</c:v>
                </c:pt>
                <c:pt idx="13">
                  <c:v>-124.65521782629581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04256"/>
        <c:axId val="328758624"/>
      </c:scatterChart>
      <c:valAx>
        <c:axId val="3319042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8758624"/>
        <c:crosses val="autoZero"/>
        <c:crossBetween val="midCat"/>
      </c:valAx>
      <c:valAx>
        <c:axId val="328758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190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  <c:pt idx="0">
                  <c:v>-2.4739326581697729</c:v>
                </c:pt>
                <c:pt idx="1">
                  <c:v>-2.4999306579766341</c:v>
                </c:pt>
                <c:pt idx="2">
                  <c:v>-1.0386142885444261</c:v>
                </c:pt>
                <c:pt idx="3">
                  <c:v>1.7052814531642737</c:v>
                </c:pt>
                <c:pt idx="4">
                  <c:v>1.3381825332337518</c:v>
                </c:pt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  <c:pt idx="0">
                  <c:v>-2.9334524683776775</c:v>
                </c:pt>
                <c:pt idx="1">
                  <c:v>-2.9241282892381091</c:v>
                </c:pt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8672"/>
        <c:axId val="129478024"/>
      </c:scatterChart>
      <c:valAx>
        <c:axId val="1689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478024"/>
        <c:crosses val="autoZero"/>
        <c:crossBetween val="midCat"/>
      </c:valAx>
      <c:valAx>
        <c:axId val="129478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8928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677701</xdr:colOff>
      <xdr:row>61</xdr:row>
      <xdr:rowOff>11691</xdr:rowOff>
    </xdr:from>
    <xdr:to>
      <xdr:col>25</xdr:col>
      <xdr:colOff>190243</xdr:colOff>
      <xdr:row>75</xdr:row>
      <xdr:rowOff>87891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414618</xdr:colOff>
      <xdr:row>60</xdr:row>
      <xdr:rowOff>188282</xdr:rowOff>
    </xdr:from>
    <xdr:to>
      <xdr:col>18</xdr:col>
      <xdr:colOff>362747</xdr:colOff>
      <xdr:row>75</xdr:row>
      <xdr:rowOff>73982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85"/>
  <sheetViews>
    <sheetView tabSelected="1" topLeftCell="S28" zoomScale="85" zoomScaleNormal="85" workbookViewId="0">
      <selection activeCell="AI53" sqref="AI53"/>
    </sheetView>
  </sheetViews>
  <sheetFormatPr defaultColWidth="10.7109375" defaultRowHeight="15" x14ac:dyDescent="0.25"/>
  <cols>
    <col min="1" max="1" width="10.7109375" style="2"/>
    <col min="2" max="2" width="10.85546875" style="18" bestFit="1" customWidth="1"/>
    <col min="3" max="3" width="10.7109375" style="18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7"/>
    <col min="15" max="15" width="10.7109375" style="17" customWidth="1"/>
    <col min="16" max="21" width="10.7109375" style="17"/>
    <col min="22" max="22" width="11.5703125" style="17" bestFit="1" customWidth="1"/>
    <col min="23" max="23" width="10.7109375" style="17"/>
    <col min="24" max="24" width="10.7109375" style="17" customWidth="1"/>
    <col min="25" max="27" width="10.7109375" style="17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8" t="s">
        <v>95</v>
      </c>
      <c r="B1" s="59"/>
      <c r="C1" s="52">
        <v>40823</v>
      </c>
      <c r="M1" s="56" t="s">
        <v>21</v>
      </c>
      <c r="N1" s="56"/>
      <c r="O1" s="56"/>
      <c r="P1" s="56"/>
      <c r="Q1" s="56"/>
      <c r="R1" s="23"/>
      <c r="W1" s="53" t="s">
        <v>34</v>
      </c>
      <c r="X1" s="53"/>
      <c r="Y1" s="53"/>
      <c r="Z1" s="2"/>
      <c r="AA1" s="53" t="s">
        <v>56</v>
      </c>
      <c r="AB1" s="53"/>
      <c r="AC1" s="53"/>
    </row>
    <row r="2" spans="1:29" x14ac:dyDescent="0.25">
      <c r="A2" s="58" t="s">
        <v>16</v>
      </c>
      <c r="B2" s="59"/>
      <c r="C2" s="39">
        <v>1.1259999999999999</v>
      </c>
      <c r="M2" s="21"/>
      <c r="N2" s="21"/>
      <c r="O2" s="21"/>
      <c r="P2" s="21"/>
      <c r="Q2" s="21"/>
      <c r="R2" s="23"/>
      <c r="W2" s="23"/>
      <c r="X2" s="23"/>
      <c r="Y2" s="23"/>
      <c r="Z2" s="2"/>
      <c r="AA2" s="23"/>
      <c r="AB2" s="23"/>
      <c r="AC2" s="23"/>
    </row>
    <row r="3" spans="1:29" ht="18" x14ac:dyDescent="0.35">
      <c r="A3" s="58" t="s">
        <v>66</v>
      </c>
      <c r="B3" s="59"/>
      <c r="C3" s="39" t="s">
        <v>74</v>
      </c>
      <c r="M3" s="22" t="s">
        <v>13</v>
      </c>
      <c r="N3" s="22" t="s">
        <v>9</v>
      </c>
      <c r="O3" s="22" t="s">
        <v>14</v>
      </c>
      <c r="P3" s="22" t="s">
        <v>10</v>
      </c>
      <c r="Q3" s="22" t="s">
        <v>15</v>
      </c>
      <c r="R3" s="23"/>
      <c r="W3" s="21"/>
      <c r="X3" s="22" t="s">
        <v>10</v>
      </c>
      <c r="Y3" s="22" t="s">
        <v>10</v>
      </c>
      <c r="Z3" s="2"/>
      <c r="AA3" s="22" t="s">
        <v>40</v>
      </c>
      <c r="AB3" s="22" t="s">
        <v>53</v>
      </c>
      <c r="AC3" s="21">
        <f ca="1">SLOPE(yB,xB)</f>
        <v>4.5647059405754922</v>
      </c>
    </row>
    <row r="4" spans="1:29" ht="18" x14ac:dyDescent="0.35">
      <c r="A4" s="58" t="s">
        <v>67</v>
      </c>
      <c r="B4" s="59"/>
      <c r="C4" s="39" t="s">
        <v>73</v>
      </c>
      <c r="M4" s="23">
        <v>0</v>
      </c>
      <c r="N4" s="21">
        <f>VALUE(MID(C10,FIND(",",C10,3)+1,FIND(",",C10,15)-FIND(",",C10,3)-1))</f>
        <v>1062697.635</v>
      </c>
      <c r="O4" s="21">
        <f>VALUE(MID(C10,FIND(",",C10,1)+1,FIND(",",C10,5)-FIND(",",C10,1)-1))</f>
        <v>467197.94300000003</v>
      </c>
      <c r="P4" s="21">
        <f>VALUE(MID(C10,FIND(",",C10,17)+1,FIND(",",C10,27)-FIND(",",C10,17)-1))</f>
        <v>1262.28</v>
      </c>
      <c r="Q4" s="24"/>
      <c r="R4" s="23"/>
      <c r="W4" s="28"/>
      <c r="X4" s="21">
        <f ca="1">VALUE(OFFSET($P$3,MATCH($O$10,$M$4:$M$6,0),0))</f>
        <v>1263.2470000000001</v>
      </c>
      <c r="Y4" s="21">
        <f ca="1">OFFSET($P$3,MATCH($Q$10,$M$4:$M$6,0),0)</f>
        <v>1261.248</v>
      </c>
      <c r="Z4" s="2"/>
      <c r="AA4" s="27" t="s">
        <v>41</v>
      </c>
      <c r="AB4" s="27" t="s">
        <v>54</v>
      </c>
      <c r="AC4" s="29">
        <f ca="1">INTERCEPT(yB,xB)</f>
        <v>-4383911.1519817738</v>
      </c>
    </row>
    <row r="5" spans="1:29" x14ac:dyDescent="0.25">
      <c r="A5" s="13"/>
      <c r="B5" s="16"/>
      <c r="C5" s="16"/>
      <c r="D5" s="4"/>
      <c r="M5" s="23">
        <v>1</v>
      </c>
      <c r="N5" s="21">
        <f t="shared" ref="N5:N6" si="0">VALUE(MID(C11,FIND(",",C11,3)+1,FIND(",",C11,15)-FIND(",",C11,3)-1))</f>
        <v>1062707.2450000001</v>
      </c>
      <c r="O5" s="21">
        <f t="shared" ref="O5:O6" si="1">VALUE(MID(C11,FIND(",",C11,1)+1,FIND(",",C11,5)-FIND(",",C11,1)-1))</f>
        <v>467224.03399999999</v>
      </c>
      <c r="P5" s="21">
        <f t="shared" ref="P5:P6" si="2">VALUE(MID(C11,FIND(",",C11,17)+1,FIND(",",C11,27)-FIND(",",C11,17)-1))</f>
        <v>1263.2470000000001</v>
      </c>
      <c r="Q5" s="25">
        <f>DEGREES(ATAN2(Old_Y1-Old_Y0,Old_X1-Old_X0))+IF(Old_X1-Old_X0&lt;0,360)</f>
        <v>20.220076293894358</v>
      </c>
      <c r="R5" s="23"/>
      <c r="W5" s="22"/>
      <c r="X5" s="21">
        <f ca="1">VALUE(OFFSET($V$20,MATCH($O11,$A$21:$A$51,0),0))</f>
        <v>1261.3942184914349</v>
      </c>
      <c r="Y5" s="21">
        <f ca="1">OFFSET($V$20,MATCH($Q11,$A$21:$A$51,0),0)</f>
        <v>1261.068103774038</v>
      </c>
      <c r="Z5" s="2"/>
      <c r="AA5" s="27"/>
      <c r="AB5" s="27"/>
      <c r="AC5" s="21"/>
    </row>
    <row r="6" spans="1:29" ht="18" x14ac:dyDescent="0.35">
      <c r="A6" s="60" t="s">
        <v>17</v>
      </c>
      <c r="B6" s="60"/>
      <c r="C6" s="39">
        <v>26</v>
      </c>
      <c r="D6" s="4"/>
      <c r="M6" s="23">
        <v>2</v>
      </c>
      <c r="N6" s="21">
        <f t="shared" si="0"/>
        <v>1062714.5870000001</v>
      </c>
      <c r="O6" s="21">
        <f t="shared" si="1"/>
        <v>467219.321</v>
      </c>
      <c r="P6" s="21">
        <f t="shared" si="2"/>
        <v>1261.248</v>
      </c>
      <c r="Q6" s="25">
        <f>DEGREES(ATAN2(Old_Y2-Old_Y0,Old_X2-Old_X0))+IF(Old_X2-Old_X0&lt;0,360)</f>
        <v>38.413176008416869</v>
      </c>
      <c r="R6" s="23"/>
      <c r="W6" s="22"/>
      <c r="X6" s="21">
        <f ca="1">VALUE(OFFSET($V$20,MATCH($O12,$A$21:$A$61,0),0))</f>
        <v>1261.0311825332337</v>
      </c>
      <c r="Y6" s="21">
        <f ca="1">VALUE(OFFSET($V$20,MATCH($O12,$A$21:$A$61,0),0))</f>
        <v>1261.0311825332337</v>
      </c>
      <c r="Z6" s="5"/>
      <c r="AA6" s="27" t="s">
        <v>42</v>
      </c>
      <c r="AB6" s="22" t="s">
        <v>55</v>
      </c>
      <c r="AC6" s="21">
        <f ca="1">-1/mA</f>
        <v>-0.21907216215420125</v>
      </c>
    </row>
    <row r="7" spans="1:29" x14ac:dyDescent="0.25">
      <c r="A7" s="60" t="s">
        <v>18</v>
      </c>
      <c r="B7" s="60"/>
      <c r="C7" s="39">
        <v>39</v>
      </c>
      <c r="D7" s="4"/>
      <c r="M7" s="21"/>
      <c r="N7" s="21"/>
      <c r="O7" s="21"/>
      <c r="P7" s="21"/>
      <c r="Q7" s="21"/>
      <c r="R7" s="23"/>
      <c r="W7" s="21"/>
      <c r="X7" s="21"/>
      <c r="Y7" s="21"/>
      <c r="Z7" s="2"/>
      <c r="AA7" s="21"/>
      <c r="AB7" s="21"/>
      <c r="AC7" s="21"/>
    </row>
    <row r="8" spans="1:29" x14ac:dyDescent="0.25">
      <c r="A8" s="1"/>
      <c r="C8" s="49"/>
      <c r="D8" s="4"/>
      <c r="M8" s="23"/>
      <c r="N8" s="21"/>
      <c r="O8" s="53" t="s">
        <v>24</v>
      </c>
      <c r="P8" s="53"/>
      <c r="Q8" s="53" t="s">
        <v>25</v>
      </c>
      <c r="R8" s="53"/>
      <c r="W8" s="22" t="s">
        <v>35</v>
      </c>
      <c r="X8" s="21">
        <f ca="1">X5-X4</f>
        <v>-1.8527815085651582</v>
      </c>
      <c r="Y8" s="21">
        <f ca="1">Y5-Y4</f>
        <v>-0.17989622596201116</v>
      </c>
      <c r="AA8" s="21"/>
      <c r="AB8" s="23"/>
      <c r="AC8" s="23"/>
    </row>
    <row r="9" spans="1:29" x14ac:dyDescent="0.25">
      <c r="A9" s="6"/>
      <c r="C9" s="9" t="s">
        <v>11</v>
      </c>
      <c r="M9" s="21"/>
      <c r="N9" s="21"/>
      <c r="O9" s="26" t="s">
        <v>23</v>
      </c>
      <c r="P9" s="27" t="s">
        <v>19</v>
      </c>
      <c r="Q9" s="27" t="s">
        <v>23</v>
      </c>
      <c r="R9" s="27" t="s">
        <v>19</v>
      </c>
      <c r="W9" s="22" t="s">
        <v>36</v>
      </c>
      <c r="X9" s="21">
        <f ca="1">X6-X4</f>
        <v>-2.2158174667663388</v>
      </c>
      <c r="Y9" s="21">
        <f ca="1">Y6-Y4</f>
        <v>-0.21681746676631519</v>
      </c>
      <c r="AA9" s="32" t="s">
        <v>49</v>
      </c>
      <c r="AB9" s="32"/>
      <c r="AC9" s="21">
        <f ca="1">AVERAGE(DfromL)</f>
        <v>0.28859876213901198</v>
      </c>
    </row>
    <row r="10" spans="1:29" s="17" customFormat="1" x14ac:dyDescent="0.25">
      <c r="A10" s="8"/>
      <c r="B10" s="18"/>
      <c r="C10" s="36" t="s">
        <v>86</v>
      </c>
      <c r="D10" s="37"/>
      <c r="E10" s="38"/>
      <c r="M10" s="57" t="s">
        <v>22</v>
      </c>
      <c r="N10" s="57"/>
      <c r="O10" s="33">
        <v>1</v>
      </c>
      <c r="P10" s="21">
        <f ca="1">OFFSET($Q$3,MATCH($O$10,$M$4:$M$6,0),0)</f>
        <v>20.220076293894358</v>
      </c>
      <c r="Q10" s="33">
        <v>2</v>
      </c>
      <c r="R10" s="21">
        <f ca="1">OFFSET($Q$3,MATCH($O$10,$M$4:$M$6,0),0)</f>
        <v>20.220076293894358</v>
      </c>
      <c r="W10" s="23"/>
      <c r="X10" s="23"/>
      <c r="Y10" s="23"/>
      <c r="AA10" s="32" t="s">
        <v>50</v>
      </c>
      <c r="AB10" s="32"/>
      <c r="AC10" s="21">
        <f ca="1">_xlfn.STDEV.P(DfromL)</f>
        <v>0.28302912420991971</v>
      </c>
    </row>
    <row r="11" spans="1:29" s="17" customFormat="1" x14ac:dyDescent="0.25">
      <c r="A11" s="15"/>
      <c r="B11" s="18"/>
      <c r="C11" s="36" t="s">
        <v>87</v>
      </c>
      <c r="D11" s="37"/>
      <c r="E11" s="38"/>
      <c r="M11" s="53" t="s">
        <v>31</v>
      </c>
      <c r="N11" s="53"/>
      <c r="O11" s="33">
        <v>1</v>
      </c>
      <c r="P11" s="21">
        <f ca="1">OFFSET($N$20,MATCH($O11,$A$21:$A$51,0),0)</f>
        <v>2.7777777777777778E-4</v>
      </c>
      <c r="Q11" s="33">
        <v>2</v>
      </c>
      <c r="R11" s="21">
        <f ca="1">OFFSET($N$20,MATCH($Q11,$A$21:$A$61,0),0)</f>
        <v>17.374444444444446</v>
      </c>
      <c r="W11" s="22" t="s">
        <v>37</v>
      </c>
      <c r="X11" s="21">
        <f ca="1">AVERAGE(X8:Y9)</f>
        <v>-1.1163281670149559</v>
      </c>
      <c r="Y11" s="31" t="s">
        <v>38</v>
      </c>
      <c r="AA11" s="21"/>
      <c r="AB11" s="21"/>
      <c r="AC11" s="21"/>
    </row>
    <row r="12" spans="1:29" s="17" customFormat="1" x14ac:dyDescent="0.25">
      <c r="A12" s="15"/>
      <c r="B12" s="18"/>
      <c r="C12" s="36" t="s">
        <v>88</v>
      </c>
      <c r="D12" s="37"/>
      <c r="E12" s="38"/>
      <c r="M12" s="53" t="s">
        <v>30</v>
      </c>
      <c r="N12" s="53"/>
      <c r="O12" s="33">
        <v>41</v>
      </c>
      <c r="P12" s="21">
        <f ca="1">OFFSET($N$20,MATCH($O12,$A$21:$A$61,0),0)</f>
        <v>359.93222222222221</v>
      </c>
      <c r="Q12" s="33">
        <v>40</v>
      </c>
      <c r="R12" s="21">
        <f ca="1">OFFSET($N$20,MATCH($Q12,$A$21:$A$61,0),0)</f>
        <v>342.37611111111113</v>
      </c>
      <c r="W12" s="21"/>
      <c r="X12" s="21"/>
      <c r="Y12" s="21"/>
      <c r="AA12" s="21"/>
      <c r="AB12" s="21"/>
      <c r="AC12" s="21"/>
    </row>
    <row r="13" spans="1:29" s="17" customFormat="1" x14ac:dyDescent="0.25">
      <c r="A13" s="15"/>
      <c r="B13" s="18"/>
      <c r="C13" s="18"/>
      <c r="D13" s="19"/>
      <c r="M13" s="21"/>
      <c r="N13" s="21"/>
      <c r="O13" s="21"/>
      <c r="P13" s="21"/>
      <c r="Q13" s="21"/>
      <c r="R13" s="21"/>
      <c r="W13" s="21" t="s">
        <v>64</v>
      </c>
      <c r="X13" s="21">
        <f ca="1">MIN(W46:W60)</f>
        <v>1254.5072973730714</v>
      </c>
      <c r="Y13" s="21"/>
      <c r="AA13" s="21"/>
      <c r="AB13" s="21"/>
      <c r="AC13" s="21"/>
    </row>
    <row r="14" spans="1:29" s="17" customFormat="1" x14ac:dyDescent="0.25">
      <c r="A14" s="8"/>
      <c r="B14" s="18"/>
      <c r="C14" s="18"/>
      <c r="D14" s="19"/>
      <c r="M14" s="53" t="s">
        <v>32</v>
      </c>
      <c r="N14" s="53"/>
      <c r="O14" s="23"/>
      <c r="P14" s="21">
        <f ca="1">P10-P11+IF(P11&gt;P10,360)</f>
        <v>20.21979851611658</v>
      </c>
      <c r="Q14" s="21"/>
      <c r="R14" s="21">
        <f ca="1">R10-R11+IF(R11&gt;R10,360)</f>
        <v>2.8456318494499122</v>
      </c>
      <c r="W14" s="21"/>
      <c r="X14" s="21"/>
      <c r="Y14" s="21"/>
      <c r="AA14" s="21"/>
      <c r="AB14" s="21"/>
      <c r="AC14" s="21"/>
    </row>
    <row r="15" spans="1:29" x14ac:dyDescent="0.25">
      <c r="A15" s="1"/>
      <c r="D15" s="4"/>
      <c r="M15" s="53" t="s">
        <v>33</v>
      </c>
      <c r="N15" s="53"/>
      <c r="O15" s="23"/>
      <c r="P15" s="21">
        <f ca="1">P10-P12+IF(P12&gt;P10,360)</f>
        <v>20.287854071672143</v>
      </c>
      <c r="Q15" s="21"/>
      <c r="R15" s="21">
        <f ca="1">R10-R12+IF(R12&gt;R10,360)</f>
        <v>37.843965182783222</v>
      </c>
      <c r="W15" s="21"/>
      <c r="X15" s="21"/>
      <c r="Y15" s="21"/>
      <c r="AA15" s="23"/>
      <c r="AB15" s="23"/>
      <c r="AC15" s="23"/>
    </row>
    <row r="16" spans="1:29" x14ac:dyDescent="0.25">
      <c r="A16" s="1"/>
      <c r="B16" s="18" t="s">
        <v>68</v>
      </c>
      <c r="D16" s="4"/>
      <c r="M16" s="23"/>
      <c r="N16" s="23"/>
      <c r="O16" s="23"/>
      <c r="P16" s="23"/>
      <c r="Q16" s="23"/>
      <c r="R16" s="30"/>
      <c r="W16" s="21"/>
      <c r="X16" s="21"/>
      <c r="Y16" s="21"/>
      <c r="AA16" s="23"/>
      <c r="AB16" s="23"/>
      <c r="AC16" s="23"/>
    </row>
    <row r="17" spans="1:35" x14ac:dyDescent="0.25">
      <c r="A17" s="1"/>
      <c r="D17" s="4"/>
      <c r="M17" s="53" t="s">
        <v>39</v>
      </c>
      <c r="N17" s="53"/>
      <c r="O17" s="21">
        <f ca="1">AVERAGE(P14:P15,R14:R15)</f>
        <v>20.299312405005466</v>
      </c>
      <c r="P17" s="31"/>
      <c r="Q17" s="23"/>
      <c r="R17" s="23"/>
      <c r="W17" s="21"/>
      <c r="X17" s="21"/>
      <c r="Y17" s="23"/>
      <c r="Z17" s="2"/>
      <c r="AA17" s="23"/>
      <c r="AB17" s="23"/>
      <c r="AC17" s="23"/>
    </row>
    <row r="18" spans="1:35" x14ac:dyDescent="0.25">
      <c r="A18" s="1"/>
      <c r="D18" s="4"/>
      <c r="M18" s="19"/>
      <c r="O18" s="19"/>
      <c r="P18" s="19"/>
      <c r="Q18" s="19"/>
      <c r="R18" s="19"/>
      <c r="S18" s="19"/>
      <c r="T18" s="19"/>
      <c r="U18" s="19"/>
      <c r="V18" s="2"/>
      <c r="W18" s="2"/>
      <c r="X18" s="2"/>
      <c r="Y18" s="2"/>
      <c r="Z18" s="2"/>
      <c r="AA18" s="2"/>
    </row>
    <row r="19" spans="1:35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5"/>
      <c r="O19" s="15"/>
      <c r="P19" s="15"/>
      <c r="Q19" s="15"/>
      <c r="R19" s="15"/>
      <c r="S19" s="15"/>
      <c r="T19" s="54" t="s">
        <v>20</v>
      </c>
      <c r="U19" s="54"/>
      <c r="X19" s="55" t="s">
        <v>45</v>
      </c>
      <c r="Y19" s="55"/>
      <c r="Z19" s="55" t="s">
        <v>46</v>
      </c>
      <c r="AA19" s="55"/>
      <c r="AB19" s="1" t="s">
        <v>47</v>
      </c>
      <c r="AC19" s="1" t="s">
        <v>51</v>
      </c>
      <c r="AE19" s="42" t="s">
        <v>51</v>
      </c>
      <c r="AG19" s="42"/>
      <c r="AH19" s="42"/>
      <c r="AI19" s="42"/>
    </row>
    <row r="20" spans="1:35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85</v>
      </c>
      <c r="H20" s="12" t="s">
        <v>79</v>
      </c>
      <c r="I20" s="12" t="s">
        <v>84</v>
      </c>
      <c r="J20" s="12" t="s">
        <v>83</v>
      </c>
      <c r="K20" s="3" t="s">
        <v>77</v>
      </c>
      <c r="L20" s="3" t="s">
        <v>78</v>
      </c>
      <c r="M20" s="8" t="s">
        <v>26</v>
      </c>
      <c r="N20" s="8" t="s">
        <v>27</v>
      </c>
      <c r="O20" s="8" t="s">
        <v>28</v>
      </c>
      <c r="P20" s="20" t="s">
        <v>29</v>
      </c>
      <c r="Q20" s="20" t="s">
        <v>82</v>
      </c>
      <c r="R20" s="20" t="s">
        <v>80</v>
      </c>
      <c r="S20" s="20" t="s">
        <v>81</v>
      </c>
      <c r="T20" s="20" t="s">
        <v>7</v>
      </c>
      <c r="U20" s="20" t="s">
        <v>6</v>
      </c>
      <c r="V20" s="20" t="s">
        <v>12</v>
      </c>
      <c r="W20" s="20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20" t="s">
        <v>65</v>
      </c>
      <c r="AE20" s="3" t="s">
        <v>75</v>
      </c>
      <c r="AF20" s="20" t="s">
        <v>76</v>
      </c>
      <c r="AG20" s="20"/>
      <c r="AH20" s="20"/>
      <c r="AI20" s="20"/>
    </row>
    <row r="21" spans="1:35" x14ac:dyDescent="0.25">
      <c r="A21" s="45">
        <v>1</v>
      </c>
      <c r="B21" s="49">
        <v>1.1574074074074073E-5</v>
      </c>
      <c r="C21" s="49">
        <v>3.6064583333333338</v>
      </c>
      <c r="D21" s="45">
        <v>28.311</v>
      </c>
      <c r="E21" s="45">
        <v>3.7130000000000001</v>
      </c>
      <c r="F21" s="50" t="s">
        <v>69</v>
      </c>
      <c r="G21" s="44">
        <f>C21*24</f>
        <v>86.555000000000007</v>
      </c>
      <c r="H21" s="44">
        <f>RADIANS(G21)</f>
        <v>1.5106697340636921</v>
      </c>
      <c r="I21" s="44">
        <f t="shared" ref="I21:I39" si="3">B21*24</f>
        <v>2.7777777777777778E-4</v>
      </c>
      <c r="J21" s="40">
        <f>RADIANS(I21)</f>
        <v>4.8481368110953598E-6</v>
      </c>
      <c r="K21" s="40">
        <f>D21*SIN(H21)</f>
        <v>28.259840350653072</v>
      </c>
      <c r="L21" s="16">
        <f>D21*COS(H21)</f>
        <v>1.701218491435019</v>
      </c>
      <c r="M21" s="14"/>
      <c r="N21" s="17">
        <f t="shared" ref="N21:N39" si="4">I21+M21</f>
        <v>2.7777777777777778E-4</v>
      </c>
      <c r="O21" s="17">
        <f ca="1">$O$17</f>
        <v>20.299312405005466</v>
      </c>
      <c r="P21" s="17">
        <f ca="1">SUM(N21,O21)</f>
        <v>20.299590182783245</v>
      </c>
      <c r="Q21" s="17">
        <f ca="1">RADIANS(P21)</f>
        <v>0.35429468549508514</v>
      </c>
      <c r="R21" s="17">
        <f t="shared" ref="R21:R39" ca="1" si="5">K21*SIN(Q21)</f>
        <v>9.8041565468336174</v>
      </c>
      <c r="S21" s="17">
        <f t="shared" ref="S21:S39" ca="1" si="6">K21*COS(Q21)</f>
        <v>26.504661685250372</v>
      </c>
      <c r="T21" s="14">
        <f t="shared" ref="T21:T39" ca="1" si="7">Old_X0+R21</f>
        <v>1062707.439156547</v>
      </c>
      <c r="U21" s="14">
        <f t="shared" ref="U21:U39" ca="1" si="8">Old_Y0+S21</f>
        <v>467224.44766168529</v>
      </c>
      <c r="V21" s="17">
        <f t="shared" ref="V21:V44" si="9">Old_Z0+HI+L21-E21</f>
        <v>1261.3942184914349</v>
      </c>
      <c r="W21" s="17">
        <f t="shared" ref="W21:W39" ca="1" si="10">IF(ISNUMBER(T21),V21+dZ,"")</f>
        <v>1260.27789032442</v>
      </c>
      <c r="X21" s="17" t="str">
        <f t="shared" ref="X21:X61" si="11">IF(AND(A21&gt;=CS_Start,A21&lt;=CS_End),IF(OR(LEFT(UPPER(F21))="D"),"",T21),"")</f>
        <v/>
      </c>
      <c r="Y21" s="17" t="str">
        <f t="shared" ref="Y21" si="12">IF(ISNUMBER(X21),U21,"")</f>
        <v/>
      </c>
      <c r="Z21" s="17" t="str">
        <f t="shared" ref="Z21:Z23" si="13">IF(X21="","",VALUE((-mB*X21+Y21-bA)/(mA-mB)))</f>
        <v/>
      </c>
      <c r="AA21" s="17" t="str">
        <f t="shared" ref="AA21:AA23" si="14">IF(Z21="","",VALUE(mA*Z21+bA))</f>
        <v/>
      </c>
      <c r="AB21" s="17" t="str">
        <f>IF(ISNUMBER(X21),SQRT((X21-Z21)^2+(Y21-AA21)^2),"")</f>
        <v/>
      </c>
      <c r="AC21" s="17" t="str">
        <f t="shared" ref="AC21:AC23" ca="1" si="15">IF(ISNUMBER(Z21),SQRT(($Z21-OFFSET($Z$20,MATCH(CS_Start,$A$21:$A$51,0),0))^2+($AA21-OFFSET($AA$20,MATCH(CS_Start,$A$21:$A$51,0),0))^2),"")</f>
        <v/>
      </c>
      <c r="AD21" s="17" t="str">
        <f t="shared" ref="AD21:AD23" si="16">IF(ISNUMBER(X21),W21-Min_Z,"")</f>
        <v/>
      </c>
    </row>
    <row r="22" spans="1:35" x14ac:dyDescent="0.25">
      <c r="A22" s="45">
        <v>2</v>
      </c>
      <c r="B22" s="49">
        <v>0.72393518518518529</v>
      </c>
      <c r="C22" s="49">
        <v>3.6281944444444445</v>
      </c>
      <c r="D22" s="45">
        <v>26.963000000000001</v>
      </c>
      <c r="E22" s="45">
        <v>3.7130000000000001</v>
      </c>
      <c r="F22" s="50" t="s">
        <v>89</v>
      </c>
      <c r="G22" s="44">
        <f t="shared" ref="G22:G39" si="17">C22*24</f>
        <v>87.076666666666668</v>
      </c>
      <c r="H22" s="44">
        <f t="shared" ref="H22:H39" si="18">RADIANS(G22)</f>
        <v>1.519774534994929</v>
      </c>
      <c r="I22" s="44">
        <f t="shared" si="3"/>
        <v>17.374444444444446</v>
      </c>
      <c r="J22" s="40">
        <f t="shared" ref="J22:J39" si="19">RADIANS(I22)</f>
        <v>0.30324126126039258</v>
      </c>
      <c r="K22" s="40">
        <f t="shared" ref="K22:K39" si="20">D22*SIN(H22)</f>
        <v>26.927912258669934</v>
      </c>
      <c r="L22" s="16">
        <f t="shared" ref="L22:L39" si="21">D22*COS(H22)</f>
        <v>1.3751037740379448</v>
      </c>
      <c r="M22" s="14"/>
      <c r="N22" s="17">
        <f t="shared" si="4"/>
        <v>17.374444444444446</v>
      </c>
      <c r="O22" s="17">
        <f t="shared" ref="O22:O61" ca="1" si="22">$O$17</f>
        <v>20.299312405005466</v>
      </c>
      <c r="P22" s="17">
        <f t="shared" ref="P22:P39" ca="1" si="23">SUM(N22,O22)</f>
        <v>37.673756849449916</v>
      </c>
      <c r="Q22" s="17">
        <f t="shared" ref="Q22:Q39" ca="1" si="24">RADIANS(P22)</f>
        <v>0.65753109861866665</v>
      </c>
      <c r="R22" s="17">
        <f t="shared" ca="1" si="5"/>
        <v>16.457385981876541</v>
      </c>
      <c r="S22" s="17">
        <f t="shared" ca="1" si="6"/>
        <v>21.313538074523432</v>
      </c>
      <c r="T22" s="14">
        <f t="shared" ca="1" si="7"/>
        <v>1062714.0923859819</v>
      </c>
      <c r="U22" s="14">
        <f t="shared" ca="1" si="8"/>
        <v>467219.25653807458</v>
      </c>
      <c r="V22" s="17">
        <f t="shared" si="9"/>
        <v>1261.068103774038</v>
      </c>
      <c r="W22" s="17">
        <f t="shared" ca="1" si="10"/>
        <v>1259.9517756070231</v>
      </c>
      <c r="X22" s="48" t="str">
        <f t="shared" si="11"/>
        <v/>
      </c>
      <c r="Y22" s="48" t="str">
        <f t="shared" ref="Y22:Y45" si="25">IF(ISNUMBER(X22),U22,"")</f>
        <v/>
      </c>
      <c r="Z22" s="17" t="str">
        <f t="shared" si="13"/>
        <v/>
      </c>
      <c r="AA22" s="17" t="str">
        <f t="shared" si="14"/>
        <v/>
      </c>
      <c r="AB22" s="17" t="str">
        <f t="shared" ref="AB22:AB23" si="26">IF(ISNUMBER(X22),SQRT((X22-Z22)^2+(Y22-AA22)^2),"")</f>
        <v/>
      </c>
      <c r="AC22" s="17" t="str">
        <f t="shared" ca="1" si="15"/>
        <v/>
      </c>
      <c r="AD22" s="17" t="str">
        <f t="shared" si="16"/>
        <v/>
      </c>
    </row>
    <row r="23" spans="1:35" x14ac:dyDescent="0.25">
      <c r="A23" s="45">
        <v>3</v>
      </c>
      <c r="B23" s="49">
        <v>11.979224537037036</v>
      </c>
      <c r="C23" s="49">
        <v>3.6281944444444445</v>
      </c>
      <c r="D23" s="45">
        <v>69.832999999999998</v>
      </c>
      <c r="E23" s="45">
        <v>3.7130000000000001</v>
      </c>
      <c r="F23" s="45"/>
      <c r="G23" s="44">
        <f t="shared" si="17"/>
        <v>87.076666666666668</v>
      </c>
      <c r="H23" s="44">
        <f t="shared" si="18"/>
        <v>1.519774534994929</v>
      </c>
      <c r="I23" s="44">
        <f t="shared" si="3"/>
        <v>287.50138888888887</v>
      </c>
      <c r="J23" s="40">
        <f t="shared" si="19"/>
        <v>5.0178458401677526</v>
      </c>
      <c r="K23" s="40">
        <f t="shared" si="20"/>
        <v>69.742124272510381</v>
      </c>
      <c r="L23" s="16">
        <f t="shared" si="21"/>
        <v>3.5614591051586171</v>
      </c>
      <c r="M23" s="14"/>
      <c r="N23" s="17">
        <f t="shared" si="4"/>
        <v>287.50138888888887</v>
      </c>
      <c r="O23" s="17">
        <f t="shared" ca="1" si="22"/>
        <v>20.299312405005466</v>
      </c>
      <c r="P23" s="17">
        <f t="shared" ca="1" si="23"/>
        <v>307.80070129389435</v>
      </c>
      <c r="Q23" s="17">
        <f t="shared" ca="1" si="24"/>
        <v>5.3721356775260265</v>
      </c>
      <c r="R23" s="17">
        <f t="shared" ca="1" si="5"/>
        <v>-55.106565864149751</v>
      </c>
      <c r="S23" s="17">
        <f t="shared" ca="1" si="6"/>
        <v>42.746114404731642</v>
      </c>
      <c r="T23" s="14">
        <f t="shared" ca="1" si="7"/>
        <v>1062642.528434136</v>
      </c>
      <c r="U23" s="14">
        <f t="shared" ca="1" si="8"/>
        <v>467240.68911440478</v>
      </c>
      <c r="V23" s="17">
        <f t="shared" si="9"/>
        <v>1263.2544591051585</v>
      </c>
      <c r="W23" s="17">
        <f t="shared" ca="1" si="10"/>
        <v>1262.1381309381436</v>
      </c>
      <c r="X23" s="48" t="str">
        <f t="shared" si="11"/>
        <v/>
      </c>
      <c r="Y23" s="48" t="str">
        <f t="shared" si="25"/>
        <v/>
      </c>
      <c r="Z23" s="17" t="str">
        <f t="shared" si="13"/>
        <v/>
      </c>
      <c r="AA23" s="17" t="str">
        <f t="shared" si="14"/>
        <v/>
      </c>
      <c r="AB23" s="17" t="str">
        <f t="shared" si="26"/>
        <v/>
      </c>
      <c r="AC23" s="17" t="str">
        <f t="shared" ca="1" si="15"/>
        <v/>
      </c>
      <c r="AD23" s="17" t="str">
        <f t="shared" si="16"/>
        <v/>
      </c>
      <c r="AE23" s="2" t="e">
        <f ca="1">ROUND(CONVERT(AC23,"m","ft"),2)</f>
        <v>#VALUE!</v>
      </c>
      <c r="AF23" s="2" t="e">
        <f>ROUND(CONVERT(AD23,"m","ft"),2)</f>
        <v>#VALUE!</v>
      </c>
    </row>
    <row r="24" spans="1:35" x14ac:dyDescent="0.25">
      <c r="A24" s="45">
        <v>4</v>
      </c>
      <c r="B24" s="49">
        <v>11.915625</v>
      </c>
      <c r="C24" s="49">
        <v>3.6421180555555552</v>
      </c>
      <c r="D24" s="45">
        <v>68.56</v>
      </c>
      <c r="E24" s="45">
        <v>3.7130000000000001</v>
      </c>
      <c r="F24" s="45"/>
      <c r="G24" s="44">
        <f t="shared" si="17"/>
        <v>87.410833333333329</v>
      </c>
      <c r="H24" s="44">
        <f t="shared" si="18"/>
        <v>1.5256068435786767</v>
      </c>
      <c r="I24" s="44">
        <f t="shared" si="3"/>
        <v>285.97500000000002</v>
      </c>
      <c r="J24" s="40">
        <f t="shared" si="19"/>
        <v>4.9912053283907847</v>
      </c>
      <c r="K24" s="40">
        <f t="shared" si="20"/>
        <v>68.490009087453913</v>
      </c>
      <c r="L24" s="16">
        <f t="shared" si="21"/>
        <v>3.097136613144774</v>
      </c>
      <c r="M24" s="14"/>
      <c r="N24" s="17">
        <f t="shared" si="4"/>
        <v>285.97500000000002</v>
      </c>
      <c r="O24" s="17">
        <f t="shared" ca="1" si="22"/>
        <v>20.299312405005466</v>
      </c>
      <c r="P24" s="17">
        <f t="shared" ca="1" si="23"/>
        <v>306.2743124050055</v>
      </c>
      <c r="Q24" s="17">
        <f t="shared" ca="1" si="24"/>
        <v>5.3454951657490586</v>
      </c>
      <c r="R24" s="17">
        <f t="shared" ca="1" si="5"/>
        <v>-55.216208384166386</v>
      </c>
      <c r="S24" s="17">
        <f t="shared" ca="1" si="6"/>
        <v>40.522236814813581</v>
      </c>
      <c r="T24" s="14">
        <f t="shared" ca="1" si="7"/>
        <v>1062642.4187916159</v>
      </c>
      <c r="U24" s="14">
        <f t="shared" ca="1" si="8"/>
        <v>467238.46523681487</v>
      </c>
      <c r="V24" s="17">
        <f t="shared" si="9"/>
        <v>1262.7901366131448</v>
      </c>
      <c r="W24" s="17">
        <f t="shared" ca="1" si="10"/>
        <v>1261.6738084461299</v>
      </c>
      <c r="X24" s="48" t="str">
        <f t="shared" si="11"/>
        <v/>
      </c>
      <c r="Y24" s="48" t="str">
        <f t="shared" si="25"/>
        <v/>
      </c>
      <c r="Z24" s="48" t="str">
        <f t="shared" ref="Z24:Z45" si="27">IF(X24="","",VALUE((-mB*X24+Y24-bA)/(mA-mB)))</f>
        <v/>
      </c>
      <c r="AA24" s="48" t="str">
        <f t="shared" ref="AA24:AA45" si="28">IF(Z24="","",VALUE(mA*Z24+bA))</f>
        <v/>
      </c>
      <c r="AB24" s="48" t="str">
        <f t="shared" ref="AB24:AB45" si="29">IF(ISNUMBER(X24),SQRT((X24-Z24)^2+(Y24-AA24)^2),"")</f>
        <v/>
      </c>
      <c r="AC24" s="48" t="str">
        <f t="shared" ref="AC24:AC45" ca="1" si="30">IF(ISNUMBER(Z24),SQRT(($Z24-OFFSET($Z$20,MATCH(CS_Start,$A$21:$A$51,0),0))^2+($AA24-OFFSET($AA$20,MATCH(CS_Start,$A$21:$A$51,0),0))^2),"")</f>
        <v/>
      </c>
      <c r="AD24" s="48" t="str">
        <f t="shared" ref="AD24:AD45" si="31">IF(ISNUMBER(X24),W24-Min_Z,"")</f>
        <v/>
      </c>
      <c r="AE24" s="45" t="e">
        <f t="shared" ref="AE24:AE44" ca="1" si="32">ROUND(CONVERT(AC24,"m","ft"),2)</f>
        <v>#VALUE!</v>
      </c>
      <c r="AF24" s="45" t="e">
        <f t="shared" ref="AF24:AF44" si="33">ROUND(CONVERT(AD24,"m","ft"),2)</f>
        <v>#VALUE!</v>
      </c>
    </row>
    <row r="25" spans="1:35" x14ac:dyDescent="0.25">
      <c r="A25" s="45">
        <v>5</v>
      </c>
      <c r="B25" s="49">
        <v>11.829641203703703</v>
      </c>
      <c r="C25" s="49">
        <v>3.6786458333333329</v>
      </c>
      <c r="D25" s="45">
        <v>66.605000000000004</v>
      </c>
      <c r="E25" s="45">
        <v>3.7130000000000001</v>
      </c>
      <c r="F25" s="45"/>
      <c r="G25" s="44">
        <f t="shared" si="17"/>
        <v>88.287499999999994</v>
      </c>
      <c r="H25" s="44">
        <f t="shared" si="18"/>
        <v>1.5409075633544935</v>
      </c>
      <c r="I25" s="44">
        <f t="shared" si="3"/>
        <v>283.91138888888889</v>
      </c>
      <c r="J25" s="40">
        <f t="shared" si="19"/>
        <v>4.9551885200211565</v>
      </c>
      <c r="K25" s="40">
        <f t="shared" si="20"/>
        <v>66.575251819958353</v>
      </c>
      <c r="L25" s="16">
        <f t="shared" si="21"/>
        <v>1.9904447013502016</v>
      </c>
      <c r="M25" s="14"/>
      <c r="N25" s="17">
        <f t="shared" si="4"/>
        <v>283.91138888888889</v>
      </c>
      <c r="O25" s="17">
        <f t="shared" ca="1" si="22"/>
        <v>20.299312405005466</v>
      </c>
      <c r="P25" s="17">
        <f t="shared" ca="1" si="23"/>
        <v>304.21070129389437</v>
      </c>
      <c r="Q25" s="17">
        <f t="shared" ca="1" si="24"/>
        <v>5.3094783573794313</v>
      </c>
      <c r="R25" s="17">
        <f t="shared" ca="1" si="5"/>
        <v>-55.056107351360048</v>
      </c>
      <c r="S25" s="17">
        <f t="shared" ca="1" si="6"/>
        <v>37.431126061159134</v>
      </c>
      <c r="T25" s="14">
        <f t="shared" ca="1" si="7"/>
        <v>1062642.5788926487</v>
      </c>
      <c r="U25" s="14">
        <f t="shared" ca="1" si="8"/>
        <v>467235.37412606122</v>
      </c>
      <c r="V25" s="17">
        <f t="shared" si="9"/>
        <v>1261.6834447013503</v>
      </c>
      <c r="W25" s="17">
        <f t="shared" ca="1" si="10"/>
        <v>1260.5671165343354</v>
      </c>
      <c r="X25" s="48" t="str">
        <f t="shared" si="11"/>
        <v/>
      </c>
      <c r="Y25" s="48" t="str">
        <f t="shared" si="25"/>
        <v/>
      </c>
      <c r="Z25" s="48" t="str">
        <f t="shared" si="27"/>
        <v/>
      </c>
      <c r="AA25" s="48" t="str">
        <f t="shared" si="28"/>
        <v/>
      </c>
      <c r="AB25" s="48" t="str">
        <f t="shared" si="29"/>
        <v/>
      </c>
      <c r="AC25" s="48" t="str">
        <f t="shared" ca="1" si="30"/>
        <v/>
      </c>
      <c r="AD25" s="48" t="str">
        <f t="shared" si="31"/>
        <v/>
      </c>
      <c r="AE25" s="45" t="e">
        <f t="shared" ca="1" si="32"/>
        <v>#VALUE!</v>
      </c>
      <c r="AF25" s="45" t="e">
        <f t="shared" si="33"/>
        <v>#VALUE!</v>
      </c>
    </row>
    <row r="26" spans="1:35" x14ac:dyDescent="0.25">
      <c r="A26" s="45">
        <v>6</v>
      </c>
      <c r="B26" s="49">
        <v>11.761562499999998</v>
      </c>
      <c r="C26" s="49">
        <v>3.7090740740740742</v>
      </c>
      <c r="D26" s="45">
        <v>64.522999999999996</v>
      </c>
      <c r="E26" s="45">
        <v>3.7130000000000001</v>
      </c>
      <c r="F26" s="45"/>
      <c r="G26" s="44">
        <f t="shared" si="17"/>
        <v>89.017777777777781</v>
      </c>
      <c r="H26" s="44">
        <f t="shared" si="18"/>
        <v>1.5536533150308633</v>
      </c>
      <c r="I26" s="44">
        <f t="shared" si="3"/>
        <v>282.27749999999997</v>
      </c>
      <c r="J26" s="40">
        <f t="shared" si="19"/>
        <v>4.9266717792982933</v>
      </c>
      <c r="K26" s="40">
        <f t="shared" si="20"/>
        <v>64.51351913055133</v>
      </c>
      <c r="L26" s="16">
        <f t="shared" si="21"/>
        <v>1.1060643706344941</v>
      </c>
      <c r="M26" s="14"/>
      <c r="N26" s="17">
        <f t="shared" si="4"/>
        <v>282.27749999999997</v>
      </c>
      <c r="O26" s="17">
        <f t="shared" ca="1" si="22"/>
        <v>20.299312405005466</v>
      </c>
      <c r="P26" s="17">
        <f t="shared" ca="1" si="23"/>
        <v>302.57681240500546</v>
      </c>
      <c r="Q26" s="17">
        <f t="shared" ca="1" si="24"/>
        <v>5.2809616166565672</v>
      </c>
      <c r="R26" s="17">
        <f t="shared" ca="1" si="5"/>
        <v>-54.3636309378794</v>
      </c>
      <c r="S26" s="17">
        <f t="shared" ca="1" si="6"/>
        <v>34.736001235865565</v>
      </c>
      <c r="T26" s="14">
        <f t="shared" ca="1" si="7"/>
        <v>1062643.2713690621</v>
      </c>
      <c r="U26" s="14">
        <f t="shared" ca="1" si="8"/>
        <v>467232.67900123587</v>
      </c>
      <c r="V26" s="17">
        <f t="shared" si="9"/>
        <v>1260.7990643706344</v>
      </c>
      <c r="W26" s="17">
        <f t="shared" ca="1" si="10"/>
        <v>1259.6827362036195</v>
      </c>
      <c r="X26" s="48" t="str">
        <f t="shared" si="11"/>
        <v/>
      </c>
      <c r="Y26" s="48" t="str">
        <f t="shared" si="25"/>
        <v/>
      </c>
      <c r="Z26" s="48" t="str">
        <f t="shared" si="27"/>
        <v/>
      </c>
      <c r="AA26" s="48" t="str">
        <f t="shared" si="28"/>
        <v/>
      </c>
      <c r="AB26" s="48" t="str">
        <f t="shared" si="29"/>
        <v/>
      </c>
      <c r="AC26" s="48" t="str">
        <f t="shared" ca="1" si="30"/>
        <v/>
      </c>
      <c r="AD26" s="48" t="str">
        <f t="shared" si="31"/>
        <v/>
      </c>
      <c r="AE26" s="45" t="e">
        <f t="shared" ca="1" si="32"/>
        <v>#VALUE!</v>
      </c>
      <c r="AF26" s="45" t="e">
        <f t="shared" si="33"/>
        <v>#VALUE!</v>
      </c>
    </row>
    <row r="27" spans="1:35" x14ac:dyDescent="0.25">
      <c r="A27" s="45">
        <v>7</v>
      </c>
      <c r="B27" s="49">
        <v>11.692141203703704</v>
      </c>
      <c r="C27" s="49">
        <v>3.7525694444444446</v>
      </c>
      <c r="D27" s="45">
        <v>62.957999999999998</v>
      </c>
      <c r="E27" s="45">
        <v>3.7130000000000001</v>
      </c>
      <c r="F27" s="45"/>
      <c r="G27" s="44">
        <f t="shared" si="17"/>
        <v>90.061666666666667</v>
      </c>
      <c r="H27" s="44">
        <f t="shared" si="18"/>
        <v>1.5718726131669598</v>
      </c>
      <c r="I27" s="44">
        <f t="shared" si="3"/>
        <v>280.61138888888888</v>
      </c>
      <c r="J27" s="40">
        <f t="shared" si="19"/>
        <v>4.8975926547053437</v>
      </c>
      <c r="K27" s="40">
        <f t="shared" si="20"/>
        <v>62.957963534970588</v>
      </c>
      <c r="L27" s="16">
        <f t="shared" si="21"/>
        <v>-6.7760824330082389E-2</v>
      </c>
      <c r="M27" s="14"/>
      <c r="N27" s="17">
        <f t="shared" si="4"/>
        <v>280.61138888888888</v>
      </c>
      <c r="O27" s="17">
        <f t="shared" ca="1" si="22"/>
        <v>20.299312405005466</v>
      </c>
      <c r="P27" s="17">
        <f t="shared" ca="1" si="23"/>
        <v>300.91070129389436</v>
      </c>
      <c r="Q27" s="17">
        <f t="shared" ca="1" si="24"/>
        <v>5.2518824920636176</v>
      </c>
      <c r="R27" s="17">
        <f t="shared" ca="1" si="5"/>
        <v>-54.015979455641741</v>
      </c>
      <c r="S27" s="17">
        <f t="shared" ca="1" si="6"/>
        <v>32.341600701238896</v>
      </c>
      <c r="T27" s="14">
        <f t="shared" ca="1" si="7"/>
        <v>1062643.6190205445</v>
      </c>
      <c r="U27" s="14">
        <f t="shared" ca="1" si="8"/>
        <v>467230.28460070124</v>
      </c>
      <c r="V27" s="17">
        <f t="shared" si="9"/>
        <v>1259.62523917567</v>
      </c>
      <c r="W27" s="17">
        <f t="shared" ca="1" si="10"/>
        <v>1258.5089110086551</v>
      </c>
      <c r="X27" s="48" t="str">
        <f t="shared" si="11"/>
        <v/>
      </c>
      <c r="Y27" s="48" t="str">
        <f t="shared" si="25"/>
        <v/>
      </c>
      <c r="Z27" s="48" t="str">
        <f t="shared" si="27"/>
        <v/>
      </c>
      <c r="AA27" s="48" t="str">
        <f t="shared" si="28"/>
        <v/>
      </c>
      <c r="AB27" s="48" t="str">
        <f t="shared" si="29"/>
        <v/>
      </c>
      <c r="AC27" s="48" t="str">
        <f t="shared" ca="1" si="30"/>
        <v/>
      </c>
      <c r="AD27" s="48" t="str">
        <f t="shared" si="31"/>
        <v/>
      </c>
      <c r="AE27" s="45" t="e">
        <f t="shared" ca="1" si="32"/>
        <v>#VALUE!</v>
      </c>
      <c r="AF27" s="45" t="e">
        <f t="shared" si="33"/>
        <v>#VALUE!</v>
      </c>
    </row>
    <row r="28" spans="1:35" x14ac:dyDescent="0.25">
      <c r="A28" s="45">
        <v>8</v>
      </c>
      <c r="B28" s="49">
        <v>11.603090277777779</v>
      </c>
      <c r="C28" s="49">
        <v>3.7810648148148149</v>
      </c>
      <c r="D28" s="45">
        <v>61.936</v>
      </c>
      <c r="E28" s="45">
        <v>3.7130000000000001</v>
      </c>
      <c r="F28" s="45"/>
      <c r="G28" s="44">
        <f t="shared" si="17"/>
        <v>90.745555555555555</v>
      </c>
      <c r="H28" s="44">
        <f t="shared" si="18"/>
        <v>1.5838087259958766</v>
      </c>
      <c r="I28" s="44">
        <f t="shared" si="3"/>
        <v>278.47416666666669</v>
      </c>
      <c r="J28" s="40">
        <f t="shared" si="19"/>
        <v>4.8602910900807768</v>
      </c>
      <c r="K28" s="40">
        <f t="shared" si="20"/>
        <v>61.930756493786724</v>
      </c>
      <c r="L28" s="16">
        <f t="shared" si="21"/>
        <v>-0.80591321325151088</v>
      </c>
      <c r="M28" s="14"/>
      <c r="N28" s="17">
        <f t="shared" si="4"/>
        <v>278.47416666666669</v>
      </c>
      <c r="O28" s="17">
        <f t="shared" ca="1" si="22"/>
        <v>20.299312405005466</v>
      </c>
      <c r="P28" s="17">
        <f t="shared" ca="1" si="23"/>
        <v>298.77347907167217</v>
      </c>
      <c r="Q28" s="17">
        <f t="shared" ca="1" si="24"/>
        <v>5.2145809274390507</v>
      </c>
      <c r="R28" s="17">
        <f t="shared" ca="1" si="5"/>
        <v>-54.284139923154257</v>
      </c>
      <c r="S28" s="17">
        <f t="shared" ca="1" si="6"/>
        <v>29.810245767120353</v>
      </c>
      <c r="T28" s="14">
        <f t="shared" ca="1" si="7"/>
        <v>1062643.350860077</v>
      </c>
      <c r="U28" s="14">
        <f t="shared" ca="1" si="8"/>
        <v>467227.75324576715</v>
      </c>
      <c r="V28" s="17">
        <f t="shared" si="9"/>
        <v>1258.8870867867486</v>
      </c>
      <c r="W28" s="17">
        <f t="shared" ca="1" si="10"/>
        <v>1257.7707586197337</v>
      </c>
      <c r="X28" s="48" t="str">
        <f t="shared" si="11"/>
        <v/>
      </c>
      <c r="Y28" s="48" t="str">
        <f t="shared" si="25"/>
        <v/>
      </c>
      <c r="Z28" s="48" t="str">
        <f t="shared" si="27"/>
        <v/>
      </c>
      <c r="AA28" s="48" t="str">
        <f t="shared" si="28"/>
        <v/>
      </c>
      <c r="AB28" s="48" t="str">
        <f t="shared" si="29"/>
        <v/>
      </c>
      <c r="AC28" s="48" t="str">
        <f t="shared" ca="1" si="30"/>
        <v/>
      </c>
      <c r="AD28" s="48" t="str">
        <f t="shared" si="31"/>
        <v/>
      </c>
      <c r="AE28" s="45" t="e">
        <f t="shared" ca="1" si="32"/>
        <v>#VALUE!</v>
      </c>
      <c r="AF28" s="45" t="e">
        <f t="shared" si="33"/>
        <v>#VALUE!</v>
      </c>
    </row>
    <row r="29" spans="1:35" x14ac:dyDescent="0.25">
      <c r="A29" s="45">
        <v>9</v>
      </c>
      <c r="B29" s="49">
        <v>11.568703703703704</v>
      </c>
      <c r="C29" s="49">
        <v>3.8122106481481484</v>
      </c>
      <c r="D29" s="45">
        <v>61.774000000000001</v>
      </c>
      <c r="E29" s="45">
        <v>3.7130000000000001</v>
      </c>
      <c r="F29" s="45"/>
      <c r="G29" s="44">
        <f t="shared" si="17"/>
        <v>91.493055555555557</v>
      </c>
      <c r="H29" s="44">
        <f t="shared" si="18"/>
        <v>1.5968550621545341</v>
      </c>
      <c r="I29" s="44">
        <f t="shared" si="3"/>
        <v>277.64888888888891</v>
      </c>
      <c r="J29" s="40">
        <f t="shared" si="19"/>
        <v>4.845887275615012</v>
      </c>
      <c r="K29" s="40">
        <f t="shared" si="20"/>
        <v>61.75302713202985</v>
      </c>
      <c r="L29" s="16">
        <f t="shared" si="21"/>
        <v>-1.6095701385105017</v>
      </c>
      <c r="M29" s="14"/>
      <c r="N29" s="17">
        <f t="shared" si="4"/>
        <v>277.64888888888891</v>
      </c>
      <c r="O29" s="17">
        <f t="shared" ca="1" si="22"/>
        <v>20.299312405005466</v>
      </c>
      <c r="P29" s="17">
        <f t="shared" ca="1" si="23"/>
        <v>297.94820129389439</v>
      </c>
      <c r="Q29" s="17">
        <f t="shared" ca="1" si="24"/>
        <v>5.2001771129732859</v>
      </c>
      <c r="R29" s="17">
        <f t="shared" ca="1" si="5"/>
        <v>-54.550874179247735</v>
      </c>
      <c r="S29" s="17">
        <f t="shared" ca="1" si="6"/>
        <v>28.941984836031846</v>
      </c>
      <c r="T29" s="14">
        <f t="shared" ca="1" si="7"/>
        <v>1062643.0841258208</v>
      </c>
      <c r="U29" s="14">
        <f t="shared" ca="1" si="8"/>
        <v>467226.88498483604</v>
      </c>
      <c r="V29" s="17">
        <f t="shared" si="9"/>
        <v>1258.0834298614895</v>
      </c>
      <c r="W29" s="17">
        <f t="shared" ca="1" si="10"/>
        <v>1256.9671016944746</v>
      </c>
      <c r="X29" s="48" t="str">
        <f t="shared" si="11"/>
        <v/>
      </c>
      <c r="Y29" s="48" t="str">
        <f t="shared" si="25"/>
        <v/>
      </c>
      <c r="Z29" s="48" t="str">
        <f t="shared" si="27"/>
        <v/>
      </c>
      <c r="AA29" s="48" t="str">
        <f t="shared" si="28"/>
        <v/>
      </c>
      <c r="AB29" s="48" t="str">
        <f t="shared" si="29"/>
        <v/>
      </c>
      <c r="AC29" s="48" t="str">
        <f t="shared" ca="1" si="30"/>
        <v/>
      </c>
      <c r="AD29" s="48" t="str">
        <f t="shared" si="31"/>
        <v/>
      </c>
      <c r="AE29" s="45" t="e">
        <f t="shared" ca="1" si="32"/>
        <v>#VALUE!</v>
      </c>
      <c r="AF29" s="45" t="e">
        <f t="shared" si="33"/>
        <v>#VALUE!</v>
      </c>
    </row>
    <row r="30" spans="1:35" x14ac:dyDescent="0.25">
      <c r="A30" s="45">
        <v>10</v>
      </c>
      <c r="B30" s="49">
        <v>11.567303240740742</v>
      </c>
      <c r="C30" s="49">
        <v>3.8268287037037036</v>
      </c>
      <c r="D30" s="45">
        <v>61.773000000000003</v>
      </c>
      <c r="E30" s="45">
        <v>3.7130000000000001</v>
      </c>
      <c r="F30" s="50" t="s">
        <v>70</v>
      </c>
      <c r="G30" s="44">
        <f t="shared" si="17"/>
        <v>91.843888888888884</v>
      </c>
      <c r="H30" s="44">
        <f t="shared" si="18"/>
        <v>1.6029782589469475</v>
      </c>
      <c r="I30" s="44">
        <f t="shared" si="3"/>
        <v>277.61527777777781</v>
      </c>
      <c r="J30" s="40">
        <f t="shared" si="19"/>
        <v>4.8453006510608692</v>
      </c>
      <c r="K30" s="40">
        <f t="shared" si="20"/>
        <v>61.741014330554535</v>
      </c>
      <c r="L30" s="16">
        <f t="shared" si="21"/>
        <v>-1.9876313627681668</v>
      </c>
      <c r="M30" s="14"/>
      <c r="N30" s="17">
        <f t="shared" si="4"/>
        <v>277.61527777777781</v>
      </c>
      <c r="O30" s="17">
        <f t="shared" ca="1" si="22"/>
        <v>20.299312405005466</v>
      </c>
      <c r="P30" s="17">
        <f t="shared" ca="1" si="23"/>
        <v>297.91459018278329</v>
      </c>
      <c r="Q30" s="17">
        <f t="shared" ca="1" si="24"/>
        <v>5.199590488419144</v>
      </c>
      <c r="R30" s="17">
        <f t="shared" ca="1" si="5"/>
        <v>-54.557227801659181</v>
      </c>
      <c r="S30" s="17">
        <f t="shared" ca="1" si="6"/>
        <v>28.904355124506868</v>
      </c>
      <c r="T30" s="14">
        <f t="shared" ca="1" si="7"/>
        <v>1062643.0777721982</v>
      </c>
      <c r="U30" s="14">
        <f t="shared" ca="1" si="8"/>
        <v>467226.84735512454</v>
      </c>
      <c r="V30" s="17">
        <f t="shared" si="9"/>
        <v>1257.7053686372319</v>
      </c>
      <c r="W30" s="17">
        <f t="shared" ca="1" si="10"/>
        <v>1256.589040470217</v>
      </c>
      <c r="X30" s="48" t="str">
        <f t="shared" si="11"/>
        <v/>
      </c>
      <c r="Y30" s="48" t="str">
        <f t="shared" si="25"/>
        <v/>
      </c>
      <c r="Z30" s="48" t="str">
        <f t="shared" si="27"/>
        <v/>
      </c>
      <c r="AA30" s="48" t="str">
        <f t="shared" si="28"/>
        <v/>
      </c>
      <c r="AB30" s="48" t="str">
        <f t="shared" si="29"/>
        <v/>
      </c>
      <c r="AC30" s="48" t="str">
        <f t="shared" ca="1" si="30"/>
        <v/>
      </c>
      <c r="AD30" s="48" t="str">
        <f t="shared" si="31"/>
        <v/>
      </c>
      <c r="AE30" s="45" t="e">
        <f t="shared" ca="1" si="32"/>
        <v>#VALUE!</v>
      </c>
      <c r="AF30" s="45" t="e">
        <f t="shared" si="33"/>
        <v>#VALUE!</v>
      </c>
    </row>
    <row r="31" spans="1:35" x14ac:dyDescent="0.25">
      <c r="A31" s="45">
        <v>11</v>
      </c>
      <c r="B31" s="49">
        <v>11.406631944444444</v>
      </c>
      <c r="C31" s="49">
        <v>3.8279166666666669</v>
      </c>
      <c r="D31" s="45">
        <v>60.564</v>
      </c>
      <c r="E31" s="45">
        <v>3.7130000000000001</v>
      </c>
      <c r="F31" s="45"/>
      <c r="G31" s="44">
        <f t="shared" si="17"/>
        <v>91.87</v>
      </c>
      <c r="H31" s="44">
        <f t="shared" si="18"/>
        <v>1.6034339838071907</v>
      </c>
      <c r="I31" s="44">
        <f t="shared" si="3"/>
        <v>273.75916666666666</v>
      </c>
      <c r="J31" s="40">
        <f t="shared" si="19"/>
        <v>4.7779988158492435</v>
      </c>
      <c r="K31" s="40">
        <f t="shared" si="20"/>
        <v>60.531745972525428</v>
      </c>
      <c r="L31" s="16">
        <f t="shared" si="21"/>
        <v>-1.9763161482040097</v>
      </c>
      <c r="M31" s="14"/>
      <c r="N31" s="17">
        <f t="shared" si="4"/>
        <v>273.75916666666666</v>
      </c>
      <c r="O31" s="17">
        <f t="shared" ca="1" si="22"/>
        <v>20.299312405005466</v>
      </c>
      <c r="P31" s="17">
        <f t="shared" ca="1" si="23"/>
        <v>294.05847907167214</v>
      </c>
      <c r="Q31" s="17">
        <f t="shared" ca="1" si="24"/>
        <v>5.1322886532075174</v>
      </c>
      <c r="R31" s="17">
        <f t="shared" ca="1" si="5"/>
        <v>-55.273343827888425</v>
      </c>
      <c r="S31" s="17">
        <f t="shared" ca="1" si="6"/>
        <v>24.676906867887173</v>
      </c>
      <c r="T31" s="14">
        <f t="shared" ca="1" si="7"/>
        <v>1062642.3616561722</v>
      </c>
      <c r="U31" s="14">
        <f t="shared" ca="1" si="8"/>
        <v>467222.61990686791</v>
      </c>
      <c r="V31" s="17">
        <f t="shared" si="9"/>
        <v>1257.716683851796</v>
      </c>
      <c r="W31" s="17">
        <f t="shared" ca="1" si="10"/>
        <v>1256.6003556847811</v>
      </c>
      <c r="X31" s="48" t="str">
        <f t="shared" si="11"/>
        <v/>
      </c>
      <c r="Y31" s="48" t="str">
        <f t="shared" si="25"/>
        <v/>
      </c>
      <c r="Z31" s="48" t="str">
        <f t="shared" si="27"/>
        <v/>
      </c>
      <c r="AA31" s="48" t="str">
        <f t="shared" si="28"/>
        <v/>
      </c>
      <c r="AB31" s="48" t="str">
        <f t="shared" si="29"/>
        <v/>
      </c>
      <c r="AC31" s="48" t="str">
        <f t="shared" ca="1" si="30"/>
        <v/>
      </c>
      <c r="AD31" s="48" t="str">
        <f t="shared" si="31"/>
        <v/>
      </c>
      <c r="AE31" s="45" t="e">
        <f t="shared" ca="1" si="32"/>
        <v>#VALUE!</v>
      </c>
      <c r="AF31" s="45" t="e">
        <f t="shared" si="33"/>
        <v>#VALUE!</v>
      </c>
    </row>
    <row r="32" spans="1:35" x14ac:dyDescent="0.25">
      <c r="A32" s="45">
        <v>12</v>
      </c>
      <c r="B32" s="49">
        <v>11.277708333333335</v>
      </c>
      <c r="C32" s="49">
        <v>3.8261574074074076</v>
      </c>
      <c r="D32" s="45">
        <v>60.113</v>
      </c>
      <c r="E32" s="45">
        <v>3.7130000000000001</v>
      </c>
      <c r="F32" s="45"/>
      <c r="G32" s="44">
        <f t="shared" si="17"/>
        <v>91.827777777777783</v>
      </c>
      <c r="H32" s="44">
        <f t="shared" si="18"/>
        <v>1.6026970670119041</v>
      </c>
      <c r="I32" s="44">
        <f t="shared" si="3"/>
        <v>270.66500000000002</v>
      </c>
      <c r="J32" s="40">
        <f t="shared" si="19"/>
        <v>4.7239954199104526</v>
      </c>
      <c r="K32" s="40">
        <f t="shared" si="20"/>
        <v>60.082415379428582</v>
      </c>
      <c r="L32" s="16">
        <f t="shared" si="21"/>
        <v>-1.9173239616205204</v>
      </c>
      <c r="M32" s="14"/>
      <c r="N32" s="17">
        <f t="shared" si="4"/>
        <v>270.66500000000002</v>
      </c>
      <c r="O32" s="17">
        <f t="shared" ca="1" si="22"/>
        <v>20.299312405005466</v>
      </c>
      <c r="P32" s="17">
        <f t="shared" ca="1" si="23"/>
        <v>290.9643124050055</v>
      </c>
      <c r="Q32" s="17">
        <f t="shared" ca="1" si="24"/>
        <v>5.0782852572687265</v>
      </c>
      <c r="R32" s="17">
        <f t="shared" ca="1" si="5"/>
        <v>-56.105167403093091</v>
      </c>
      <c r="S32" s="17">
        <f t="shared" ca="1" si="6"/>
        <v>21.496670172310324</v>
      </c>
      <c r="T32" s="14">
        <f t="shared" ca="1" si="7"/>
        <v>1062641.5298325969</v>
      </c>
      <c r="U32" s="14">
        <f t="shared" ca="1" si="8"/>
        <v>467219.43967017235</v>
      </c>
      <c r="V32" s="17">
        <f t="shared" si="9"/>
        <v>1257.7756760383795</v>
      </c>
      <c r="W32" s="17">
        <f t="shared" ca="1" si="10"/>
        <v>1256.6593478713646</v>
      </c>
      <c r="X32" s="48" t="str">
        <f t="shared" si="11"/>
        <v/>
      </c>
      <c r="Y32" s="48" t="str">
        <f t="shared" si="25"/>
        <v/>
      </c>
      <c r="Z32" s="48" t="str">
        <f t="shared" si="27"/>
        <v/>
      </c>
      <c r="AA32" s="48" t="str">
        <f t="shared" si="28"/>
        <v/>
      </c>
      <c r="AB32" s="48" t="str">
        <f t="shared" si="29"/>
        <v/>
      </c>
      <c r="AC32" s="48" t="str">
        <f t="shared" ca="1" si="30"/>
        <v/>
      </c>
      <c r="AD32" s="48" t="str">
        <f t="shared" si="31"/>
        <v/>
      </c>
      <c r="AE32" s="45" t="e">
        <f t="shared" ca="1" si="32"/>
        <v>#VALUE!</v>
      </c>
      <c r="AF32" s="45" t="e">
        <f t="shared" si="33"/>
        <v>#VALUE!</v>
      </c>
    </row>
    <row r="33" spans="1:38" x14ac:dyDescent="0.25">
      <c r="A33" s="45">
        <v>13</v>
      </c>
      <c r="B33" s="49">
        <v>11.159699074074075</v>
      </c>
      <c r="C33" s="49">
        <v>3.8275231481481478</v>
      </c>
      <c r="D33" s="45">
        <v>59.895000000000003</v>
      </c>
      <c r="E33" s="45">
        <v>3.7130000000000001</v>
      </c>
      <c r="F33" s="45"/>
      <c r="G33" s="44">
        <f t="shared" si="17"/>
        <v>91.86055555555555</v>
      </c>
      <c r="H33" s="44">
        <f t="shared" si="18"/>
        <v>1.6032691471556133</v>
      </c>
      <c r="I33" s="44">
        <f t="shared" si="3"/>
        <v>267.83277777777778</v>
      </c>
      <c r="J33" s="40">
        <f t="shared" si="19"/>
        <v>4.6745638169845236</v>
      </c>
      <c r="K33" s="40">
        <f t="shared" si="20"/>
        <v>59.863423613427216</v>
      </c>
      <c r="L33" s="16">
        <f t="shared" si="21"/>
        <v>-1.9446177720479463</v>
      </c>
      <c r="M33" s="14"/>
      <c r="N33" s="17">
        <f t="shared" si="4"/>
        <v>267.83277777777778</v>
      </c>
      <c r="O33" s="17">
        <f t="shared" ca="1" si="22"/>
        <v>20.299312405005466</v>
      </c>
      <c r="P33" s="17">
        <f t="shared" ca="1" si="23"/>
        <v>288.13209018278326</v>
      </c>
      <c r="Q33" s="17">
        <f t="shared" ca="1" si="24"/>
        <v>5.0288536543427984</v>
      </c>
      <c r="R33" s="17">
        <f t="shared" ca="1" si="5"/>
        <v>-56.890700527230486</v>
      </c>
      <c r="S33" s="17">
        <f t="shared" ca="1" si="6"/>
        <v>18.630020940450166</v>
      </c>
      <c r="T33" s="14">
        <f t="shared" ca="1" si="7"/>
        <v>1062640.7442994728</v>
      </c>
      <c r="U33" s="14">
        <f t="shared" ca="1" si="8"/>
        <v>467216.57302094047</v>
      </c>
      <c r="V33" s="17">
        <f t="shared" si="9"/>
        <v>1257.7483822279521</v>
      </c>
      <c r="W33" s="17">
        <f t="shared" ca="1" si="10"/>
        <v>1256.6320540609372</v>
      </c>
      <c r="X33" s="48" t="str">
        <f t="shared" si="11"/>
        <v/>
      </c>
      <c r="Y33" s="48" t="str">
        <f t="shared" si="25"/>
        <v/>
      </c>
      <c r="Z33" s="48" t="str">
        <f t="shared" si="27"/>
        <v/>
      </c>
      <c r="AA33" s="48" t="str">
        <f t="shared" si="28"/>
        <v/>
      </c>
      <c r="AB33" s="48" t="str">
        <f t="shared" si="29"/>
        <v/>
      </c>
      <c r="AC33" s="48" t="str">
        <f t="shared" ca="1" si="30"/>
        <v/>
      </c>
      <c r="AD33" s="48" t="str">
        <f t="shared" si="31"/>
        <v/>
      </c>
      <c r="AE33" s="45" t="e">
        <f t="shared" ca="1" si="32"/>
        <v>#VALUE!</v>
      </c>
      <c r="AF33" s="45" t="e">
        <f t="shared" si="33"/>
        <v>#VALUE!</v>
      </c>
    </row>
    <row r="34" spans="1:38" x14ac:dyDescent="0.25">
      <c r="A34" s="45">
        <v>14</v>
      </c>
      <c r="B34" s="49">
        <v>10.286481481481482</v>
      </c>
      <c r="C34" s="49">
        <v>3.828125</v>
      </c>
      <c r="D34" s="45">
        <v>61.256999999999998</v>
      </c>
      <c r="E34" s="45">
        <v>3.7130000000000001</v>
      </c>
      <c r="F34" s="45"/>
      <c r="G34" s="44">
        <f t="shared" si="17"/>
        <v>91.875</v>
      </c>
      <c r="H34" s="44">
        <f t="shared" si="18"/>
        <v>1.6035212502697902</v>
      </c>
      <c r="I34" s="44">
        <f t="shared" si="3"/>
        <v>246.87555555555559</v>
      </c>
      <c r="J34" s="40">
        <f t="shared" si="19"/>
        <v>4.3087912871346239</v>
      </c>
      <c r="K34" s="40">
        <f t="shared" si="20"/>
        <v>61.224202235039733</v>
      </c>
      <c r="L34" s="16">
        <f t="shared" si="21"/>
        <v>-2.0042728564135346</v>
      </c>
      <c r="M34" s="14"/>
      <c r="N34" s="17">
        <f t="shared" si="4"/>
        <v>246.87555555555559</v>
      </c>
      <c r="O34" s="17">
        <f t="shared" ca="1" si="22"/>
        <v>20.299312405005466</v>
      </c>
      <c r="P34" s="17">
        <f t="shared" ca="1" si="23"/>
        <v>267.17486796056107</v>
      </c>
      <c r="Q34" s="17">
        <f t="shared" ca="1" si="24"/>
        <v>4.6630811244928978</v>
      </c>
      <c r="R34" s="17">
        <f t="shared" ca="1" si="5"/>
        <v>-61.149791193560276</v>
      </c>
      <c r="S34" s="17">
        <f t="shared" ca="1" si="6"/>
        <v>-3.017611025467446</v>
      </c>
      <c r="T34" s="14">
        <f t="shared" ca="1" si="7"/>
        <v>1062636.4852088063</v>
      </c>
      <c r="U34" s="14">
        <f t="shared" ca="1" si="8"/>
        <v>467194.92538897455</v>
      </c>
      <c r="V34" s="17">
        <f t="shared" si="9"/>
        <v>1257.6887271435864</v>
      </c>
      <c r="W34" s="17">
        <f t="shared" ca="1" si="10"/>
        <v>1256.5723989765715</v>
      </c>
      <c r="X34" s="48" t="str">
        <f t="shared" si="11"/>
        <v/>
      </c>
      <c r="Y34" s="48" t="str">
        <f t="shared" si="25"/>
        <v/>
      </c>
      <c r="Z34" s="48" t="str">
        <f t="shared" si="27"/>
        <v/>
      </c>
      <c r="AA34" s="48" t="str">
        <f t="shared" si="28"/>
        <v/>
      </c>
      <c r="AB34" s="48" t="str">
        <f t="shared" si="29"/>
        <v/>
      </c>
      <c r="AC34" s="48" t="str">
        <f t="shared" ca="1" si="30"/>
        <v/>
      </c>
      <c r="AD34" s="48" t="str">
        <f t="shared" si="31"/>
        <v/>
      </c>
      <c r="AE34" s="45" t="e">
        <f t="shared" ca="1" si="32"/>
        <v>#VALUE!</v>
      </c>
      <c r="AF34" s="45" t="e">
        <f t="shared" si="33"/>
        <v>#VALUE!</v>
      </c>
    </row>
    <row r="35" spans="1:38" x14ac:dyDescent="0.25">
      <c r="A35" s="45">
        <v>15</v>
      </c>
      <c r="B35" s="49">
        <v>9.1723958333333329</v>
      </c>
      <c r="C35" s="49">
        <v>3.8213194444444447</v>
      </c>
      <c r="D35" s="45">
        <v>69.293000000000006</v>
      </c>
      <c r="E35" s="45">
        <v>3.7130000000000001</v>
      </c>
      <c r="F35" s="45"/>
      <c r="G35" s="44">
        <f t="shared" si="17"/>
        <v>91.711666666666673</v>
      </c>
      <c r="H35" s="44">
        <f t="shared" si="18"/>
        <v>1.6006705458248662</v>
      </c>
      <c r="I35" s="44">
        <f t="shared" si="3"/>
        <v>220.13749999999999</v>
      </c>
      <c r="J35" s="40">
        <f t="shared" si="19"/>
        <v>3.8421241821090169</v>
      </c>
      <c r="K35" s="40">
        <f t="shared" si="20"/>
        <v>69.262081373681013</v>
      </c>
      <c r="L35" s="16">
        <f t="shared" si="21"/>
        <v>-2.0697663601457323</v>
      </c>
      <c r="M35" s="14"/>
      <c r="N35" s="17">
        <f t="shared" si="4"/>
        <v>220.13749999999999</v>
      </c>
      <c r="O35" s="17">
        <f t="shared" ca="1" si="22"/>
        <v>20.299312405005466</v>
      </c>
      <c r="P35" s="17">
        <f t="shared" ca="1" si="23"/>
        <v>240.43681240500547</v>
      </c>
      <c r="Q35" s="17">
        <f t="shared" ca="1" si="24"/>
        <v>4.1964140194672916</v>
      </c>
      <c r="R35" s="17">
        <f t="shared" ca="1" si="5"/>
        <v>-60.244996901466777</v>
      </c>
      <c r="S35" s="17">
        <f t="shared" ca="1" si="6"/>
        <v>-34.172741542882818</v>
      </c>
      <c r="T35" s="14">
        <f t="shared" ca="1" si="7"/>
        <v>1062637.3900030986</v>
      </c>
      <c r="U35" s="14">
        <f t="shared" ca="1" si="8"/>
        <v>467163.77025845717</v>
      </c>
      <c r="V35" s="17">
        <f t="shared" si="9"/>
        <v>1257.6232336398543</v>
      </c>
      <c r="W35" s="17">
        <f t="shared" ca="1" si="10"/>
        <v>1256.5069054728394</v>
      </c>
      <c r="X35" s="48" t="str">
        <f t="shared" si="11"/>
        <v/>
      </c>
      <c r="Y35" s="48" t="str">
        <f t="shared" si="25"/>
        <v/>
      </c>
      <c r="Z35" s="48" t="str">
        <f t="shared" si="27"/>
        <v/>
      </c>
      <c r="AA35" s="48" t="str">
        <f t="shared" si="28"/>
        <v/>
      </c>
      <c r="AB35" s="48" t="str">
        <f t="shared" si="29"/>
        <v/>
      </c>
      <c r="AC35" s="48" t="str">
        <f t="shared" ca="1" si="30"/>
        <v/>
      </c>
      <c r="AD35" s="48" t="str">
        <f t="shared" si="31"/>
        <v/>
      </c>
      <c r="AE35" s="45" t="e">
        <f t="shared" ca="1" si="32"/>
        <v>#VALUE!</v>
      </c>
      <c r="AF35" s="45" t="e">
        <f t="shared" si="33"/>
        <v>#VALUE!</v>
      </c>
    </row>
    <row r="36" spans="1:38" x14ac:dyDescent="0.25">
      <c r="A36" s="45">
        <v>16</v>
      </c>
      <c r="B36" s="49">
        <v>9.1539699074074079</v>
      </c>
      <c r="C36" s="49">
        <v>3.8177314814814811</v>
      </c>
      <c r="D36" s="45">
        <v>69.772999999999996</v>
      </c>
      <c r="E36" s="45">
        <v>3.7130000000000001</v>
      </c>
      <c r="F36" s="50" t="s">
        <v>70</v>
      </c>
      <c r="G36" s="44">
        <f t="shared" si="17"/>
        <v>91.62555555555555</v>
      </c>
      <c r="H36" s="44">
        <f t="shared" si="18"/>
        <v>1.5991676234134264</v>
      </c>
      <c r="I36" s="44">
        <f t="shared" si="3"/>
        <v>219.69527777777779</v>
      </c>
      <c r="J36" s="40">
        <f t="shared" si="19"/>
        <v>3.8344059483057538</v>
      </c>
      <c r="K36" s="40">
        <f t="shared" si="20"/>
        <v>69.744920676662687</v>
      </c>
      <c r="L36" s="16">
        <f t="shared" si="21"/>
        <v>-1.9792849229024454</v>
      </c>
      <c r="M36" s="14"/>
      <c r="N36" s="17">
        <f t="shared" si="4"/>
        <v>219.69527777777779</v>
      </c>
      <c r="O36" s="17">
        <f t="shared" ca="1" si="22"/>
        <v>20.299312405005466</v>
      </c>
      <c r="P36" s="17">
        <f t="shared" ca="1" si="23"/>
        <v>239.99459018278327</v>
      </c>
      <c r="Q36" s="17">
        <f t="shared" ca="1" si="24"/>
        <v>4.1886957856640281</v>
      </c>
      <c r="R36" s="17">
        <f t="shared" ca="1" si="5"/>
        <v>-60.397580194589551</v>
      </c>
      <c r="S36" s="17">
        <f t="shared" ca="1" si="6"/>
        <v>-34.878163180306586</v>
      </c>
      <c r="T36" s="14">
        <f t="shared" ca="1" si="7"/>
        <v>1062637.2374198055</v>
      </c>
      <c r="U36" s="14">
        <f t="shared" ca="1" si="8"/>
        <v>467163.06483681971</v>
      </c>
      <c r="V36" s="17">
        <f t="shared" si="9"/>
        <v>1257.7137150770975</v>
      </c>
      <c r="W36" s="17">
        <f t="shared" ca="1" si="10"/>
        <v>1256.5973869100826</v>
      </c>
      <c r="X36" s="48" t="str">
        <f t="shared" si="11"/>
        <v/>
      </c>
      <c r="Y36" s="48" t="str">
        <f t="shared" si="25"/>
        <v/>
      </c>
      <c r="Z36" s="48" t="str">
        <f t="shared" si="27"/>
        <v/>
      </c>
      <c r="AA36" s="48" t="str">
        <f t="shared" si="28"/>
        <v/>
      </c>
      <c r="AB36" s="48" t="str">
        <f t="shared" si="29"/>
        <v/>
      </c>
      <c r="AC36" s="48" t="str">
        <f t="shared" ca="1" si="30"/>
        <v/>
      </c>
      <c r="AD36" s="48" t="str">
        <f t="shared" si="31"/>
        <v/>
      </c>
      <c r="AE36" s="45" t="e">
        <f t="shared" ca="1" si="32"/>
        <v>#VALUE!</v>
      </c>
      <c r="AF36" s="45" t="e">
        <f t="shared" si="33"/>
        <v>#VALUE!</v>
      </c>
    </row>
    <row r="37" spans="1:38" x14ac:dyDescent="0.25">
      <c r="A37" s="45">
        <v>17</v>
      </c>
      <c r="B37" s="49">
        <v>9.1361226851851853</v>
      </c>
      <c r="C37" s="49">
        <v>3.8056249999999996</v>
      </c>
      <c r="D37" s="45">
        <v>70.066000000000003</v>
      </c>
      <c r="E37" s="45">
        <v>3.7130000000000001</v>
      </c>
      <c r="F37" s="45"/>
      <c r="G37" s="44">
        <f t="shared" si="17"/>
        <v>91.334999999999994</v>
      </c>
      <c r="H37" s="44">
        <f t="shared" si="18"/>
        <v>1.5940964723090207</v>
      </c>
      <c r="I37" s="44">
        <f t="shared" si="3"/>
        <v>219.26694444444445</v>
      </c>
      <c r="J37" s="40">
        <f t="shared" si="19"/>
        <v>3.8269301213430444</v>
      </c>
      <c r="K37" s="40">
        <f t="shared" si="20"/>
        <v>70.046981557516247</v>
      </c>
      <c r="L37" s="16">
        <f t="shared" si="21"/>
        <v>-1.6324002820937367</v>
      </c>
      <c r="M37" s="14"/>
      <c r="N37" s="17">
        <f t="shared" si="4"/>
        <v>219.26694444444445</v>
      </c>
      <c r="O37" s="17">
        <f t="shared" ca="1" si="22"/>
        <v>20.299312405005466</v>
      </c>
      <c r="P37" s="17">
        <f t="shared" ca="1" si="23"/>
        <v>239.56625684944993</v>
      </c>
      <c r="Q37" s="17">
        <f t="shared" ca="1" si="24"/>
        <v>4.1812199587013188</v>
      </c>
      <c r="R37" s="17">
        <f t="shared" ca="1" si="5"/>
        <v>-60.395593342736959</v>
      </c>
      <c r="S37" s="17">
        <f t="shared" ca="1" si="6"/>
        <v>-35.48171261506085</v>
      </c>
      <c r="T37" s="14">
        <f t="shared" ca="1" si="7"/>
        <v>1062637.2394066572</v>
      </c>
      <c r="U37" s="14">
        <f t="shared" ca="1" si="8"/>
        <v>467162.46128738497</v>
      </c>
      <c r="V37" s="17">
        <f t="shared" si="9"/>
        <v>1258.0605997179061</v>
      </c>
      <c r="W37" s="17">
        <f t="shared" ca="1" si="10"/>
        <v>1256.9442715508912</v>
      </c>
      <c r="X37" s="48" t="str">
        <f t="shared" si="11"/>
        <v/>
      </c>
      <c r="Y37" s="48" t="str">
        <f t="shared" si="25"/>
        <v/>
      </c>
      <c r="Z37" s="48" t="str">
        <f t="shared" si="27"/>
        <v/>
      </c>
      <c r="AA37" s="48" t="str">
        <f t="shared" si="28"/>
        <v/>
      </c>
      <c r="AB37" s="48" t="str">
        <f t="shared" si="29"/>
        <v/>
      </c>
      <c r="AC37" s="48" t="str">
        <f t="shared" ca="1" si="30"/>
        <v/>
      </c>
      <c r="AD37" s="48" t="str">
        <f t="shared" si="31"/>
        <v/>
      </c>
      <c r="AE37" s="45" t="e">
        <f t="shared" ca="1" si="32"/>
        <v>#VALUE!</v>
      </c>
      <c r="AF37" s="45" t="e">
        <f t="shared" si="33"/>
        <v>#VALUE!</v>
      </c>
    </row>
    <row r="38" spans="1:38" x14ac:dyDescent="0.25">
      <c r="A38" s="45">
        <v>18</v>
      </c>
      <c r="B38" s="49">
        <v>8.9967245370370375</v>
      </c>
      <c r="C38" s="49">
        <v>3.7906018518518518</v>
      </c>
      <c r="D38" s="45">
        <v>71.278999999999996</v>
      </c>
      <c r="E38" s="45">
        <v>3.7130000000000001</v>
      </c>
      <c r="F38" s="45"/>
      <c r="G38" s="44">
        <f t="shared" si="17"/>
        <v>90.974444444444444</v>
      </c>
      <c r="H38" s="44">
        <f t="shared" si="18"/>
        <v>1.5878035907282191</v>
      </c>
      <c r="I38" s="44">
        <f t="shared" si="3"/>
        <v>215.92138888888888</v>
      </c>
      <c r="J38" s="40">
        <f t="shared" si="19"/>
        <v>3.768539161590212</v>
      </c>
      <c r="K38" s="40">
        <f t="shared" si="20"/>
        <v>71.268691629074866</v>
      </c>
      <c r="L38" s="16">
        <f t="shared" si="21"/>
        <v>-1.2122023262781598</v>
      </c>
      <c r="M38" s="14"/>
      <c r="N38" s="17">
        <f t="shared" si="4"/>
        <v>215.92138888888888</v>
      </c>
      <c r="O38" s="17">
        <f t="shared" ca="1" si="22"/>
        <v>20.299312405005466</v>
      </c>
      <c r="P38" s="17">
        <f t="shared" ca="1" si="23"/>
        <v>236.22070129389436</v>
      </c>
      <c r="Q38" s="17">
        <f t="shared" ca="1" si="24"/>
        <v>4.1228289989484859</v>
      </c>
      <c r="R38" s="17">
        <f t="shared" ca="1" si="5"/>
        <v>-59.237496517128598</v>
      </c>
      <c r="S38" s="17">
        <f t="shared" ca="1" si="6"/>
        <v>-39.62506041513808</v>
      </c>
      <c r="T38" s="14">
        <f t="shared" ca="1" si="7"/>
        <v>1062638.3975034829</v>
      </c>
      <c r="U38" s="14">
        <f t="shared" ca="1" si="8"/>
        <v>467158.3179395849</v>
      </c>
      <c r="V38" s="17">
        <f t="shared" si="9"/>
        <v>1258.4807976737218</v>
      </c>
      <c r="W38" s="17">
        <f t="shared" ca="1" si="10"/>
        <v>1257.3644695067069</v>
      </c>
      <c r="X38" s="48" t="str">
        <f t="shared" si="11"/>
        <v/>
      </c>
      <c r="Y38" s="48" t="str">
        <f t="shared" si="25"/>
        <v/>
      </c>
      <c r="Z38" s="48" t="str">
        <f t="shared" si="27"/>
        <v/>
      </c>
      <c r="AA38" s="48" t="str">
        <f t="shared" si="28"/>
        <v/>
      </c>
      <c r="AB38" s="48" t="str">
        <f t="shared" si="29"/>
        <v/>
      </c>
      <c r="AC38" s="48" t="str">
        <f t="shared" ca="1" si="30"/>
        <v/>
      </c>
      <c r="AD38" s="48" t="str">
        <f t="shared" si="31"/>
        <v/>
      </c>
      <c r="AE38" s="45" t="e">
        <f t="shared" ca="1" si="32"/>
        <v>#VALUE!</v>
      </c>
      <c r="AF38" s="45" t="e">
        <f t="shared" si="33"/>
        <v>#VALUE!</v>
      </c>
    </row>
    <row r="39" spans="1:38" x14ac:dyDescent="0.25">
      <c r="A39" s="45">
        <v>19</v>
      </c>
      <c r="B39" s="49">
        <v>8.9293287037037032</v>
      </c>
      <c r="C39" s="49">
        <v>3.7577430555555558</v>
      </c>
      <c r="D39" s="45">
        <v>71.888999999999996</v>
      </c>
      <c r="E39" s="45">
        <v>3.7130000000000001</v>
      </c>
      <c r="F39" s="45"/>
      <c r="G39" s="44">
        <f t="shared" si="17"/>
        <v>90.185833333333335</v>
      </c>
      <c r="H39" s="44">
        <f t="shared" si="18"/>
        <v>1.5740397303215194</v>
      </c>
      <c r="I39" s="44">
        <f t="shared" si="3"/>
        <v>214.30388888888888</v>
      </c>
      <c r="J39" s="40">
        <f t="shared" si="19"/>
        <v>3.7403084609392034</v>
      </c>
      <c r="K39" s="40">
        <f t="shared" si="20"/>
        <v>71.888621876181247</v>
      </c>
      <c r="L39" s="16">
        <f t="shared" si="21"/>
        <v>-0.23316462732253609</v>
      </c>
      <c r="M39" s="14"/>
      <c r="N39" s="17">
        <f t="shared" si="4"/>
        <v>214.30388888888888</v>
      </c>
      <c r="O39" s="17">
        <f t="shared" ca="1" si="22"/>
        <v>20.299312405005466</v>
      </c>
      <c r="P39" s="17">
        <f t="shared" ca="1" si="23"/>
        <v>234.60320129389436</v>
      </c>
      <c r="Q39" s="17">
        <f t="shared" ca="1" si="24"/>
        <v>4.0945982982974778</v>
      </c>
      <c r="R39" s="17">
        <f t="shared" ca="1" si="5"/>
        <v>-58.600740561229756</v>
      </c>
      <c r="S39" s="17">
        <f t="shared" ca="1" si="6"/>
        <v>-41.640451017394206</v>
      </c>
      <c r="T39" s="14">
        <f t="shared" ca="1" si="7"/>
        <v>1062639.0342594387</v>
      </c>
      <c r="U39" s="14">
        <f t="shared" ca="1" si="8"/>
        <v>467156.30254898261</v>
      </c>
      <c r="V39" s="17">
        <f t="shared" si="9"/>
        <v>1259.4598353726774</v>
      </c>
      <c r="W39" s="17">
        <f t="shared" ca="1" si="10"/>
        <v>1258.3435072056625</v>
      </c>
      <c r="X39" s="48" t="str">
        <f t="shared" si="11"/>
        <v/>
      </c>
      <c r="Y39" s="48" t="str">
        <f t="shared" si="25"/>
        <v/>
      </c>
      <c r="Z39" s="48" t="str">
        <f t="shared" si="27"/>
        <v/>
      </c>
      <c r="AA39" s="48" t="str">
        <f t="shared" si="28"/>
        <v/>
      </c>
      <c r="AB39" s="48" t="str">
        <f t="shared" si="29"/>
        <v/>
      </c>
      <c r="AC39" s="48" t="str">
        <f t="shared" ca="1" si="30"/>
        <v/>
      </c>
      <c r="AD39" s="48" t="str">
        <f t="shared" si="31"/>
        <v/>
      </c>
      <c r="AE39" s="45" t="e">
        <f t="shared" ca="1" si="32"/>
        <v>#VALUE!</v>
      </c>
      <c r="AF39" s="45" t="e">
        <f t="shared" si="33"/>
        <v>#VALUE!</v>
      </c>
    </row>
    <row r="40" spans="1:38" x14ac:dyDescent="0.25">
      <c r="A40" s="45">
        <v>20</v>
      </c>
      <c r="B40" s="49">
        <v>8.5539583333333322</v>
      </c>
      <c r="C40" s="49">
        <v>3.732951388888889</v>
      </c>
      <c r="D40" s="45">
        <v>85.73</v>
      </c>
      <c r="E40" s="45">
        <v>3.7130000000000001</v>
      </c>
      <c r="F40" s="45"/>
      <c r="G40" s="44">
        <f t="shared" ref="G40:G44" si="34">C40*24</f>
        <v>89.590833333333336</v>
      </c>
      <c r="H40" s="44">
        <f t="shared" ref="H40:H44" si="35">RADIANS(G40)</f>
        <v>1.5636550212721532</v>
      </c>
      <c r="I40" s="44">
        <f t="shared" ref="I40:I44" si="36">B40*24</f>
        <v>205.29499999999996</v>
      </c>
      <c r="J40" s="50">
        <f t="shared" ref="J40:J44" si="37">RADIANS(I40)</f>
        <v>3.583073687881758</v>
      </c>
      <c r="K40" s="50">
        <f t="shared" ref="K40:K44" si="38">D40*SIN(H40)</f>
        <v>85.727813969536882</v>
      </c>
      <c r="L40" s="47">
        <f t="shared" ref="L40:L44" si="39">D40*COS(H40)</f>
        <v>0.61221891875214385</v>
      </c>
      <c r="M40" s="46"/>
      <c r="N40" s="48">
        <f t="shared" ref="N40:N44" si="40">I40+M40</f>
        <v>205.29499999999996</v>
      </c>
      <c r="O40" s="48">
        <f t="shared" ca="1" si="22"/>
        <v>20.299312405005466</v>
      </c>
      <c r="P40" s="48">
        <f t="shared" ref="P40:P44" ca="1" si="41">SUM(N40,O40)</f>
        <v>225.59431240500544</v>
      </c>
      <c r="Q40" s="48">
        <f t="shared" ref="Q40:Q44" ca="1" si="42">RADIANS(P40)</f>
        <v>3.9373635252400323</v>
      </c>
      <c r="R40" s="48">
        <f t="shared" ref="R40:R44" ca="1" si="43">K40*SIN(Q40)</f>
        <v>-61.244226553478974</v>
      </c>
      <c r="S40" s="48">
        <f t="shared" ref="S40:S44" ca="1" si="44">K40*COS(Q40)</f>
        <v>-59.986688538888892</v>
      </c>
      <c r="T40" s="46">
        <f t="shared" ref="T40:T44" ca="1" si="45">Old_X0+R40</f>
        <v>1062636.3907734465</v>
      </c>
      <c r="U40" s="46">
        <f t="shared" ref="U40:U44" ca="1" si="46">Old_Y0+S40</f>
        <v>467137.95631146117</v>
      </c>
      <c r="V40" s="48">
        <f t="shared" si="9"/>
        <v>1260.3052189187522</v>
      </c>
      <c r="W40" s="48">
        <f t="shared" ref="W40:W61" ca="1" si="47">IF(ISNUMBER(T40),V40+dZ,"")</f>
        <v>1259.1888907517373</v>
      </c>
      <c r="X40" s="48" t="str">
        <f t="shared" si="11"/>
        <v/>
      </c>
      <c r="Y40" s="48" t="str">
        <f t="shared" si="25"/>
        <v/>
      </c>
      <c r="Z40" s="48" t="str">
        <f t="shared" si="27"/>
        <v/>
      </c>
      <c r="AA40" s="48" t="str">
        <f t="shared" si="28"/>
        <v/>
      </c>
      <c r="AB40" s="48" t="str">
        <f t="shared" si="29"/>
        <v/>
      </c>
      <c r="AC40" s="48" t="str">
        <f t="shared" ca="1" si="30"/>
        <v/>
      </c>
      <c r="AD40" s="48" t="str">
        <f t="shared" si="31"/>
        <v/>
      </c>
      <c r="AE40" s="45" t="e">
        <f t="shared" ca="1" si="32"/>
        <v>#VALUE!</v>
      </c>
      <c r="AF40" s="45" t="e">
        <f t="shared" si="33"/>
        <v>#VALUE!</v>
      </c>
    </row>
    <row r="41" spans="1:38" x14ac:dyDescent="0.25">
      <c r="A41" s="45">
        <v>21</v>
      </c>
      <c r="B41" s="49">
        <v>8.104039351851851</v>
      </c>
      <c r="C41" s="49">
        <v>3.7405439814814816</v>
      </c>
      <c r="D41" s="45">
        <v>109.07299999999999</v>
      </c>
      <c r="E41" s="45">
        <v>3.7130000000000001</v>
      </c>
      <c r="F41" s="45"/>
      <c r="G41" s="44">
        <f t="shared" si="34"/>
        <v>89.773055555555558</v>
      </c>
      <c r="H41" s="44">
        <f t="shared" si="35"/>
        <v>1.5668353990202317</v>
      </c>
      <c r="I41" s="44">
        <f t="shared" si="36"/>
        <v>194.49694444444441</v>
      </c>
      <c r="J41" s="50">
        <f t="shared" si="37"/>
        <v>3.3946120656240484</v>
      </c>
      <c r="K41" s="50">
        <f t="shared" si="38"/>
        <v>109.07214438076043</v>
      </c>
      <c r="L41" s="47">
        <f t="shared" si="39"/>
        <v>0.43202914548342991</v>
      </c>
      <c r="M41" s="46"/>
      <c r="N41" s="48">
        <f t="shared" si="40"/>
        <v>194.49694444444441</v>
      </c>
      <c r="O41" s="48">
        <f t="shared" ca="1" si="22"/>
        <v>20.299312405005466</v>
      </c>
      <c r="P41" s="48">
        <f t="shared" ca="1" si="41"/>
        <v>214.79625684944989</v>
      </c>
      <c r="Q41" s="48">
        <f t="shared" ca="1" si="42"/>
        <v>3.7489019029823227</v>
      </c>
      <c r="R41" s="48">
        <f t="shared" ca="1" si="43"/>
        <v>-62.243101245577201</v>
      </c>
      <c r="S41" s="48">
        <f t="shared" ca="1" si="44"/>
        <v>-89.568571648487705</v>
      </c>
      <c r="T41" s="46">
        <f t="shared" ca="1" si="45"/>
        <v>1062635.3918987545</v>
      </c>
      <c r="U41" s="46">
        <f t="shared" ca="1" si="46"/>
        <v>467108.37442835153</v>
      </c>
      <c r="V41" s="48">
        <f t="shared" si="9"/>
        <v>1260.1250291454835</v>
      </c>
      <c r="W41" s="48">
        <f t="shared" ca="1" si="47"/>
        <v>1259.0087009784686</v>
      </c>
      <c r="X41" s="48" t="str">
        <f t="shared" si="11"/>
        <v/>
      </c>
      <c r="Y41" s="48" t="str">
        <f t="shared" si="25"/>
        <v/>
      </c>
      <c r="Z41" s="48" t="str">
        <f t="shared" si="27"/>
        <v/>
      </c>
      <c r="AA41" s="48" t="str">
        <f t="shared" si="28"/>
        <v/>
      </c>
      <c r="AB41" s="48" t="str">
        <f t="shared" si="29"/>
        <v/>
      </c>
      <c r="AC41" s="48" t="str">
        <f t="shared" ca="1" si="30"/>
        <v/>
      </c>
      <c r="AD41" s="48" t="str">
        <f t="shared" si="31"/>
        <v/>
      </c>
      <c r="AE41" s="45" t="e">
        <f t="shared" ca="1" si="32"/>
        <v>#VALUE!</v>
      </c>
      <c r="AF41" s="45" t="e">
        <f t="shared" si="33"/>
        <v>#VALUE!</v>
      </c>
    </row>
    <row r="42" spans="1:38" x14ac:dyDescent="0.25">
      <c r="A42" s="45">
        <v>22</v>
      </c>
      <c r="B42" s="49">
        <v>7.8109953703703709</v>
      </c>
      <c r="C42" s="49">
        <v>3.7249421296296297</v>
      </c>
      <c r="D42" s="45">
        <v>125.958</v>
      </c>
      <c r="E42" s="45">
        <v>3.7130000000000001</v>
      </c>
      <c r="F42" s="45"/>
      <c r="G42" s="44">
        <f t="shared" si="34"/>
        <v>89.398611111111109</v>
      </c>
      <c r="H42" s="44">
        <f t="shared" si="35"/>
        <v>1.5603001105988752</v>
      </c>
      <c r="I42" s="44">
        <f t="shared" si="36"/>
        <v>187.4638888888889</v>
      </c>
      <c r="J42" s="50">
        <f t="shared" si="37"/>
        <v>3.2718620897039257</v>
      </c>
      <c r="K42" s="50">
        <f t="shared" si="38"/>
        <v>125.95106163235299</v>
      </c>
      <c r="L42" s="47">
        <f t="shared" si="39"/>
        <v>1.3220581239936953</v>
      </c>
      <c r="M42" s="46"/>
      <c r="N42" s="48">
        <f t="shared" si="40"/>
        <v>187.4638888888889</v>
      </c>
      <c r="O42" s="48">
        <f t="shared" ca="1" si="22"/>
        <v>20.299312405005466</v>
      </c>
      <c r="P42" s="48">
        <f t="shared" ca="1" si="41"/>
        <v>207.76320129389438</v>
      </c>
      <c r="Q42" s="48">
        <f t="shared" ca="1" si="42"/>
        <v>3.6261519270622</v>
      </c>
      <c r="R42" s="48">
        <f t="shared" ca="1" si="43"/>
        <v>-58.670323829741029</v>
      </c>
      <c r="S42" s="48">
        <f t="shared" ca="1" si="44"/>
        <v>-111.45161743119793</v>
      </c>
      <c r="T42" s="46">
        <f t="shared" ca="1" si="45"/>
        <v>1062638.9646761704</v>
      </c>
      <c r="U42" s="46">
        <f t="shared" ca="1" si="46"/>
        <v>467086.49138256884</v>
      </c>
      <c r="V42" s="48">
        <f t="shared" si="9"/>
        <v>1261.0150581239936</v>
      </c>
      <c r="W42" s="48">
        <f t="shared" ca="1" si="47"/>
        <v>1259.8987299569787</v>
      </c>
      <c r="X42" s="48" t="str">
        <f t="shared" si="11"/>
        <v/>
      </c>
      <c r="Y42" s="48" t="str">
        <f t="shared" si="25"/>
        <v/>
      </c>
      <c r="Z42" s="48" t="str">
        <f t="shared" si="27"/>
        <v/>
      </c>
      <c r="AA42" s="48" t="str">
        <f t="shared" si="28"/>
        <v/>
      </c>
      <c r="AB42" s="48" t="str">
        <f t="shared" si="29"/>
        <v/>
      </c>
      <c r="AC42" s="48" t="str">
        <f t="shared" ca="1" si="30"/>
        <v/>
      </c>
      <c r="AD42" s="48" t="str">
        <f t="shared" si="31"/>
        <v/>
      </c>
      <c r="AE42" s="45" t="e">
        <f t="shared" ca="1" si="32"/>
        <v>#VALUE!</v>
      </c>
      <c r="AF42" s="45" t="e">
        <f t="shared" si="33"/>
        <v>#VALUE!</v>
      </c>
    </row>
    <row r="43" spans="1:38" x14ac:dyDescent="0.25">
      <c r="A43" s="45">
        <v>23</v>
      </c>
      <c r="B43" s="49">
        <v>7.7999074074074075</v>
      </c>
      <c r="C43" s="49">
        <v>3.7048842592592592</v>
      </c>
      <c r="D43" s="45">
        <v>132.99700000000001</v>
      </c>
      <c r="E43" s="45">
        <v>3.7130000000000001</v>
      </c>
      <c r="F43" s="45"/>
      <c r="G43" s="44">
        <f t="shared" si="34"/>
        <v>88.917222222222222</v>
      </c>
      <c r="H43" s="44">
        <f t="shared" si="35"/>
        <v>1.5518982895052469</v>
      </c>
      <c r="I43" s="44">
        <f t="shared" si="36"/>
        <v>187.19777777777779</v>
      </c>
      <c r="J43" s="50">
        <f t="shared" si="37"/>
        <v>3.2672175746388965</v>
      </c>
      <c r="K43" s="50">
        <f t="shared" si="38"/>
        <v>132.97325171090557</v>
      </c>
      <c r="L43" s="47">
        <f t="shared" si="39"/>
        <v>2.5132326649463308</v>
      </c>
      <c r="M43" s="46"/>
      <c r="N43" s="48">
        <f t="shared" si="40"/>
        <v>187.19777777777779</v>
      </c>
      <c r="O43" s="48">
        <f t="shared" ca="1" si="22"/>
        <v>20.299312405005466</v>
      </c>
      <c r="P43" s="48">
        <f t="shared" ca="1" si="41"/>
        <v>207.49709018278327</v>
      </c>
      <c r="Q43" s="48">
        <f t="shared" ca="1" si="42"/>
        <v>3.6215074119971704</v>
      </c>
      <c r="R43" s="48">
        <f t="shared" ca="1" si="43"/>
        <v>-61.394224365103973</v>
      </c>
      <c r="S43" s="48">
        <f t="shared" ca="1" si="44"/>
        <v>-117.95183290300801</v>
      </c>
      <c r="T43" s="46">
        <f t="shared" ca="1" si="45"/>
        <v>1062636.240775635</v>
      </c>
      <c r="U43" s="46">
        <f t="shared" ca="1" si="46"/>
        <v>467079.991167097</v>
      </c>
      <c r="V43" s="48">
        <f t="shared" si="9"/>
        <v>1262.2062326649464</v>
      </c>
      <c r="W43" s="48">
        <f t="shared" ca="1" si="47"/>
        <v>1261.0899044979315</v>
      </c>
      <c r="X43" s="48" t="str">
        <f t="shared" si="11"/>
        <v/>
      </c>
      <c r="Y43" s="48" t="str">
        <f t="shared" si="25"/>
        <v/>
      </c>
      <c r="Z43" s="48" t="str">
        <f t="shared" si="27"/>
        <v/>
      </c>
      <c r="AA43" s="48" t="str">
        <f t="shared" si="28"/>
        <v/>
      </c>
      <c r="AB43" s="48" t="str">
        <f t="shared" si="29"/>
        <v/>
      </c>
      <c r="AC43" s="48" t="str">
        <f t="shared" ca="1" si="30"/>
        <v/>
      </c>
      <c r="AD43" s="48" t="str">
        <f t="shared" si="31"/>
        <v/>
      </c>
      <c r="AE43" s="45" t="e">
        <f t="shared" ca="1" si="32"/>
        <v>#VALUE!</v>
      </c>
      <c r="AF43" s="45" t="e">
        <f t="shared" si="33"/>
        <v>#VALUE!</v>
      </c>
    </row>
    <row r="44" spans="1:38" x14ac:dyDescent="0.25">
      <c r="A44" s="45">
        <v>24</v>
      </c>
      <c r="B44" s="49">
        <v>6.318113425925926</v>
      </c>
      <c r="C44" s="49">
        <v>3.8486226851851852</v>
      </c>
      <c r="D44" s="45">
        <v>54.453000000000003</v>
      </c>
      <c r="E44" s="45">
        <v>3.7130000000000001</v>
      </c>
      <c r="F44" s="50" t="s">
        <v>90</v>
      </c>
      <c r="G44" s="44">
        <f t="shared" si="34"/>
        <v>92.366944444444442</v>
      </c>
      <c r="H44" s="44">
        <f t="shared" si="35"/>
        <v>1.6121073005622402</v>
      </c>
      <c r="I44" s="44">
        <f t="shared" si="36"/>
        <v>151.63472222222222</v>
      </c>
      <c r="J44" s="50">
        <f t="shared" si="37"/>
        <v>2.6465251631247906</v>
      </c>
      <c r="K44" s="50">
        <f t="shared" si="38"/>
        <v>54.406541956591795</v>
      </c>
      <c r="L44" s="47">
        <f t="shared" si="39"/>
        <v>-2.2488666758206981</v>
      </c>
      <c r="M44" s="46"/>
      <c r="N44" s="48">
        <f t="shared" si="40"/>
        <v>151.63472222222222</v>
      </c>
      <c r="O44" s="48">
        <f t="shared" ca="1" si="22"/>
        <v>20.299312405005466</v>
      </c>
      <c r="P44" s="48">
        <f t="shared" ca="1" si="41"/>
        <v>171.93403462722767</v>
      </c>
      <c r="Q44" s="48">
        <f t="shared" ca="1" si="42"/>
        <v>3.0008150004830645</v>
      </c>
      <c r="R44" s="48">
        <f t="shared" ca="1" si="43"/>
        <v>7.6339514826842079</v>
      </c>
      <c r="S44" s="48">
        <f t="shared" ca="1" si="44"/>
        <v>-53.868307866819123</v>
      </c>
      <c r="T44" s="46">
        <f t="shared" ca="1" si="45"/>
        <v>1062705.2689514826</v>
      </c>
      <c r="U44" s="46">
        <f t="shared" ca="1" si="46"/>
        <v>467144.07469213323</v>
      </c>
      <c r="V44" s="48">
        <f t="shared" si="9"/>
        <v>1257.4441333241793</v>
      </c>
      <c r="W44" s="48">
        <f t="shared" ca="1" si="47"/>
        <v>1256.3278051571644</v>
      </c>
      <c r="X44" s="48" t="str">
        <f t="shared" si="11"/>
        <v/>
      </c>
      <c r="Y44" s="48" t="str">
        <f t="shared" si="25"/>
        <v/>
      </c>
      <c r="Z44" s="48" t="str">
        <f t="shared" si="27"/>
        <v/>
      </c>
      <c r="AA44" s="48" t="str">
        <f t="shared" si="28"/>
        <v/>
      </c>
      <c r="AB44" s="48" t="str">
        <f t="shared" si="29"/>
        <v/>
      </c>
      <c r="AC44" s="48" t="str">
        <f t="shared" ca="1" si="30"/>
        <v/>
      </c>
      <c r="AD44" s="48" t="str">
        <f t="shared" si="31"/>
        <v/>
      </c>
      <c r="AE44" s="45" t="e">
        <f t="shared" ca="1" si="32"/>
        <v>#VALUE!</v>
      </c>
      <c r="AF44" s="45" t="e">
        <f t="shared" si="33"/>
        <v>#VALUE!</v>
      </c>
    </row>
    <row r="45" spans="1:38" x14ac:dyDescent="0.25">
      <c r="A45" s="45">
        <v>25</v>
      </c>
      <c r="B45" s="49">
        <v>5.5768402777777775</v>
      </c>
      <c r="C45" s="49">
        <v>3.7968981481481481</v>
      </c>
      <c r="D45" s="45">
        <v>32.715000000000003</v>
      </c>
      <c r="E45" s="45">
        <v>3.7130000000000001</v>
      </c>
      <c r="F45" s="50" t="s">
        <v>91</v>
      </c>
      <c r="G45" s="44">
        <f t="shared" ref="G45:G61" si="48">C45*24</f>
        <v>91.12555555555555</v>
      </c>
      <c r="H45" s="44">
        <f t="shared" ref="H45:H61" si="49">RADIANS(G45)</f>
        <v>1.5904409771534549</v>
      </c>
      <c r="I45" s="44">
        <f t="shared" ref="I45:I61" si="50">B45*24</f>
        <v>133.84416666666667</v>
      </c>
      <c r="J45" s="50">
        <f t="shared" ref="J45:J61" si="51">RADIANS(I45)</f>
        <v>2.3360213929213769</v>
      </c>
      <c r="K45" s="50">
        <f t="shared" ref="K45:K61" si="52">D45*SIN(H45)</f>
        <v>32.70868764275906</v>
      </c>
      <c r="L45" s="47">
        <f t="shared" ref="L45:L61" si="53">D45*COS(H45)</f>
        <v>-0.64263340126486235</v>
      </c>
      <c r="M45" s="46"/>
      <c r="N45" s="48">
        <f t="shared" ref="N45:N61" si="54">I45+M45</f>
        <v>133.84416666666667</v>
      </c>
      <c r="O45" s="48">
        <f t="shared" ca="1" si="22"/>
        <v>20.299312405005466</v>
      </c>
      <c r="P45" s="48">
        <f t="shared" ref="P45:P61" ca="1" si="55">SUM(N45,O45)</f>
        <v>154.14347907167212</v>
      </c>
      <c r="Q45" s="48">
        <f t="shared" ref="Q45:Q61" ca="1" si="56">RADIANS(P45)</f>
        <v>2.6903112302796508</v>
      </c>
      <c r="R45" s="48">
        <f t="shared" ref="R45:R61" ca="1" si="57">K45*SIN(Q45)</f>
        <v>14.264881146479475</v>
      </c>
      <c r="S45" s="48">
        <f t="shared" ref="S45:S61" ca="1" si="58">K45*COS(Q45)</f>
        <v>-29.434187829603754</v>
      </c>
      <c r="T45" s="46">
        <f t="shared" ref="T45:T61" ca="1" si="59">Old_X0+R45</f>
        <v>1062711.8998811464</v>
      </c>
      <c r="U45" s="46">
        <f t="shared" ref="U45:U61" ca="1" si="60">Old_Y0+S45</f>
        <v>467168.50881217042</v>
      </c>
      <c r="V45" s="48">
        <f t="shared" ref="V45:V61" si="61">Old_Z0+HI+L45-E45</f>
        <v>1259.0503665987351</v>
      </c>
      <c r="W45" s="48">
        <f t="shared" ca="1" si="47"/>
        <v>1257.9340384317202</v>
      </c>
      <c r="X45" s="48" t="str">
        <f t="shared" si="11"/>
        <v/>
      </c>
      <c r="Y45" s="48" t="str">
        <f t="shared" si="25"/>
        <v/>
      </c>
      <c r="Z45" s="48" t="str">
        <f t="shared" si="27"/>
        <v/>
      </c>
      <c r="AA45" s="48" t="str">
        <f t="shared" si="28"/>
        <v/>
      </c>
      <c r="AB45" s="48" t="str">
        <f t="shared" si="29"/>
        <v/>
      </c>
      <c r="AC45" s="48" t="str">
        <f t="shared" ca="1" si="30"/>
        <v/>
      </c>
      <c r="AD45" s="48" t="str">
        <f t="shared" si="31"/>
        <v/>
      </c>
      <c r="AE45" s="45" t="e">
        <f ca="1">ROUND(CONVERT(AC45,"m","ft"),2)</f>
        <v>#VALUE!</v>
      </c>
      <c r="AF45" s="45" t="e">
        <f>ROUND(CONVERT(AD45,"m","ft"),2)</f>
        <v>#VALUE!</v>
      </c>
    </row>
    <row r="46" spans="1:38" x14ac:dyDescent="0.25">
      <c r="A46" s="45">
        <v>26</v>
      </c>
      <c r="B46" s="49">
        <v>3.4037037037037035</v>
      </c>
      <c r="C46" s="49">
        <v>3.7023263888888889</v>
      </c>
      <c r="D46" s="45">
        <v>43.466999999999999</v>
      </c>
      <c r="E46" s="45">
        <v>3.7130000000000001</v>
      </c>
      <c r="F46" s="50" t="s">
        <v>92</v>
      </c>
      <c r="G46" s="44">
        <f t="shared" si="48"/>
        <v>88.855833333333337</v>
      </c>
      <c r="H46" s="44">
        <f t="shared" si="49"/>
        <v>1.5508268512699948</v>
      </c>
      <c r="I46" s="44">
        <f t="shared" si="50"/>
        <v>81.688888888888883</v>
      </c>
      <c r="J46" s="50">
        <f t="shared" si="51"/>
        <v>1.4257400734069232</v>
      </c>
      <c r="K46" s="50">
        <f t="shared" si="52"/>
        <v>43.45833340390827</v>
      </c>
      <c r="L46" s="47">
        <f t="shared" si="53"/>
        <v>0.86795550274787681</v>
      </c>
      <c r="M46" s="46"/>
      <c r="N46" s="48">
        <f t="shared" si="54"/>
        <v>81.688888888888883</v>
      </c>
      <c r="O46" s="48">
        <f t="shared" ca="1" si="22"/>
        <v>20.299312405005466</v>
      </c>
      <c r="P46" s="48">
        <f t="shared" ca="1" si="55"/>
        <v>101.98820129389435</v>
      </c>
      <c r="Q46" s="48">
        <f t="shared" ca="1" si="56"/>
        <v>1.7800299107651973</v>
      </c>
      <c r="R46" s="48">
        <f t="shared" ca="1" si="57"/>
        <v>42.510524295499359</v>
      </c>
      <c r="S46" s="48">
        <f t="shared" ca="1" si="58"/>
        <v>-9.0267417359204689</v>
      </c>
      <c r="T46" s="46">
        <f t="shared" ca="1" si="59"/>
        <v>1062740.1455242955</v>
      </c>
      <c r="U46" s="46">
        <f t="shared" ca="1" si="60"/>
        <v>467188.9162582641</v>
      </c>
      <c r="V46" s="48">
        <f t="shared" si="61"/>
        <v>1260.5609555027479</v>
      </c>
      <c r="W46" s="48">
        <f t="shared" ca="1" si="47"/>
        <v>1259.444627335733</v>
      </c>
      <c r="X46" s="48">
        <f t="shared" ca="1" si="11"/>
        <v>1062740.1455242955</v>
      </c>
      <c r="Y46" s="48">
        <f t="shared" ref="Y46:Y61" ca="1" si="62">IF(ISNUMBER(X46),U46,"")</f>
        <v>467188.9162582641</v>
      </c>
      <c r="Z46" s="48">
        <f t="shared" ref="Z46:Z61" ca="1" si="63">IF(X46="","",VALUE((-mB*X46+Y46-bA)/(mA-mB)))</f>
        <v>1062740.9425255656</v>
      </c>
      <c r="AA46" s="48">
        <f t="shared" ref="AA46:AA61" ca="1" si="64">IF(Z46="","",VALUE(mA*Z46+bA))</f>
        <v>467188.74165747315</v>
      </c>
      <c r="AB46" s="48">
        <f t="shared" ref="AB46:AB61" ca="1" si="65">IF(ISNUMBER(X46),SQRT((X46-Z46)^2+(Y46-AA46)^2),"")</f>
        <v>0.81590223725706801</v>
      </c>
      <c r="AC46" s="48">
        <f t="shared" ref="AC46:AC61" ca="1" si="66">IF(ISNUMBER(Z46),SQRT(($Z46-OFFSET($Z$20,MATCH(CS_Start,$A$21:$A$51,0),0))^2+($AA46-OFFSET($AA$20,MATCH(CS_Start,$A$21:$A$51,0),0))^2),"")</f>
        <v>0</v>
      </c>
      <c r="AD46" s="48">
        <f t="shared" ref="AD46:AD61" ca="1" si="67">IF(ISNUMBER(X46),W46-Min_Z,"")</f>
        <v>4.937329962661579</v>
      </c>
      <c r="AE46" s="45">
        <f t="shared" ref="AE46:AE61" ca="1" si="68">ROUND(CONVERT(AC46,"m","ft"),2)</f>
        <v>0</v>
      </c>
      <c r="AF46" s="45">
        <f t="shared" ref="AF46:AF61" ca="1" si="69">ROUND(CONVERT(AD46,"m","ft"),2)</f>
        <v>16.2</v>
      </c>
      <c r="AH46" s="45">
        <v>0</v>
      </c>
      <c r="AI46" s="2">
        <f ca="1">OFFSET($AF$22,MATCH(AH46,$AE$23:$AE$59,0),0)</f>
        <v>16.2</v>
      </c>
      <c r="AJ46" s="2" t="str">
        <f t="shared" ref="AJ46:AJ59" ca="1" si="70">CONCATENATE(AH46,",",AI46)</f>
        <v>0,16.2</v>
      </c>
      <c r="AL46" s="2">
        <v>0</v>
      </c>
    </row>
    <row r="47" spans="1:38" x14ac:dyDescent="0.25">
      <c r="A47" s="45">
        <v>27</v>
      </c>
      <c r="B47" s="49">
        <v>3.5798495370370369</v>
      </c>
      <c r="C47" s="49">
        <v>3.8110300925925924</v>
      </c>
      <c r="D47" s="45">
        <v>43.935000000000002</v>
      </c>
      <c r="E47" s="45">
        <v>3.7130000000000001</v>
      </c>
      <c r="F47" s="45"/>
      <c r="G47" s="44">
        <f t="shared" si="48"/>
        <v>91.464722222222221</v>
      </c>
      <c r="H47" s="44">
        <f t="shared" si="49"/>
        <v>1.5963605521998023</v>
      </c>
      <c r="I47" s="44">
        <f t="shared" si="50"/>
        <v>85.916388888888889</v>
      </c>
      <c r="J47" s="50">
        <f t="shared" si="51"/>
        <v>1.4995238675349838</v>
      </c>
      <c r="K47" s="50">
        <f t="shared" si="52"/>
        <v>43.920644369905183</v>
      </c>
      <c r="L47" s="47">
        <f t="shared" si="53"/>
        <v>-1.1230419103117324</v>
      </c>
      <c r="M47" s="46"/>
      <c r="N47" s="48">
        <f t="shared" si="54"/>
        <v>85.916388888888889</v>
      </c>
      <c r="O47" s="48">
        <f t="shared" ca="1" si="22"/>
        <v>20.299312405005466</v>
      </c>
      <c r="P47" s="48">
        <f t="shared" ca="1" si="55"/>
        <v>106.21570129389436</v>
      </c>
      <c r="Q47" s="48">
        <f t="shared" ca="1" si="56"/>
        <v>1.8538137048932577</v>
      </c>
      <c r="R47" s="48">
        <f t="shared" ca="1" si="57"/>
        <v>42.173357943835306</v>
      </c>
      <c r="S47" s="48">
        <f t="shared" ca="1" si="58"/>
        <v>-12.265026767554453</v>
      </c>
      <c r="T47" s="46">
        <f t="shared" ca="1" si="59"/>
        <v>1062739.8083579438</v>
      </c>
      <c r="U47" s="46">
        <f t="shared" ca="1" si="60"/>
        <v>467185.67797323246</v>
      </c>
      <c r="V47" s="48">
        <f t="shared" si="61"/>
        <v>1258.5699580896883</v>
      </c>
      <c r="W47" s="48">
        <f t="shared" ca="1" si="47"/>
        <v>1257.4536299226734</v>
      </c>
      <c r="X47" s="48">
        <f t="shared" ca="1" si="11"/>
        <v>1062739.8083579438</v>
      </c>
      <c r="Y47" s="48">
        <f t="shared" ca="1" si="62"/>
        <v>467185.67797323246</v>
      </c>
      <c r="Z47" s="48">
        <f t="shared" ca="1" si="63"/>
        <v>1062740.2501546566</v>
      </c>
      <c r="AA47" s="48">
        <f t="shared" ca="1" si="64"/>
        <v>467185.58118787222</v>
      </c>
      <c r="AB47" s="48">
        <f t="shared" ca="1" si="65"/>
        <v>0.452273967201692</v>
      </c>
      <c r="AC47" s="48">
        <f t="shared" ca="1" si="66"/>
        <v>3.2354204632602874</v>
      </c>
      <c r="AD47" s="48">
        <f t="shared" ca="1" si="67"/>
        <v>2.9463325496019479</v>
      </c>
      <c r="AE47" s="45">
        <f t="shared" ca="1" si="68"/>
        <v>10.61</v>
      </c>
      <c r="AF47" s="45">
        <f t="shared" ca="1" si="69"/>
        <v>9.67</v>
      </c>
      <c r="AH47" s="45">
        <v>10.61</v>
      </c>
      <c r="AI47" s="45">
        <f t="shared" ref="AI47:AI59" ca="1" si="71">OFFSET($AF$22,MATCH(AH47,$AE$23:$AE$59,0),0)</f>
        <v>9.67</v>
      </c>
      <c r="AJ47" s="2" t="str">
        <f t="shared" ca="1" si="70"/>
        <v>10.61,9.67</v>
      </c>
      <c r="AL47" s="2">
        <v>1.42</v>
      </c>
    </row>
    <row r="48" spans="1:38" x14ac:dyDescent="0.25">
      <c r="A48" s="45">
        <v>28</v>
      </c>
      <c r="B48" s="49">
        <v>3.9305671296296296</v>
      </c>
      <c r="C48" s="49">
        <v>3.8885069444444444</v>
      </c>
      <c r="D48" s="45">
        <v>45.371000000000002</v>
      </c>
      <c r="E48" s="45">
        <v>3.7130000000000001</v>
      </c>
      <c r="F48" s="45"/>
      <c r="G48" s="44">
        <f t="shared" si="48"/>
        <v>93.32416666666667</v>
      </c>
      <c r="H48" s="44">
        <f t="shared" si="49"/>
        <v>1.6288139800132748</v>
      </c>
      <c r="I48" s="44">
        <f t="shared" si="50"/>
        <v>94.333611111111111</v>
      </c>
      <c r="J48" s="50">
        <f t="shared" si="51"/>
        <v>1.6464321091847953</v>
      </c>
      <c r="K48" s="50">
        <f t="shared" si="52"/>
        <v>45.294660933187004</v>
      </c>
      <c r="L48" s="47">
        <f t="shared" si="53"/>
        <v>-2.6308424406685269</v>
      </c>
      <c r="M48" s="46"/>
      <c r="N48" s="48">
        <f t="shared" si="54"/>
        <v>94.333611111111111</v>
      </c>
      <c r="O48" s="48">
        <f t="shared" ca="1" si="22"/>
        <v>20.299312405005466</v>
      </c>
      <c r="P48" s="48">
        <f t="shared" ca="1" si="55"/>
        <v>114.63292351611658</v>
      </c>
      <c r="Q48" s="48">
        <f t="shared" ca="1" si="56"/>
        <v>2.0007219465430692</v>
      </c>
      <c r="R48" s="48">
        <f t="shared" ca="1" si="57"/>
        <v>41.172699767039532</v>
      </c>
      <c r="S48" s="48">
        <f t="shared" ca="1" si="58"/>
        <v>-18.878959265425614</v>
      </c>
      <c r="T48" s="46">
        <f t="shared" ca="1" si="59"/>
        <v>1062738.8076997669</v>
      </c>
      <c r="U48" s="46">
        <f t="shared" ca="1" si="60"/>
        <v>467179.06404073461</v>
      </c>
      <c r="V48" s="48">
        <f t="shared" si="61"/>
        <v>1257.0621575593314</v>
      </c>
      <c r="W48" s="48">
        <f t="shared" ca="1" si="47"/>
        <v>1255.9458293923165</v>
      </c>
      <c r="X48" s="48">
        <f t="shared" ca="1" si="11"/>
        <v>1062738.8076997669</v>
      </c>
      <c r="Y48" s="48">
        <f t="shared" ca="1" si="62"/>
        <v>467179.06404073461</v>
      </c>
      <c r="Z48" s="48">
        <f t="shared" ca="1" si="63"/>
        <v>1062738.8217546134</v>
      </c>
      <c r="AA48" s="48">
        <f t="shared" ca="1" si="64"/>
        <v>467179.06096170936</v>
      </c>
      <c r="AB48" s="48">
        <f t="shared" ca="1" si="65"/>
        <v>1.4388158540329356E-2</v>
      </c>
      <c r="AC48" s="48">
        <f t="shared" ca="1" si="66"/>
        <v>9.9102744615239668</v>
      </c>
      <c r="AD48" s="48">
        <f t="shared" ca="1" si="67"/>
        <v>1.4385320192450308</v>
      </c>
      <c r="AE48" s="45">
        <f t="shared" ca="1" si="68"/>
        <v>32.51</v>
      </c>
      <c r="AF48" s="45">
        <f t="shared" ca="1" si="69"/>
        <v>4.72</v>
      </c>
      <c r="AH48" s="45">
        <v>32.51</v>
      </c>
      <c r="AI48" s="45">
        <f t="shared" ca="1" si="71"/>
        <v>4.72</v>
      </c>
      <c r="AJ48" s="2" t="str">
        <f t="shared" ca="1" si="70"/>
        <v>32.51,4.72</v>
      </c>
      <c r="AL48" s="2">
        <v>2.35</v>
      </c>
    </row>
    <row r="49" spans="1:38" x14ac:dyDescent="0.25">
      <c r="A49" s="45">
        <v>29</v>
      </c>
      <c r="B49" s="49">
        <v>4.1779166666666665</v>
      </c>
      <c r="C49" s="49">
        <v>3.8989236111111114</v>
      </c>
      <c r="D49" s="45">
        <v>46.722000000000001</v>
      </c>
      <c r="E49" s="45">
        <v>3.7130000000000001</v>
      </c>
      <c r="F49" s="45"/>
      <c r="G49" s="44">
        <f t="shared" si="48"/>
        <v>93.57416666666667</v>
      </c>
      <c r="H49" s="44">
        <f t="shared" si="49"/>
        <v>1.6331773031432606</v>
      </c>
      <c r="I49" s="44">
        <f t="shared" si="50"/>
        <v>100.27</v>
      </c>
      <c r="J49" s="50">
        <f t="shared" si="51"/>
        <v>1.7500416409747142</v>
      </c>
      <c r="K49" s="50">
        <f t="shared" si="52"/>
        <v>46.631122802335064</v>
      </c>
      <c r="L49" s="47">
        <f t="shared" si="53"/>
        <v>-2.9126740623603578</v>
      </c>
      <c r="M49" s="46"/>
      <c r="N49" s="48">
        <f t="shared" si="54"/>
        <v>100.27</v>
      </c>
      <c r="O49" s="48">
        <f t="shared" ca="1" si="22"/>
        <v>20.299312405005466</v>
      </c>
      <c r="P49" s="48">
        <f t="shared" ca="1" si="55"/>
        <v>120.56931240500546</v>
      </c>
      <c r="Q49" s="48">
        <f t="shared" ca="1" si="56"/>
        <v>2.1043314783329881</v>
      </c>
      <c r="R49" s="48">
        <f t="shared" ca="1" si="57"/>
        <v>40.150075024282764</v>
      </c>
      <c r="S49" s="48">
        <f t="shared" ca="1" si="58"/>
        <v>-23.715671808973038</v>
      </c>
      <c r="T49" s="46">
        <f t="shared" ca="1" si="59"/>
        <v>1062737.7850750242</v>
      </c>
      <c r="U49" s="46">
        <f t="shared" ca="1" si="60"/>
        <v>467174.22732819105</v>
      </c>
      <c r="V49" s="48">
        <f t="shared" si="61"/>
        <v>1256.7803259376396</v>
      </c>
      <c r="W49" s="48">
        <f t="shared" ca="1" si="47"/>
        <v>1255.6639977706247</v>
      </c>
      <c r="X49" s="48">
        <f t="shared" ca="1" si="11"/>
        <v>1062737.7850750242</v>
      </c>
      <c r="Y49" s="48">
        <f t="shared" ca="1" si="62"/>
        <v>467174.22732819105</v>
      </c>
      <c r="Z49" s="48">
        <f t="shared" ca="1" si="63"/>
        <v>1062737.7638583132</v>
      </c>
      <c r="AA49" s="48">
        <f t="shared" ca="1" si="64"/>
        <v>467174.23197618313</v>
      </c>
      <c r="AB49" s="48">
        <f t="shared" ca="1" si="65"/>
        <v>2.1719867801943734E-2</v>
      </c>
      <c r="AC49" s="48">
        <f t="shared" ca="1" si="66"/>
        <v>14.853779877170004</v>
      </c>
      <c r="AD49" s="48">
        <f t="shared" ca="1" si="67"/>
        <v>1.1567003975533225</v>
      </c>
      <c r="AE49" s="45">
        <f t="shared" ca="1" si="68"/>
        <v>48.73</v>
      </c>
      <c r="AF49" s="45">
        <f t="shared" ca="1" si="69"/>
        <v>3.79</v>
      </c>
      <c r="AH49" s="45">
        <v>48.73</v>
      </c>
      <c r="AI49" s="45">
        <f t="shared" ca="1" si="71"/>
        <v>3.79</v>
      </c>
      <c r="AJ49" s="2" t="str">
        <f t="shared" ca="1" si="70"/>
        <v>48.73,3.79</v>
      </c>
      <c r="AL49" s="2">
        <v>2.41</v>
      </c>
    </row>
    <row r="50" spans="1:38" x14ac:dyDescent="0.25">
      <c r="A50" s="45">
        <v>30</v>
      </c>
      <c r="B50" s="49">
        <v>4.6799074074074074</v>
      </c>
      <c r="C50" s="49">
        <v>3.9054861111111112</v>
      </c>
      <c r="D50" s="45">
        <v>51.228999999999999</v>
      </c>
      <c r="E50" s="45">
        <v>3.7130000000000001</v>
      </c>
      <c r="F50" s="45"/>
      <c r="G50" s="44">
        <f t="shared" si="48"/>
        <v>93.731666666666669</v>
      </c>
      <c r="H50" s="44">
        <f t="shared" si="49"/>
        <v>1.6359261967151517</v>
      </c>
      <c r="I50" s="44">
        <f t="shared" si="50"/>
        <v>112.31777777777778</v>
      </c>
      <c r="J50" s="50">
        <f t="shared" si="51"/>
        <v>1.9603150307455421</v>
      </c>
      <c r="K50" s="50">
        <f t="shared" si="52"/>
        <v>51.12038425648592</v>
      </c>
      <c r="L50" s="47">
        <f t="shared" si="53"/>
        <v>-3.3341797295926794</v>
      </c>
      <c r="M50" s="46"/>
      <c r="N50" s="48">
        <f t="shared" si="54"/>
        <v>112.31777777777778</v>
      </c>
      <c r="O50" s="48">
        <f t="shared" ca="1" si="22"/>
        <v>20.299312405005466</v>
      </c>
      <c r="P50" s="48">
        <f t="shared" ca="1" si="55"/>
        <v>132.61709018278324</v>
      </c>
      <c r="Q50" s="48">
        <f t="shared" ca="1" si="56"/>
        <v>2.314604868103816</v>
      </c>
      <c r="R50" s="48">
        <f t="shared" ca="1" si="57"/>
        <v>37.619243139047526</v>
      </c>
      <c r="S50" s="48">
        <f t="shared" ca="1" si="58"/>
        <v>-34.613382270098931</v>
      </c>
      <c r="T50" s="46">
        <f t="shared" ca="1" si="59"/>
        <v>1062735.2542431389</v>
      </c>
      <c r="U50" s="46">
        <f t="shared" ca="1" si="60"/>
        <v>467163.32961772993</v>
      </c>
      <c r="V50" s="48">
        <f t="shared" si="61"/>
        <v>1256.3588202704073</v>
      </c>
      <c r="W50" s="48">
        <f t="shared" ca="1" si="47"/>
        <v>1255.2424921033924</v>
      </c>
      <c r="X50" s="48">
        <f t="shared" ca="1" si="11"/>
        <v>1062735.2542431389</v>
      </c>
      <c r="Y50" s="48">
        <f t="shared" ca="1" si="62"/>
        <v>467163.32961772993</v>
      </c>
      <c r="Z50" s="48">
        <f t="shared" ca="1" si="63"/>
        <v>1062735.369904198</v>
      </c>
      <c r="AA50" s="48">
        <f t="shared" ca="1" si="64"/>
        <v>467163.30427961145</v>
      </c>
      <c r="AB50" s="48">
        <f t="shared" ca="1" si="65"/>
        <v>0.11840397302000308</v>
      </c>
      <c r="AC50" s="48">
        <f t="shared" ca="1" si="66"/>
        <v>26.040627899227385</v>
      </c>
      <c r="AD50" s="48">
        <f t="shared" ca="1" si="67"/>
        <v>0.73519473032092719</v>
      </c>
      <c r="AE50" s="45">
        <f t="shared" ca="1" si="68"/>
        <v>85.44</v>
      </c>
      <c r="AF50" s="45">
        <f t="shared" ca="1" si="69"/>
        <v>2.41</v>
      </c>
      <c r="AH50" s="45">
        <v>85.44</v>
      </c>
      <c r="AI50" s="45">
        <f t="shared" ca="1" si="71"/>
        <v>2.41</v>
      </c>
      <c r="AJ50" s="2" t="str">
        <f t="shared" ca="1" si="70"/>
        <v>85.44,2.41</v>
      </c>
      <c r="AL50" s="2">
        <v>3.7</v>
      </c>
    </row>
    <row r="51" spans="1:38" x14ac:dyDescent="0.25">
      <c r="A51" s="45">
        <v>31</v>
      </c>
      <c r="B51" s="49">
        <v>4.8051851851851852</v>
      </c>
      <c r="C51" s="49">
        <v>3.9149074074074073</v>
      </c>
      <c r="D51" s="45">
        <v>52.707000000000001</v>
      </c>
      <c r="E51" s="45">
        <v>3.7130000000000001</v>
      </c>
      <c r="F51" s="50" t="s">
        <v>93</v>
      </c>
      <c r="G51" s="44">
        <f t="shared" si="48"/>
        <v>93.957777777777778</v>
      </c>
      <c r="H51" s="44">
        <f t="shared" si="49"/>
        <v>1.6398725800793832</v>
      </c>
      <c r="I51" s="44">
        <f t="shared" si="50"/>
        <v>115.32444444444445</v>
      </c>
      <c r="J51" s="50">
        <f t="shared" si="51"/>
        <v>2.0127912635888383</v>
      </c>
      <c r="K51" s="50">
        <f t="shared" si="52"/>
        <v>52.581303508912185</v>
      </c>
      <c r="L51" s="47">
        <f t="shared" si="53"/>
        <v>-3.6379074072409785</v>
      </c>
      <c r="M51" s="46"/>
      <c r="N51" s="48">
        <f t="shared" si="54"/>
        <v>115.32444444444445</v>
      </c>
      <c r="O51" s="48">
        <f t="shared" ca="1" si="22"/>
        <v>20.299312405005466</v>
      </c>
      <c r="P51" s="48">
        <f t="shared" ca="1" si="55"/>
        <v>135.62375684944993</v>
      </c>
      <c r="Q51" s="48">
        <f t="shared" ca="1" si="56"/>
        <v>2.3670811009471127</v>
      </c>
      <c r="R51" s="48">
        <f t="shared" ca="1" si="57"/>
        <v>36.77363032225945</v>
      </c>
      <c r="S51" s="48">
        <f t="shared" ca="1" si="58"/>
        <v>-37.583155689991514</v>
      </c>
      <c r="T51" s="46">
        <f t="shared" ca="1" si="59"/>
        <v>1062734.4086303222</v>
      </c>
      <c r="U51" s="46">
        <f t="shared" ca="1" si="60"/>
        <v>467160.35984431003</v>
      </c>
      <c r="V51" s="48">
        <f t="shared" si="61"/>
        <v>1256.0550925927589</v>
      </c>
      <c r="W51" s="48">
        <f t="shared" ca="1" si="47"/>
        <v>1254.938764425744</v>
      </c>
      <c r="X51" s="48">
        <f t="shared" ca="1" si="11"/>
        <v>1062734.4086303222</v>
      </c>
      <c r="Y51" s="48">
        <f t="shared" ca="1" si="62"/>
        <v>467160.35984431003</v>
      </c>
      <c r="Z51" s="48">
        <f t="shared" ca="1" si="63"/>
        <v>1062734.7103786976</v>
      </c>
      <c r="AA51" s="48">
        <f t="shared" ca="1" si="64"/>
        <v>467160.29373964202</v>
      </c>
      <c r="AB51" s="48">
        <f t="shared" ca="1" si="65"/>
        <v>0.30890436901303575</v>
      </c>
      <c r="AC51" s="48">
        <f t="shared" ca="1" si="66"/>
        <v>29.122563134299693</v>
      </c>
      <c r="AD51" s="48">
        <f t="shared" ca="1" si="67"/>
        <v>0.43146705267258767</v>
      </c>
      <c r="AE51" s="45">
        <f t="shared" ca="1" si="68"/>
        <v>95.55</v>
      </c>
      <c r="AF51" s="45">
        <f t="shared" ca="1" si="69"/>
        <v>1.42</v>
      </c>
      <c r="AH51" s="45">
        <v>95.55</v>
      </c>
      <c r="AI51" s="45">
        <f t="shared" ca="1" si="71"/>
        <v>1.42</v>
      </c>
      <c r="AJ51" s="2" t="str">
        <f t="shared" ca="1" si="70"/>
        <v>95.55,1.42</v>
      </c>
      <c r="AL51" s="2">
        <v>3.73</v>
      </c>
    </row>
    <row r="52" spans="1:38" x14ac:dyDescent="0.25">
      <c r="A52" s="45">
        <v>32</v>
      </c>
      <c r="B52" s="49">
        <v>5.327349537037037</v>
      </c>
      <c r="C52" s="49">
        <v>3.9058333333333333</v>
      </c>
      <c r="D52" s="45">
        <v>62.386000000000003</v>
      </c>
      <c r="E52" s="45">
        <v>3.7130000000000001</v>
      </c>
      <c r="F52" s="45"/>
      <c r="G52" s="44">
        <f t="shared" si="48"/>
        <v>93.74</v>
      </c>
      <c r="H52" s="44">
        <f t="shared" si="49"/>
        <v>1.6360716408194844</v>
      </c>
      <c r="I52" s="44">
        <f t="shared" si="50"/>
        <v>127.85638888888889</v>
      </c>
      <c r="J52" s="50">
        <f t="shared" si="51"/>
        <v>2.2315149558214054</v>
      </c>
      <c r="K52" s="50">
        <f t="shared" si="52"/>
        <v>62.253137973157642</v>
      </c>
      <c r="L52" s="47">
        <f t="shared" si="53"/>
        <v>-4.0693744599136785</v>
      </c>
      <c r="M52" s="46"/>
      <c r="N52" s="48">
        <f t="shared" si="54"/>
        <v>127.85638888888889</v>
      </c>
      <c r="O52" s="48">
        <f t="shared" ca="1" si="22"/>
        <v>20.299312405005466</v>
      </c>
      <c r="P52" s="48">
        <f t="shared" ca="1" si="55"/>
        <v>148.15570129389437</v>
      </c>
      <c r="Q52" s="48">
        <f t="shared" ca="1" si="56"/>
        <v>2.5858047931796797</v>
      </c>
      <c r="R52" s="48">
        <f t="shared" ca="1" si="57"/>
        <v>32.845548668506609</v>
      </c>
      <c r="S52" s="48">
        <f t="shared" ca="1" si="58"/>
        <v>-52.883108079705046</v>
      </c>
      <c r="T52" s="46">
        <f t="shared" ca="1" si="59"/>
        <v>1062730.4805486684</v>
      </c>
      <c r="U52" s="46">
        <f t="shared" ca="1" si="60"/>
        <v>467145.0598919203</v>
      </c>
      <c r="V52" s="48">
        <f t="shared" si="61"/>
        <v>1255.6236255400863</v>
      </c>
      <c r="W52" s="48">
        <f t="shared" ca="1" si="47"/>
        <v>1254.5072973730714</v>
      </c>
      <c r="X52" s="48">
        <f t="shared" ca="1" si="11"/>
        <v>1062730.4805486684</v>
      </c>
      <c r="Y52" s="48">
        <f t="shared" ca="1" si="62"/>
        <v>467145.0598919203</v>
      </c>
      <c r="Z52" s="48">
        <f t="shared" ca="1" si="63"/>
        <v>1062731.3321940526</v>
      </c>
      <c r="AA52" s="48">
        <f t="shared" ca="1" si="64"/>
        <v>467144.87332012504</v>
      </c>
      <c r="AB52" s="48">
        <f t="shared" ca="1" si="65"/>
        <v>0.8718422421770563</v>
      </c>
      <c r="AC52" s="48">
        <f t="shared" ca="1" si="66"/>
        <v>44.908679489343008</v>
      </c>
      <c r="AD52" s="48">
        <f t="shared" ca="1" si="67"/>
        <v>0</v>
      </c>
      <c r="AE52" s="45">
        <f t="shared" ca="1" si="68"/>
        <v>147.34</v>
      </c>
      <c r="AF52" s="45">
        <f t="shared" ca="1" si="69"/>
        <v>0</v>
      </c>
      <c r="AH52" s="45">
        <v>147.34</v>
      </c>
      <c r="AI52" s="45">
        <f t="shared" ca="1" si="71"/>
        <v>0</v>
      </c>
      <c r="AJ52" s="2" t="str">
        <f t="shared" ca="1" si="70"/>
        <v>147.34,0</v>
      </c>
      <c r="AL52" s="2">
        <v>3.76</v>
      </c>
    </row>
    <row r="53" spans="1:38" x14ac:dyDescent="0.25">
      <c r="A53" s="45">
        <v>33</v>
      </c>
      <c r="B53" s="49">
        <v>5.7237847222222227</v>
      </c>
      <c r="C53" s="49">
        <v>3.8574652777777776</v>
      </c>
      <c r="D53" s="45">
        <v>74.483999999999995</v>
      </c>
      <c r="E53" s="45">
        <v>3.7130000000000001</v>
      </c>
      <c r="F53" s="50" t="s">
        <v>70</v>
      </c>
      <c r="G53" s="44">
        <f t="shared" si="48"/>
        <v>92.579166666666666</v>
      </c>
      <c r="H53" s="44">
        <f t="shared" si="49"/>
        <v>1.615811277085917</v>
      </c>
      <c r="I53" s="44">
        <f t="shared" si="50"/>
        <v>137.37083333333334</v>
      </c>
      <c r="J53" s="50">
        <f t="shared" si="51"/>
        <v>2.3975733378750439</v>
      </c>
      <c r="K53" s="50">
        <f t="shared" si="52"/>
        <v>74.408547573939117</v>
      </c>
      <c r="L53" s="47">
        <f t="shared" si="53"/>
        <v>-3.3517613185962545</v>
      </c>
      <c r="M53" s="46"/>
      <c r="N53" s="48">
        <f t="shared" si="54"/>
        <v>137.37083333333334</v>
      </c>
      <c r="O53" s="48">
        <f t="shared" ca="1" si="22"/>
        <v>20.299312405005466</v>
      </c>
      <c r="P53" s="48">
        <f t="shared" ca="1" si="55"/>
        <v>157.67014573833882</v>
      </c>
      <c r="Q53" s="48">
        <f t="shared" ca="1" si="56"/>
        <v>2.7518631752333182</v>
      </c>
      <c r="R53" s="48">
        <f t="shared" ca="1" si="57"/>
        <v>28.270649131004248</v>
      </c>
      <c r="S53" s="48">
        <f t="shared" ca="1" si="58"/>
        <v>-68.8287901228462</v>
      </c>
      <c r="T53" s="46">
        <f t="shared" ca="1" si="59"/>
        <v>1062725.9056491309</v>
      </c>
      <c r="U53" s="46">
        <f t="shared" ca="1" si="60"/>
        <v>467129.11420987721</v>
      </c>
      <c r="V53" s="48">
        <f t="shared" si="61"/>
        <v>1256.3412386814036</v>
      </c>
      <c r="W53" s="48">
        <f t="shared" ca="1" si="47"/>
        <v>1255.2249105143887</v>
      </c>
      <c r="X53" s="48">
        <f t="shared" ca="1" si="11"/>
        <v>1062725.9056491309</v>
      </c>
      <c r="Y53" s="48">
        <f t="shared" ca="1" si="62"/>
        <v>467129.11420987721</v>
      </c>
      <c r="Z53" s="48">
        <f t="shared" ca="1" si="63"/>
        <v>1062727.789405317</v>
      </c>
      <c r="AA53" s="48">
        <f t="shared" ca="1" si="64"/>
        <v>467128.70153133757</v>
      </c>
      <c r="AB53" s="48">
        <f t="shared" ca="1" si="65"/>
        <v>1.9284296579864317</v>
      </c>
      <c r="AC53" s="48">
        <f t="shared" ca="1" si="66"/>
        <v>61.463983914558092</v>
      </c>
      <c r="AD53" s="48">
        <f t="shared" ca="1" si="67"/>
        <v>0.71761314131731524</v>
      </c>
      <c r="AE53" s="45">
        <f t="shared" ca="1" si="68"/>
        <v>201.65</v>
      </c>
      <c r="AF53" s="45">
        <f t="shared" ca="1" si="69"/>
        <v>2.35</v>
      </c>
      <c r="AH53" s="45">
        <v>201.65</v>
      </c>
      <c r="AI53" s="45">
        <f t="shared" ca="1" si="71"/>
        <v>2.35</v>
      </c>
      <c r="AJ53" s="2" t="str">
        <f t="shared" ca="1" si="70"/>
        <v>201.65,2.35</v>
      </c>
      <c r="AL53" s="2">
        <v>3.79</v>
      </c>
    </row>
    <row r="54" spans="1:38" x14ac:dyDescent="0.25">
      <c r="A54" s="45">
        <v>34</v>
      </c>
      <c r="B54" s="49">
        <v>5.9517129629629624</v>
      </c>
      <c r="C54" s="49">
        <v>3.8324768518518515</v>
      </c>
      <c r="D54" s="45">
        <v>85.144000000000005</v>
      </c>
      <c r="E54" s="45">
        <v>3.7130000000000001</v>
      </c>
      <c r="F54" s="45"/>
      <c r="G54" s="44">
        <f t="shared" si="48"/>
        <v>91.979444444444439</v>
      </c>
      <c r="H54" s="44">
        <f t="shared" si="49"/>
        <v>1.6053441497107621</v>
      </c>
      <c r="I54" s="44">
        <f t="shared" si="50"/>
        <v>142.8411111111111</v>
      </c>
      <c r="J54" s="50">
        <f t="shared" si="51"/>
        <v>2.4930476960959447</v>
      </c>
      <c r="K54" s="50">
        <f t="shared" si="52"/>
        <v>85.093193155037653</v>
      </c>
      <c r="L54" s="47">
        <f t="shared" si="53"/>
        <v>-2.9409547224421106</v>
      </c>
      <c r="M54" s="46"/>
      <c r="N54" s="48">
        <f t="shared" si="54"/>
        <v>142.8411111111111</v>
      </c>
      <c r="O54" s="48">
        <f t="shared" ca="1" si="22"/>
        <v>20.299312405005466</v>
      </c>
      <c r="P54" s="48">
        <f t="shared" ca="1" si="55"/>
        <v>163.14042351611658</v>
      </c>
      <c r="Q54" s="48">
        <f t="shared" ca="1" si="56"/>
        <v>2.847337533454219</v>
      </c>
      <c r="R54" s="48">
        <f t="shared" ca="1" si="57"/>
        <v>24.679329222342933</v>
      </c>
      <c r="S54" s="48">
        <f t="shared" ca="1" si="58"/>
        <v>-81.435755233532134</v>
      </c>
      <c r="T54" s="46">
        <f t="shared" ca="1" si="59"/>
        <v>1062722.3143292223</v>
      </c>
      <c r="U54" s="46">
        <f t="shared" ca="1" si="60"/>
        <v>467116.50724476652</v>
      </c>
      <c r="V54" s="48">
        <f t="shared" si="61"/>
        <v>1256.752045277558</v>
      </c>
      <c r="W54" s="48">
        <f t="shared" ca="1" si="47"/>
        <v>1255.6357171105431</v>
      </c>
      <c r="X54" s="48">
        <f t="shared" ca="1" si="11"/>
        <v>1062722.3143292223</v>
      </c>
      <c r="Y54" s="48">
        <f t="shared" ca="1" si="62"/>
        <v>467116.50724476652</v>
      </c>
      <c r="Z54" s="48">
        <f t="shared" ca="1" si="63"/>
        <v>1062724.9895841212</v>
      </c>
      <c r="AA54" s="48">
        <f t="shared" ca="1" si="64"/>
        <v>467115.92117089219</v>
      </c>
      <c r="AB54" s="48">
        <f t="shared" ca="1" si="65"/>
        <v>2.7386988443332601</v>
      </c>
      <c r="AC54" s="48">
        <f t="shared" ca="1" si="66"/>
        <v>74.547431925033024</v>
      </c>
      <c r="AD54" s="48">
        <f t="shared" ca="1" si="67"/>
        <v>1.1284197374716314</v>
      </c>
      <c r="AE54" s="45">
        <f t="shared" ca="1" si="68"/>
        <v>244.58</v>
      </c>
      <c r="AF54" s="45">
        <f t="shared" ca="1" si="69"/>
        <v>3.7</v>
      </c>
      <c r="AH54" s="45">
        <v>244.32</v>
      </c>
      <c r="AI54" s="45">
        <f t="shared" ca="1" si="71"/>
        <v>3.73</v>
      </c>
      <c r="AJ54" s="2" t="str">
        <f t="shared" ca="1" si="70"/>
        <v>244.32,3.73</v>
      </c>
      <c r="AL54" s="2">
        <v>4.72</v>
      </c>
    </row>
    <row r="55" spans="1:38" x14ac:dyDescent="0.25">
      <c r="A55" s="45">
        <v>35</v>
      </c>
      <c r="B55" s="49">
        <v>5.950925925925926</v>
      </c>
      <c r="C55" s="49">
        <v>3.832337962962963</v>
      </c>
      <c r="D55" s="45">
        <v>85.07</v>
      </c>
      <c r="E55" s="45">
        <v>3.7130000000000001</v>
      </c>
      <c r="F55" s="45"/>
      <c r="G55" s="44">
        <f t="shared" si="48"/>
        <v>91.976111111111109</v>
      </c>
      <c r="H55" s="44">
        <f t="shared" si="49"/>
        <v>1.6052859720690289</v>
      </c>
      <c r="I55" s="44">
        <f t="shared" si="50"/>
        <v>142.82222222222222</v>
      </c>
      <c r="J55" s="50">
        <f t="shared" si="51"/>
        <v>2.4927180227927903</v>
      </c>
      <c r="K55" s="50">
        <f t="shared" si="52"/>
        <v>85.019408117298525</v>
      </c>
      <c r="L55" s="47">
        <f t="shared" si="53"/>
        <v>-2.9334524683776775</v>
      </c>
      <c r="M55" s="46"/>
      <c r="N55" s="48">
        <f t="shared" si="54"/>
        <v>142.82222222222222</v>
      </c>
      <c r="O55" s="48">
        <f t="shared" ca="1" si="22"/>
        <v>20.299312405005466</v>
      </c>
      <c r="P55" s="48">
        <f t="shared" ca="1" si="55"/>
        <v>163.12153462722767</v>
      </c>
      <c r="Q55" s="48">
        <f t="shared" ca="1" si="56"/>
        <v>2.8470078601510642</v>
      </c>
      <c r="R55" s="48">
        <f t="shared" ca="1" si="57"/>
        <v>24.684752138804775</v>
      </c>
      <c r="S55" s="48">
        <f t="shared" ca="1" si="58"/>
        <v>-81.357008109083878</v>
      </c>
      <c r="T55" s="46">
        <f t="shared" ca="1" si="59"/>
        <v>1062722.3197521388</v>
      </c>
      <c r="U55" s="46">
        <f t="shared" ca="1" si="60"/>
        <v>467116.58599189093</v>
      </c>
      <c r="V55" s="48">
        <f t="shared" si="61"/>
        <v>1256.7595475316223</v>
      </c>
      <c r="W55" s="48">
        <f t="shared" ca="1" si="47"/>
        <v>1255.6432193646074</v>
      </c>
      <c r="X55" s="48">
        <f t="shared" ca="1" si="11"/>
        <v>1062722.3197521388</v>
      </c>
      <c r="Y55" s="48">
        <f t="shared" ca="1" si="62"/>
        <v>467116.58599189093</v>
      </c>
      <c r="Z55" s="48">
        <f t="shared" ca="1" si="63"/>
        <v>1062725.0062937452</v>
      </c>
      <c r="AA55" s="48">
        <f t="shared" ca="1" si="64"/>
        <v>467115.99744541198</v>
      </c>
      <c r="AB55" s="48">
        <f t="shared" ca="1" si="65"/>
        <v>2.7502532176163954</v>
      </c>
      <c r="AC55" s="48">
        <f t="shared" ca="1" si="66"/>
        <v>74.469348547122678</v>
      </c>
      <c r="AD55" s="48">
        <f t="shared" ca="1" si="67"/>
        <v>1.1359219915359517</v>
      </c>
      <c r="AE55" s="45">
        <f t="shared" ca="1" si="68"/>
        <v>244.32</v>
      </c>
      <c r="AF55" s="45">
        <f t="shared" ca="1" si="69"/>
        <v>3.73</v>
      </c>
      <c r="AH55" s="45">
        <v>244.58</v>
      </c>
      <c r="AI55" s="45">
        <f t="shared" ca="1" si="71"/>
        <v>3.7</v>
      </c>
      <c r="AJ55" s="2" t="str">
        <f t="shared" ca="1" si="70"/>
        <v>244.58,3.7</v>
      </c>
      <c r="AL55" s="2">
        <v>5.15</v>
      </c>
    </row>
    <row r="56" spans="1:38" x14ac:dyDescent="0.25">
      <c r="A56" s="45">
        <v>36</v>
      </c>
      <c r="B56" s="49">
        <v>6.0089814814814817</v>
      </c>
      <c r="C56" s="51">
        <v>3.8282754629629632</v>
      </c>
      <c r="D56" s="45">
        <v>89.198999999999998</v>
      </c>
      <c r="E56" s="45">
        <v>3.7130000000000001</v>
      </c>
      <c r="F56" s="51" t="s">
        <v>94</v>
      </c>
      <c r="G56" s="44">
        <f t="shared" si="48"/>
        <v>91.878611111111113</v>
      </c>
      <c r="H56" s="44">
        <f t="shared" si="49"/>
        <v>1.6035842760483345</v>
      </c>
      <c r="I56" s="44">
        <f t="shared" si="50"/>
        <v>144.21555555555557</v>
      </c>
      <c r="J56" s="50">
        <f t="shared" si="51"/>
        <v>2.5170362770372448</v>
      </c>
      <c r="K56" s="50">
        <f t="shared" si="52"/>
        <v>89.151057619907547</v>
      </c>
      <c r="L56" s="47">
        <f t="shared" si="53"/>
        <v>-2.9241282892381091</v>
      </c>
      <c r="M56" s="46"/>
      <c r="N56" s="48">
        <f t="shared" si="54"/>
        <v>144.21555555555557</v>
      </c>
      <c r="O56" s="48">
        <f t="shared" ca="1" si="22"/>
        <v>20.299312405005466</v>
      </c>
      <c r="P56" s="48">
        <f t="shared" ca="1" si="55"/>
        <v>164.51486796056105</v>
      </c>
      <c r="Q56" s="48">
        <f t="shared" ca="1" si="56"/>
        <v>2.8713261143955191</v>
      </c>
      <c r="R56" s="48">
        <f t="shared" ca="1" si="57"/>
        <v>23.802290202344487</v>
      </c>
      <c r="S56" s="48">
        <f t="shared" ca="1" si="58"/>
        <v>-85.914853522958708</v>
      </c>
      <c r="T56" s="46">
        <f t="shared" ca="1" si="59"/>
        <v>1062721.4372902024</v>
      </c>
      <c r="U56" s="46">
        <f t="shared" ca="1" si="60"/>
        <v>467112.02814647707</v>
      </c>
      <c r="V56" s="48">
        <f t="shared" si="61"/>
        <v>1256.7688717107619</v>
      </c>
      <c r="W56" s="48">
        <f t="shared" ca="1" si="47"/>
        <v>1255.652543543747</v>
      </c>
      <c r="X56" s="48">
        <f t="shared" ca="1" si="11"/>
        <v>1062721.4372902024</v>
      </c>
      <c r="Y56" s="48">
        <f t="shared" ca="1" si="62"/>
        <v>467112.02814647707</v>
      </c>
      <c r="Z56" s="48">
        <f t="shared" ca="1" si="63"/>
        <v>1062724.0131105005</v>
      </c>
      <c r="AA56" s="48">
        <f t="shared" ca="1" si="64"/>
        <v>467111.46385595482</v>
      </c>
      <c r="AB56" s="48">
        <f t="shared" ca="1" si="65"/>
        <v>2.6369061420438005</v>
      </c>
      <c r="AC56" s="48">
        <f t="shared" ca="1" si="66"/>
        <v>79.110452545491711</v>
      </c>
      <c r="AD56" s="48">
        <f t="shared" ca="1" si="67"/>
        <v>1.1452461706755912</v>
      </c>
      <c r="AE56" s="45">
        <f t="shared" ca="1" si="68"/>
        <v>259.55</v>
      </c>
      <c r="AF56" s="45">
        <f t="shared" ca="1" si="69"/>
        <v>3.76</v>
      </c>
      <c r="AH56" s="45">
        <v>259.55</v>
      </c>
      <c r="AI56" s="45">
        <f t="shared" ca="1" si="71"/>
        <v>3.76</v>
      </c>
      <c r="AJ56" s="2" t="str">
        <f t="shared" ca="1" si="70"/>
        <v>259.55,3.76</v>
      </c>
      <c r="AL56" s="2">
        <v>5.23</v>
      </c>
    </row>
    <row r="57" spans="1:38" x14ac:dyDescent="0.25">
      <c r="A57" s="45">
        <v>37</v>
      </c>
      <c r="B57" s="49">
        <v>6.053506944444444</v>
      </c>
      <c r="C57" s="49">
        <v>3.8136458333333336</v>
      </c>
      <c r="D57" s="45">
        <v>92.807000000000002</v>
      </c>
      <c r="E57" s="45">
        <v>3.7130000000000001</v>
      </c>
      <c r="F57" s="45"/>
      <c r="G57" s="44">
        <f t="shared" si="48"/>
        <v>91.527500000000003</v>
      </c>
      <c r="H57" s="44">
        <f t="shared" si="49"/>
        <v>1.5974562311191101</v>
      </c>
      <c r="I57" s="44">
        <f t="shared" si="50"/>
        <v>145.28416666666666</v>
      </c>
      <c r="J57" s="50">
        <f t="shared" si="51"/>
        <v>2.5356870593495282</v>
      </c>
      <c r="K57" s="50">
        <f t="shared" si="52"/>
        <v>92.774020642649958</v>
      </c>
      <c r="L57" s="47">
        <f t="shared" si="53"/>
        <v>-2.4739326581697729</v>
      </c>
      <c r="M57" s="46"/>
      <c r="N57" s="48">
        <f t="shared" si="54"/>
        <v>145.28416666666666</v>
      </c>
      <c r="O57" s="48">
        <f t="shared" ca="1" si="22"/>
        <v>20.299312405005466</v>
      </c>
      <c r="P57" s="48">
        <f t="shared" ca="1" si="55"/>
        <v>165.58347907167212</v>
      </c>
      <c r="Q57" s="48">
        <f t="shared" ca="1" si="56"/>
        <v>2.8899768967078021</v>
      </c>
      <c r="R57" s="48">
        <f t="shared" ca="1" si="57"/>
        <v>23.097870225032086</v>
      </c>
      <c r="S57" s="48">
        <f t="shared" ca="1" si="58"/>
        <v>-89.852697774025785</v>
      </c>
      <c r="T57" s="46">
        <f t="shared" ca="1" si="59"/>
        <v>1062720.7328702251</v>
      </c>
      <c r="U57" s="46">
        <f t="shared" ca="1" si="60"/>
        <v>467108.09030222602</v>
      </c>
      <c r="V57" s="48">
        <f t="shared" si="61"/>
        <v>1257.2190673418302</v>
      </c>
      <c r="W57" s="48">
        <f t="shared" ca="1" si="47"/>
        <v>1256.1027391748153</v>
      </c>
      <c r="X57" s="48">
        <f t="shared" ca="1" si="11"/>
        <v>1062720.7328702251</v>
      </c>
      <c r="Y57" s="48">
        <f t="shared" ca="1" si="62"/>
        <v>467108.09030222602</v>
      </c>
      <c r="Z57" s="48">
        <f t="shared" ca="1" si="63"/>
        <v>1062723.1576855686</v>
      </c>
      <c r="AA57" s="48">
        <f t="shared" ca="1" si="64"/>
        <v>467107.55909268651</v>
      </c>
      <c r="AB57" s="48">
        <f t="shared" ca="1" si="65"/>
        <v>2.4823200890983368</v>
      </c>
      <c r="AC57" s="48">
        <f t="shared" ca="1" si="66"/>
        <v>83.10781767714488</v>
      </c>
      <c r="AD57" s="48">
        <f t="shared" ca="1" si="67"/>
        <v>1.5954418017438456</v>
      </c>
      <c r="AE57" s="45">
        <f t="shared" ca="1" si="68"/>
        <v>272.66000000000003</v>
      </c>
      <c r="AF57" s="45">
        <f t="shared" ca="1" si="69"/>
        <v>5.23</v>
      </c>
      <c r="AH57" s="45">
        <v>272.66000000000003</v>
      </c>
      <c r="AI57" s="45">
        <f t="shared" ca="1" si="71"/>
        <v>5.23</v>
      </c>
      <c r="AJ57" s="2" t="str">
        <f t="shared" ca="1" si="70"/>
        <v>272.66,5.23</v>
      </c>
      <c r="AL57" s="2">
        <v>9.67</v>
      </c>
    </row>
    <row r="58" spans="1:38" x14ac:dyDescent="0.25">
      <c r="A58" s="45">
        <v>38</v>
      </c>
      <c r="B58" s="49">
        <v>6.1177430555555548</v>
      </c>
      <c r="C58" s="49">
        <v>3.8008333333333333</v>
      </c>
      <c r="D58" s="45">
        <v>117.41500000000001</v>
      </c>
      <c r="E58" s="45">
        <v>3.7130000000000001</v>
      </c>
      <c r="F58" s="45"/>
      <c r="G58" s="44">
        <f t="shared" si="48"/>
        <v>91.22</v>
      </c>
      <c r="H58" s="44">
        <f t="shared" si="49"/>
        <v>1.5920893436692274</v>
      </c>
      <c r="I58" s="44">
        <f t="shared" si="50"/>
        <v>146.82583333333332</v>
      </c>
      <c r="J58" s="50">
        <f t="shared" si="51"/>
        <v>2.5625942186511073</v>
      </c>
      <c r="K58" s="50">
        <f t="shared" si="52"/>
        <v>117.38838346150486</v>
      </c>
      <c r="L58" s="47">
        <f t="shared" si="53"/>
        <v>-2.4999306579766341</v>
      </c>
      <c r="M58" s="46"/>
      <c r="N58" s="48">
        <f t="shared" si="54"/>
        <v>146.82583333333332</v>
      </c>
      <c r="O58" s="48">
        <f t="shared" ca="1" si="22"/>
        <v>20.299312405005466</v>
      </c>
      <c r="P58" s="48">
        <f t="shared" ca="1" si="55"/>
        <v>167.1251457383388</v>
      </c>
      <c r="Q58" s="48">
        <f t="shared" ca="1" si="56"/>
        <v>2.9168840560093816</v>
      </c>
      <c r="R58" s="48">
        <f t="shared" ca="1" si="57"/>
        <v>26.156749044658685</v>
      </c>
      <c r="S58" s="48">
        <f t="shared" ca="1" si="58"/>
        <v>-114.43713143521229</v>
      </c>
      <c r="T58" s="46">
        <f t="shared" ca="1" si="59"/>
        <v>1062723.7917490446</v>
      </c>
      <c r="U58" s="46">
        <f t="shared" ca="1" si="60"/>
        <v>467083.50586856483</v>
      </c>
      <c r="V58" s="48">
        <f t="shared" si="61"/>
        <v>1257.1930693420234</v>
      </c>
      <c r="W58" s="48">
        <f t="shared" ca="1" si="47"/>
        <v>1256.0767411750085</v>
      </c>
      <c r="X58" s="48">
        <f t="shared" ca="1" si="11"/>
        <v>1062723.7917490446</v>
      </c>
      <c r="Y58" s="48">
        <f t="shared" ca="1" si="62"/>
        <v>467083.50586856483</v>
      </c>
      <c r="Z58" s="48">
        <f t="shared" ca="1" si="63"/>
        <v>1062718.1586413088</v>
      </c>
      <c r="AA58" s="48">
        <f t="shared" ca="1" si="64"/>
        <v>467084.73992565647</v>
      </c>
      <c r="AB58" s="48">
        <f t="shared" ca="1" si="65"/>
        <v>5.7666974663393882</v>
      </c>
      <c r="AC58" s="48">
        <f t="shared" ca="1" si="66"/>
        <v>106.46814360501359</v>
      </c>
      <c r="AD58" s="48">
        <f t="shared" ca="1" si="67"/>
        <v>1.5694438019370409</v>
      </c>
      <c r="AE58" s="45">
        <f t="shared" ca="1" si="68"/>
        <v>349.3</v>
      </c>
      <c r="AF58" s="45">
        <f t="shared" ca="1" si="69"/>
        <v>5.15</v>
      </c>
      <c r="AH58" s="45">
        <v>349.3</v>
      </c>
      <c r="AI58" s="45">
        <f t="shared" ca="1" si="71"/>
        <v>5.15</v>
      </c>
      <c r="AJ58" s="2" t="str">
        <f t="shared" ca="1" si="70"/>
        <v>349.3,5.15</v>
      </c>
      <c r="AL58" s="2">
        <v>9.94</v>
      </c>
    </row>
    <row r="59" spans="1:38" x14ac:dyDescent="0.25">
      <c r="A59" s="45">
        <v>39</v>
      </c>
      <c r="B59" s="49">
        <v>6.1346296296296297</v>
      </c>
      <c r="C59" s="49">
        <v>3.7694212962962959</v>
      </c>
      <c r="D59" s="45">
        <v>127.67100000000001</v>
      </c>
      <c r="E59" s="45">
        <v>3.7130000000000001</v>
      </c>
      <c r="F59" s="45"/>
      <c r="G59" s="44">
        <f t="shared" si="48"/>
        <v>90.466111111111104</v>
      </c>
      <c r="H59" s="44">
        <f t="shared" si="49"/>
        <v>1.5789315003639144</v>
      </c>
      <c r="I59" s="44">
        <f t="shared" si="50"/>
        <v>147.23111111111112</v>
      </c>
      <c r="J59" s="50">
        <f t="shared" si="51"/>
        <v>2.5696676502584959</v>
      </c>
      <c r="K59" s="50">
        <f t="shared" si="52"/>
        <v>127.66677532294624</v>
      </c>
      <c r="L59" s="47">
        <f t="shared" si="53"/>
        <v>-1.0386142885444261</v>
      </c>
      <c r="M59" s="46"/>
      <c r="N59" s="48">
        <f t="shared" si="54"/>
        <v>147.23111111111112</v>
      </c>
      <c r="O59" s="48">
        <f t="shared" ca="1" si="22"/>
        <v>20.299312405005466</v>
      </c>
      <c r="P59" s="48">
        <f t="shared" ca="1" si="55"/>
        <v>167.53042351611657</v>
      </c>
      <c r="Q59" s="48">
        <f t="shared" ca="1" si="56"/>
        <v>2.9239574876167698</v>
      </c>
      <c r="R59" s="48">
        <f t="shared" ca="1" si="57"/>
        <v>27.565960713139983</v>
      </c>
      <c r="S59" s="48">
        <f t="shared" ca="1" si="58"/>
        <v>-124.65521782629581</v>
      </c>
      <c r="T59" s="46">
        <f t="shared" ca="1" si="59"/>
        <v>1062725.2009607132</v>
      </c>
      <c r="U59" s="46">
        <f t="shared" ca="1" si="60"/>
        <v>467073.28778217372</v>
      </c>
      <c r="V59" s="48">
        <f t="shared" si="61"/>
        <v>1258.6543857114555</v>
      </c>
      <c r="W59" s="48">
        <f t="shared" ca="1" si="47"/>
        <v>1257.5380575444406</v>
      </c>
      <c r="X59" s="48">
        <f t="shared" ca="1" si="11"/>
        <v>1062725.2009607132</v>
      </c>
      <c r="Y59" s="48">
        <f t="shared" ca="1" si="62"/>
        <v>467073.28778217372</v>
      </c>
      <c r="Z59" s="48">
        <f t="shared" ca="1" si="63"/>
        <v>1062716.087189178</v>
      </c>
      <c r="AA59" s="48">
        <f t="shared" ca="1" si="64"/>
        <v>467075.28435580991</v>
      </c>
      <c r="AB59" s="48">
        <f t="shared" ca="1" si="65"/>
        <v>9.3299055665630348</v>
      </c>
      <c r="AC59" s="48">
        <f t="shared" ca="1" si="66"/>
        <v>116.14795326498482</v>
      </c>
      <c r="AD59" s="48">
        <f t="shared" ca="1" si="67"/>
        <v>3.0307601713691383</v>
      </c>
      <c r="AE59" s="45">
        <f t="shared" ca="1" si="68"/>
        <v>381.06</v>
      </c>
      <c r="AF59" s="45">
        <f t="shared" ca="1" si="69"/>
        <v>9.94</v>
      </c>
      <c r="AH59" s="45">
        <v>381.06</v>
      </c>
      <c r="AI59" s="45">
        <f t="shared" ca="1" si="71"/>
        <v>9.94</v>
      </c>
      <c r="AJ59" s="2" t="str">
        <f t="shared" ca="1" si="70"/>
        <v>381.06,9.94</v>
      </c>
      <c r="AL59" s="2">
        <v>16.2</v>
      </c>
    </row>
    <row r="60" spans="1:38" x14ac:dyDescent="0.25">
      <c r="A60" s="45">
        <v>40</v>
      </c>
      <c r="B60" s="49">
        <v>14.265671296296297</v>
      </c>
      <c r="C60" s="49">
        <v>3.6058449074074073</v>
      </c>
      <c r="D60" s="45">
        <v>28.257999999999999</v>
      </c>
      <c r="E60" s="45">
        <v>3.7130000000000001</v>
      </c>
      <c r="F60" s="50" t="s">
        <v>72</v>
      </c>
      <c r="G60" s="44">
        <f t="shared" si="48"/>
        <v>86.540277777777774</v>
      </c>
      <c r="H60" s="44">
        <f t="shared" si="49"/>
        <v>1.5104127828127039</v>
      </c>
      <c r="I60" s="44">
        <f t="shared" si="50"/>
        <v>342.37611111111113</v>
      </c>
      <c r="J60" s="50">
        <f t="shared" si="51"/>
        <v>5.9755904190628302</v>
      </c>
      <c r="K60" s="50">
        <f t="shared" si="52"/>
        <v>28.206498881738121</v>
      </c>
      <c r="L60" s="47">
        <f t="shared" si="53"/>
        <v>1.7052814531642737</v>
      </c>
      <c r="M60" s="46"/>
      <c r="N60" s="48">
        <f t="shared" si="54"/>
        <v>342.37611111111113</v>
      </c>
      <c r="O60" s="48">
        <f t="shared" ca="1" si="22"/>
        <v>20.299312405005466</v>
      </c>
      <c r="P60" s="48">
        <f t="shared" ca="1" si="55"/>
        <v>362.67542351611661</v>
      </c>
      <c r="Q60" s="48">
        <f t="shared" ca="1" si="56"/>
        <v>6.329880256421105</v>
      </c>
      <c r="R60" s="48">
        <f t="shared" ca="1" si="57"/>
        <v>1.3166224472132211</v>
      </c>
      <c r="S60" s="48">
        <f t="shared" ca="1" si="58"/>
        <v>28.175753485878388</v>
      </c>
      <c r="T60" s="46">
        <f t="shared" ca="1" si="59"/>
        <v>1062698.9516224472</v>
      </c>
      <c r="U60" s="46">
        <f t="shared" ca="1" si="60"/>
        <v>467226.11875348591</v>
      </c>
      <c r="V60" s="48">
        <f t="shared" si="61"/>
        <v>1261.3982814531641</v>
      </c>
      <c r="W60" s="48">
        <f t="shared" ca="1" si="47"/>
        <v>1260.2819532861492</v>
      </c>
      <c r="X60" s="48" t="str">
        <f t="shared" si="11"/>
        <v/>
      </c>
      <c r="Y60" s="48" t="str">
        <f t="shared" si="62"/>
        <v/>
      </c>
      <c r="Z60" s="48" t="str">
        <f t="shared" si="63"/>
        <v/>
      </c>
      <c r="AA60" s="48" t="str">
        <f t="shared" si="64"/>
        <v/>
      </c>
      <c r="AB60" s="48" t="str">
        <f t="shared" si="65"/>
        <v/>
      </c>
      <c r="AC60" s="48" t="str">
        <f t="shared" ca="1" si="66"/>
        <v/>
      </c>
      <c r="AD60" s="48" t="str">
        <f t="shared" si="67"/>
        <v/>
      </c>
      <c r="AE60" s="45" t="e">
        <f t="shared" ca="1" si="68"/>
        <v>#VALUE!</v>
      </c>
      <c r="AF60" s="45" t="e">
        <f t="shared" si="69"/>
        <v>#VALUE!</v>
      </c>
      <c r="AH60" s="45"/>
      <c r="AI60" s="45"/>
      <c r="AJ60" s="45"/>
    </row>
    <row r="61" spans="1:38" x14ac:dyDescent="0.25">
      <c r="A61" s="45">
        <v>41</v>
      </c>
      <c r="B61" s="49">
        <v>14.997175925925925</v>
      </c>
      <c r="C61" s="49">
        <v>3.6314236111111113</v>
      </c>
      <c r="D61" s="45">
        <v>26.952999999999999</v>
      </c>
      <c r="E61" s="45">
        <v>3.7130000000000001</v>
      </c>
      <c r="F61" s="50" t="s">
        <v>71</v>
      </c>
      <c r="G61" s="44">
        <f t="shared" si="48"/>
        <v>87.154166666666669</v>
      </c>
      <c r="H61" s="44">
        <f t="shared" si="49"/>
        <v>1.5211271651652247</v>
      </c>
      <c r="I61" s="44">
        <f t="shared" si="50"/>
        <v>359.93222222222221</v>
      </c>
      <c r="J61" s="50">
        <f t="shared" si="51"/>
        <v>6.2820023617976792</v>
      </c>
      <c r="K61" s="50">
        <f t="shared" si="52"/>
        <v>26.919759963783999</v>
      </c>
      <c r="L61" s="47">
        <f t="shared" si="53"/>
        <v>1.3381825332337518</v>
      </c>
      <c r="M61" s="46"/>
      <c r="N61" s="48">
        <f t="shared" si="54"/>
        <v>359.93222222222221</v>
      </c>
      <c r="O61" s="48">
        <f t="shared" ca="1" si="22"/>
        <v>20.299312405005466</v>
      </c>
      <c r="P61" s="48">
        <f t="shared" ca="1" si="55"/>
        <v>380.23153462722769</v>
      </c>
      <c r="Q61" s="48">
        <f t="shared" ca="1" si="56"/>
        <v>6.6362921991559531</v>
      </c>
      <c r="R61" s="48">
        <f t="shared" ca="1" si="57"/>
        <v>9.3092481061525536</v>
      </c>
      <c r="S61" s="48">
        <f t="shared" ca="1" si="58"/>
        <v>25.25888707377748</v>
      </c>
      <c r="T61" s="46">
        <f t="shared" ca="1" si="59"/>
        <v>1062706.9442481061</v>
      </c>
      <c r="U61" s="46">
        <f t="shared" ca="1" si="60"/>
        <v>467223.20188707381</v>
      </c>
      <c r="V61" s="48">
        <f t="shared" si="61"/>
        <v>1261.0311825332337</v>
      </c>
      <c r="W61" s="48">
        <f t="shared" ca="1" si="47"/>
        <v>1259.9148543662188</v>
      </c>
      <c r="X61" s="48" t="str">
        <f t="shared" si="11"/>
        <v/>
      </c>
      <c r="Y61" s="48" t="str">
        <f t="shared" si="62"/>
        <v/>
      </c>
      <c r="Z61" s="48" t="str">
        <f t="shared" si="63"/>
        <v/>
      </c>
      <c r="AA61" s="48" t="str">
        <f t="shared" si="64"/>
        <v/>
      </c>
      <c r="AB61" s="48" t="str">
        <f t="shared" si="65"/>
        <v/>
      </c>
      <c r="AC61" s="48" t="str">
        <f t="shared" ca="1" si="66"/>
        <v/>
      </c>
      <c r="AD61" s="48" t="str">
        <f t="shared" si="67"/>
        <v/>
      </c>
      <c r="AE61" s="45" t="e">
        <f t="shared" ca="1" si="68"/>
        <v>#VALUE!</v>
      </c>
      <c r="AF61" s="45" t="e">
        <f t="shared" si="69"/>
        <v>#VALUE!</v>
      </c>
      <c r="AH61" s="45"/>
      <c r="AI61" s="45"/>
      <c r="AJ61" s="45"/>
    </row>
    <row r="62" spans="1:38" x14ac:dyDescent="0.25">
      <c r="A62" s="41"/>
      <c r="C62" s="2"/>
      <c r="D62" s="43"/>
      <c r="E62" s="43"/>
      <c r="F62" s="43"/>
      <c r="G62" s="43"/>
      <c r="H62" s="43"/>
      <c r="I62" s="10"/>
      <c r="J62" s="10"/>
      <c r="K62" s="10"/>
      <c r="L62" s="10"/>
      <c r="M62" s="10"/>
      <c r="V62" s="2"/>
      <c r="W62" s="14"/>
      <c r="X62" s="2"/>
      <c r="Y62" s="2"/>
      <c r="Z62" s="2"/>
      <c r="AH62" s="45"/>
      <c r="AI62" s="45"/>
      <c r="AJ62" s="45"/>
    </row>
    <row r="63" spans="1:38" x14ac:dyDescent="0.25">
      <c r="A63" s="41"/>
      <c r="C63" s="2"/>
      <c r="D63" s="43"/>
      <c r="E63" s="43"/>
      <c r="F63" s="43"/>
      <c r="G63" s="43"/>
      <c r="H63" s="43"/>
      <c r="I63" s="10"/>
      <c r="J63" s="10"/>
      <c r="K63" s="10"/>
      <c r="L63" s="10"/>
      <c r="M63" s="10"/>
      <c r="V63" s="2"/>
      <c r="W63" s="14"/>
      <c r="X63" s="2"/>
      <c r="Y63" s="2"/>
      <c r="Z63" s="2"/>
      <c r="AH63" s="45"/>
      <c r="AI63" s="45"/>
      <c r="AJ63" s="45"/>
    </row>
    <row r="64" spans="1:38" x14ac:dyDescent="0.25">
      <c r="A64" s="41"/>
      <c r="C64" s="2"/>
      <c r="D64" s="43"/>
      <c r="E64" s="43"/>
      <c r="F64" s="43"/>
      <c r="G64" s="43"/>
      <c r="H64" s="43"/>
      <c r="I64" s="10"/>
      <c r="J64" s="10"/>
      <c r="K64" s="10"/>
      <c r="L64" s="10"/>
      <c r="M64" s="10"/>
      <c r="V64" s="2"/>
      <c r="W64" s="14"/>
      <c r="X64" s="2"/>
      <c r="Y64" s="2"/>
      <c r="Z64" s="2"/>
      <c r="AH64" s="45"/>
      <c r="AI64" s="45"/>
      <c r="AJ64" s="45"/>
    </row>
    <row r="65" spans="1:36" x14ac:dyDescent="0.25">
      <c r="A65" s="41"/>
      <c r="C65" s="2"/>
      <c r="D65" s="43"/>
      <c r="E65" s="43"/>
      <c r="F65" s="43"/>
      <c r="G65" s="43"/>
      <c r="H65" s="43"/>
      <c r="I65" s="10"/>
      <c r="J65" s="10"/>
      <c r="K65" s="10"/>
      <c r="L65" s="10"/>
      <c r="M65" s="10"/>
      <c r="V65" s="2"/>
      <c r="W65" s="14"/>
      <c r="X65" s="2"/>
      <c r="Y65" s="2"/>
      <c r="Z65" s="2"/>
      <c r="AH65" s="45"/>
      <c r="AI65" s="45"/>
      <c r="AJ65" s="45"/>
    </row>
    <row r="66" spans="1:36" x14ac:dyDescent="0.25">
      <c r="A66" s="41"/>
      <c r="C66" s="2"/>
      <c r="D66" s="43"/>
      <c r="E66" s="43"/>
      <c r="F66" s="43"/>
      <c r="G66" s="43"/>
      <c r="H66" s="43"/>
      <c r="I66" s="10"/>
      <c r="J66" s="10"/>
      <c r="K66" s="10"/>
      <c r="L66" s="10"/>
      <c r="M66" s="10"/>
      <c r="V66" s="2"/>
      <c r="W66" s="14"/>
      <c r="X66" s="2"/>
      <c r="Y66" s="2"/>
      <c r="Z66" s="2"/>
      <c r="AH66" s="45"/>
      <c r="AI66" s="45"/>
      <c r="AJ66" s="45"/>
    </row>
    <row r="67" spans="1:36" x14ac:dyDescent="0.25">
      <c r="A67" s="41"/>
      <c r="C67" s="2"/>
      <c r="D67" s="43"/>
      <c r="E67" s="43"/>
      <c r="F67" s="43"/>
      <c r="G67" s="43"/>
      <c r="H67" s="43"/>
      <c r="I67" s="10"/>
      <c r="J67" s="10"/>
      <c r="K67" s="10"/>
      <c r="L67" s="10"/>
      <c r="M67" s="10"/>
      <c r="V67" s="2"/>
      <c r="W67" s="14"/>
      <c r="X67" s="2"/>
      <c r="Y67" s="2"/>
      <c r="Z67" s="2"/>
    </row>
    <row r="68" spans="1:36" x14ac:dyDescent="0.25">
      <c r="A68" s="41"/>
      <c r="C68" s="2"/>
      <c r="D68" s="43"/>
      <c r="E68" s="43"/>
      <c r="F68" s="43"/>
      <c r="G68" s="43"/>
      <c r="H68" s="43"/>
      <c r="I68" s="10"/>
      <c r="J68" s="10"/>
      <c r="K68" s="10"/>
      <c r="L68" s="10"/>
      <c r="M68" s="10"/>
      <c r="V68" s="2"/>
      <c r="W68" s="14"/>
      <c r="X68" s="2"/>
      <c r="Y68" s="2"/>
      <c r="Z68" s="2"/>
      <c r="AA68" s="2"/>
    </row>
    <row r="69" spans="1:36" x14ac:dyDescent="0.25">
      <c r="A69" s="41"/>
      <c r="C69" s="2"/>
      <c r="D69" s="43"/>
      <c r="E69" s="43"/>
      <c r="F69" s="43"/>
      <c r="G69" s="43"/>
      <c r="H69" s="43"/>
      <c r="I69" s="10"/>
      <c r="J69" s="10"/>
      <c r="K69" s="10"/>
      <c r="L69" s="10"/>
      <c r="M69" s="10"/>
      <c r="V69" s="2"/>
      <c r="W69" s="14"/>
      <c r="X69" s="2"/>
      <c r="Y69" s="2"/>
      <c r="Z69" s="2"/>
      <c r="AA69" s="2"/>
    </row>
    <row r="70" spans="1:36" x14ac:dyDescent="0.25">
      <c r="A70" s="41"/>
      <c r="C70" s="2"/>
      <c r="D70" s="43"/>
      <c r="E70" s="43"/>
      <c r="F70" s="43"/>
      <c r="G70" s="43"/>
      <c r="H70" s="43"/>
      <c r="I70" s="10"/>
      <c r="J70" s="10"/>
      <c r="K70" s="10"/>
      <c r="L70" s="10"/>
      <c r="M70" s="10"/>
      <c r="V70" s="2"/>
      <c r="W70" s="14"/>
      <c r="X70" s="2"/>
      <c r="Y70" s="2"/>
      <c r="Z70" s="2"/>
      <c r="AA70" s="2"/>
    </row>
    <row r="71" spans="1:36" x14ac:dyDescent="0.25">
      <c r="A71" s="41"/>
      <c r="C71" s="2"/>
      <c r="D71" s="43"/>
      <c r="E71" s="43"/>
      <c r="F71" s="43"/>
      <c r="G71" s="43"/>
      <c r="H71" s="43"/>
      <c r="I71" s="10"/>
      <c r="J71" s="10"/>
      <c r="K71" s="10"/>
      <c r="L71" s="10"/>
      <c r="M71" s="10"/>
      <c r="W71" s="2"/>
      <c r="X71" s="14"/>
      <c r="Y71" s="2"/>
      <c r="Z71" s="2"/>
      <c r="AA71" s="2"/>
    </row>
    <row r="72" spans="1:36" x14ac:dyDescent="0.25">
      <c r="A72" s="41"/>
      <c r="C72" s="2"/>
      <c r="D72" s="43"/>
      <c r="E72" s="43"/>
      <c r="F72" s="43"/>
      <c r="G72" s="43"/>
      <c r="H72" s="43"/>
      <c r="I72" s="10"/>
      <c r="J72" s="10"/>
      <c r="K72" s="10"/>
      <c r="L72" s="10"/>
      <c r="M72" s="10"/>
      <c r="W72" s="2"/>
      <c r="X72" s="14"/>
      <c r="Y72" s="2"/>
      <c r="Z72" s="2"/>
      <c r="AA72" s="2"/>
    </row>
    <row r="73" spans="1:36" x14ac:dyDescent="0.25">
      <c r="A73" s="41"/>
      <c r="C73" s="2"/>
      <c r="D73" s="43"/>
      <c r="E73" s="43"/>
      <c r="F73" s="43"/>
      <c r="G73" s="43"/>
      <c r="H73" s="43"/>
      <c r="I73" s="10"/>
      <c r="J73" s="10"/>
      <c r="K73" s="10"/>
      <c r="L73" s="10"/>
      <c r="M73" s="10"/>
      <c r="W73" s="2"/>
      <c r="X73" s="14"/>
      <c r="Y73" s="2"/>
      <c r="Z73" s="2"/>
      <c r="AA73" s="2"/>
    </row>
    <row r="74" spans="1:36" x14ac:dyDescent="0.25">
      <c r="A74" s="41"/>
      <c r="C74" s="2"/>
      <c r="D74" s="43"/>
      <c r="E74" s="43"/>
      <c r="F74" s="43"/>
      <c r="G74" s="43"/>
      <c r="H74" s="43"/>
      <c r="I74" s="10"/>
      <c r="J74" s="10"/>
      <c r="K74" s="10"/>
      <c r="L74" s="10"/>
      <c r="M74" s="10"/>
      <c r="X74" s="14"/>
      <c r="Y74" s="2"/>
      <c r="Z74" s="2"/>
      <c r="AA74" s="2"/>
    </row>
    <row r="75" spans="1:36" x14ac:dyDescent="0.25">
      <c r="A75" s="18"/>
      <c r="C75" s="2"/>
      <c r="D75" s="43"/>
      <c r="E75" s="43"/>
      <c r="F75" s="43"/>
      <c r="G75" s="43"/>
      <c r="H75" s="43"/>
      <c r="I75" s="10"/>
      <c r="J75" s="10"/>
      <c r="K75" s="10"/>
      <c r="L75" s="10"/>
      <c r="M75" s="10"/>
      <c r="X75" s="14"/>
      <c r="Y75" s="2"/>
      <c r="Z75" s="2"/>
      <c r="AA75" s="2"/>
    </row>
    <row r="76" spans="1:36" x14ac:dyDescent="0.25">
      <c r="A76" s="18"/>
      <c r="C76" s="2"/>
      <c r="D76" s="43"/>
      <c r="E76" s="43"/>
      <c r="F76" s="43"/>
      <c r="G76" s="43"/>
      <c r="H76" s="43"/>
      <c r="I76" s="10"/>
      <c r="J76" s="10"/>
      <c r="K76" s="10"/>
      <c r="L76" s="10"/>
      <c r="M76" s="10"/>
      <c r="X76" s="14"/>
      <c r="Y76" s="2"/>
      <c r="Z76" s="2"/>
      <c r="AA76" s="2"/>
    </row>
    <row r="77" spans="1:36" x14ac:dyDescent="0.25">
      <c r="A77" s="18"/>
      <c r="C77" s="2"/>
      <c r="D77" s="43"/>
      <c r="E77" s="43"/>
      <c r="F77" s="43"/>
      <c r="G77" s="43"/>
      <c r="H77" s="43"/>
      <c r="I77" s="10"/>
      <c r="J77" s="10"/>
      <c r="K77" s="10"/>
      <c r="L77" s="10"/>
      <c r="M77" s="10"/>
      <c r="X77" s="14"/>
      <c r="Y77" s="2"/>
      <c r="Z77" s="2"/>
      <c r="AA77" s="2"/>
    </row>
    <row r="78" spans="1:36" x14ac:dyDescent="0.25">
      <c r="A78" s="18"/>
      <c r="C78" s="2"/>
      <c r="D78" s="43"/>
      <c r="E78" s="43"/>
      <c r="F78" s="43"/>
      <c r="G78" s="43"/>
      <c r="H78" s="43"/>
      <c r="I78" s="10"/>
      <c r="J78" s="10"/>
      <c r="K78" s="10"/>
      <c r="L78" s="10"/>
      <c r="M78" s="10"/>
      <c r="X78" s="14"/>
      <c r="Y78" s="2"/>
      <c r="Z78" s="2"/>
      <c r="AA78" s="2"/>
    </row>
    <row r="79" spans="1:36" x14ac:dyDescent="0.25">
      <c r="A79" s="18"/>
      <c r="C79" s="2"/>
      <c r="D79" s="43"/>
      <c r="E79" s="43"/>
      <c r="F79" s="43"/>
      <c r="G79" s="43"/>
      <c r="H79" s="43"/>
      <c r="I79" s="10"/>
      <c r="J79" s="10"/>
      <c r="K79" s="10"/>
      <c r="L79" s="10"/>
      <c r="M79" s="10"/>
      <c r="X79" s="14"/>
      <c r="Y79" s="2"/>
      <c r="Z79" s="2"/>
      <c r="AA79" s="2"/>
    </row>
    <row r="80" spans="1:36" x14ac:dyDescent="0.25">
      <c r="A80" s="18"/>
      <c r="C80" s="2"/>
      <c r="D80" s="43"/>
      <c r="E80" s="43"/>
      <c r="F80" s="43"/>
      <c r="G80" s="43"/>
      <c r="H80" s="43"/>
      <c r="I80" s="10"/>
      <c r="J80" s="10"/>
      <c r="K80" s="10"/>
      <c r="L80" s="10"/>
      <c r="M80" s="10"/>
      <c r="X80" s="14"/>
      <c r="Y80" s="2"/>
      <c r="Z80" s="2"/>
      <c r="AA80" s="2"/>
    </row>
    <row r="81" spans="1:27" x14ac:dyDescent="0.25">
      <c r="A81" s="18"/>
      <c r="C81" s="2"/>
      <c r="D81" s="43"/>
      <c r="E81" s="43"/>
      <c r="F81" s="43"/>
      <c r="G81" s="43"/>
      <c r="H81" s="43"/>
      <c r="I81" s="10"/>
      <c r="J81" s="10"/>
      <c r="K81" s="10"/>
      <c r="L81" s="10"/>
      <c r="M81" s="10"/>
      <c r="X81" s="14"/>
      <c r="Y81" s="2"/>
      <c r="Z81" s="2"/>
      <c r="AA81" s="2"/>
    </row>
    <row r="82" spans="1:27" x14ac:dyDescent="0.25">
      <c r="A82" s="18"/>
      <c r="C82" s="2"/>
      <c r="D82" s="43"/>
      <c r="E82" s="43"/>
      <c r="F82" s="43"/>
      <c r="G82" s="43"/>
      <c r="H82" s="43"/>
      <c r="I82" s="10"/>
      <c r="J82" s="10"/>
      <c r="K82" s="10"/>
      <c r="L82" s="10"/>
      <c r="M82" s="10"/>
      <c r="X82" s="14"/>
      <c r="Y82" s="2"/>
      <c r="Z82" s="2"/>
      <c r="AA82" s="2"/>
    </row>
    <row r="83" spans="1:27" x14ac:dyDescent="0.25">
      <c r="A83" s="18"/>
      <c r="C83" s="2"/>
      <c r="D83" s="43"/>
      <c r="E83" s="43"/>
      <c r="F83" s="43"/>
      <c r="G83" s="43"/>
      <c r="H83" s="43"/>
      <c r="I83" s="10"/>
      <c r="J83" s="10"/>
      <c r="K83" s="10"/>
      <c r="L83" s="10"/>
      <c r="M83" s="10"/>
      <c r="X83" s="14"/>
      <c r="Y83" s="2"/>
      <c r="Z83" s="2"/>
      <c r="AA83" s="2"/>
    </row>
    <row r="84" spans="1:27" x14ac:dyDescent="0.25">
      <c r="A84" s="18"/>
      <c r="C84" s="2"/>
      <c r="D84" s="43"/>
      <c r="E84" s="43"/>
      <c r="F84" s="43"/>
      <c r="G84" s="43"/>
      <c r="H84" s="43"/>
      <c r="I84" s="10"/>
      <c r="J84" s="10"/>
      <c r="K84" s="10"/>
      <c r="L84" s="10"/>
      <c r="M84" s="10"/>
      <c r="X84" s="14"/>
      <c r="Y84" s="2"/>
      <c r="Z84" s="2"/>
      <c r="AA84" s="2"/>
    </row>
    <row r="85" spans="1:27" x14ac:dyDescent="0.25">
      <c r="A85" s="18"/>
      <c r="C85" s="2"/>
      <c r="D85" s="43"/>
      <c r="E85" s="43"/>
      <c r="F85" s="43"/>
      <c r="G85" s="43"/>
      <c r="H85" s="43"/>
      <c r="I85" s="10"/>
      <c r="J85" s="10"/>
      <c r="K85" s="10"/>
      <c r="L85" s="10"/>
      <c r="M85" s="10"/>
      <c r="X85" s="14"/>
      <c r="Y85" s="2"/>
      <c r="Z85" s="2"/>
      <c r="AA85" s="2"/>
    </row>
  </sheetData>
  <sortState ref="AL46:AL59">
    <sortCondition ref="AL46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4" bestFit="1" customWidth="1"/>
    <col min="4" max="4" width="11.5703125" style="34" customWidth="1"/>
    <col min="5" max="5" width="47.42578125" bestFit="1" customWidth="1"/>
    <col min="6" max="6" width="8.85546875" style="35"/>
  </cols>
  <sheetData>
    <row r="1" spans="1:8" x14ac:dyDescent="0.25">
      <c r="A1" t="s">
        <v>57</v>
      </c>
      <c r="B1" s="34" t="s">
        <v>7</v>
      </c>
      <c r="C1" s="34" t="s">
        <v>6</v>
      </c>
      <c r="D1" s="34" t="s">
        <v>58</v>
      </c>
      <c r="E1" t="s">
        <v>63</v>
      </c>
      <c r="F1" s="35" t="s">
        <v>59</v>
      </c>
      <c r="G1" s="34" t="s">
        <v>61</v>
      </c>
      <c r="H1" s="34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4">
        <f>IF(ISNUMBER(Calculations!N4),CONVERT(Calculations!N4,Units_In,Units_Out),"")</f>
        <v>3486540.7972440943</v>
      </c>
      <c r="C2" s="34">
        <f>IF(ISNUMBER(Calculations!O4),CONVERT(Calculations!O4,Units_In,Units_Out),"")</f>
        <v>1532801.6502624671</v>
      </c>
      <c r="D2" s="34" t="s">
        <v>60</v>
      </c>
      <c r="E2" s="10" t="str">
        <f>CONCATENATE("0503 ",B2,"EUSft ",C2,"NUSft")</f>
        <v>0503 3486540.79724409EUSft 1532801.65026247NUSft</v>
      </c>
      <c r="F2" s="35">
        <v>98</v>
      </c>
      <c r="G2" s="10" t="str">
        <f>IF(F2=98,"Lime",IF(F2=94,"Yellow",""))</f>
        <v>Lime</v>
      </c>
      <c r="H2" s="10" t="str">
        <f>Calculations!$A$1</f>
        <v>CSS5</v>
      </c>
    </row>
    <row r="3" spans="1:8" s="10" customFormat="1" x14ac:dyDescent="0.25">
      <c r="A3" s="10" t="str">
        <f>IF(ISNUMBER(Calculations!M5),CONCATENATE("GPS",Calculations!M5),"")</f>
        <v>GPS1</v>
      </c>
      <c r="B3" s="34">
        <f>IF(ISNUMBER(Calculations!N5),CONVERT(Calculations!N5,Units_In,Units_Out),"")</f>
        <v>3486572.3261154862</v>
      </c>
      <c r="C3" s="34">
        <f>IF(ISNUMBER(Calculations!O5),CONVERT(Calculations!O5,Units_In,Units_Out),"")</f>
        <v>1532887.250656168</v>
      </c>
      <c r="D3" s="34" t="s">
        <v>60</v>
      </c>
      <c r="E3" s="10" t="str">
        <f t="shared" ref="E3:E4" si="0">CONCATENATE("0503 ",B3,"EUSft ",C3,"NUSft")</f>
        <v>0503 3486572.32611549EUSft 1532887.25065617NUSft</v>
      </c>
      <c r="F3" s="35">
        <v>98</v>
      </c>
      <c r="G3" s="10" t="str">
        <f t="shared" ref="G3:G65" si="1">IF(F3=98,"Lime",IF(F3=94,"Yellow",""))</f>
        <v>Lime</v>
      </c>
      <c r="H3" s="10" t="str">
        <f>Calculations!$A$1</f>
        <v>CSS5</v>
      </c>
    </row>
    <row r="4" spans="1:8" s="10" customFormat="1" x14ac:dyDescent="0.25">
      <c r="A4" s="10" t="str">
        <f>IF(ISNUMBER(Calculations!M6),CONCATENATE("GPS",Calculations!M6),"")</f>
        <v>GPS2</v>
      </c>
      <c r="B4" s="34">
        <f>IF(ISNUMBER(Calculations!N6),CONVERT(Calculations!N6,Units_In,Units_Out),"")</f>
        <v>3486596.4140419946</v>
      </c>
      <c r="C4" s="34">
        <f>IF(ISNUMBER(Calculations!O6),CONVERT(Calculations!O6,Units_In,Units_Out),"")</f>
        <v>1532871.7880577429</v>
      </c>
      <c r="D4" s="34" t="s">
        <v>60</v>
      </c>
      <c r="E4" s="10" t="str">
        <f t="shared" si="0"/>
        <v>0503 3486596.41404199EUSft 1532871.78805774NUSft</v>
      </c>
      <c r="F4" s="35">
        <v>98</v>
      </c>
      <c r="G4" s="10" t="str">
        <f t="shared" si="1"/>
        <v>Lime</v>
      </c>
      <c r="H4" s="10" t="str">
        <f>Calculations!$A$1</f>
        <v>CSS5</v>
      </c>
    </row>
    <row r="5" spans="1:8" x14ac:dyDescent="0.25">
      <c r="A5">
        <f>IF(ISNUMBER(Calculations!A21),Calculations!A21,"")</f>
        <v>1</v>
      </c>
      <c r="B5" s="34">
        <f ca="1">IF(ISNUMBER(A5),CONVERT(Calculations!T21,Units_In,Units_Out),"")</f>
        <v>3486572.9631120306</v>
      </c>
      <c r="C5" s="34">
        <f ca="1">IF(ISNUMBER(A5),CONVERT(Calculations!U21,Units_In,Units_Out),"")</f>
        <v>1532888.607813928</v>
      </c>
      <c r="D5" s="34" t="str">
        <f>IF(ISTEXT(Calculations!F21),Calculations!F21,"")</f>
        <v>BS</v>
      </c>
      <c r="E5" t="str">
        <f ca="1">IF(ISNUMBER(A5),CONCATENATE("0503 ",B5,"EUSft ",C5,"NUSft"),"")</f>
        <v>0503 3486572.96311203EUSft 1532888.60781393NUSft</v>
      </c>
      <c r="F5" s="35">
        <f>IF(ISNUMBER(A5),94,"")</f>
        <v>94</v>
      </c>
      <c r="G5" s="10" t="str">
        <f t="shared" si="1"/>
        <v>Yellow</v>
      </c>
      <c r="H5" s="10" t="str">
        <f>IF(ISNUMBER(A5),Calculations!$A$1,"")</f>
        <v>CSS5</v>
      </c>
    </row>
    <row r="6" spans="1:8" x14ac:dyDescent="0.25">
      <c r="A6" s="10">
        <f>IF(ISNUMBER(Calculations!A22),Calculations!A22,"")</f>
        <v>2</v>
      </c>
      <c r="B6" s="34">
        <f ca="1">IF(ISNUMBER(A6),CONVERT(Calculations!T22,Units_In,Units_Out),"")</f>
        <v>3486594.791292592</v>
      </c>
      <c r="C6" s="34">
        <f ca="1">IF(ISNUMBER(A6),CONVERT(Calculations!U22,Units_In,Units_Out),"")</f>
        <v>1532871.5765684862</v>
      </c>
      <c r="D6" s="34" t="str">
        <f>IF(ISTEXT(Calculations!F22),Calculations!F22,"")</f>
        <v>BS/ZERO</v>
      </c>
      <c r="E6" s="10" t="str">
        <f t="shared" ref="E6:E65" ca="1" si="2">IF(ISNUMBER(A6),CONCATENATE("0503 ",B6,"EUSft ",C6,"NUSft"),"")</f>
        <v>0503 3486594.79129259EUSft 1532871.57656849NUSft</v>
      </c>
      <c r="F6" s="35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CSS5</v>
      </c>
    </row>
    <row r="7" spans="1:8" x14ac:dyDescent="0.25">
      <c r="A7" s="10">
        <f>IF(ISNUMBER(Calculations!A23),Calculations!A23,"")</f>
        <v>3</v>
      </c>
      <c r="B7" s="34">
        <f ca="1">IF(ISNUMBER(A7),CONVERT(Calculations!T23,Units_In,Units_Out),"")</f>
        <v>3486360.0014243308</v>
      </c>
      <c r="C7" s="34">
        <f ca="1">IF(ISNUMBER(A7),CONVERT(Calculations!U23,Units_In,Units_Out),"")</f>
        <v>1532941.8934199633</v>
      </c>
      <c r="D7" s="34" t="str">
        <f>IF(ISTEXT(Calculations!F23),Calculations!F23,"")</f>
        <v/>
      </c>
      <c r="E7" s="10" t="str">
        <f t="shared" ca="1" si="2"/>
        <v>0503 3486360.00142433EUSft 1532941.89341996NUSft</v>
      </c>
      <c r="F7" s="35">
        <f t="shared" si="3"/>
        <v>94</v>
      </c>
      <c r="G7" s="10" t="str">
        <f t="shared" si="1"/>
        <v>Yellow</v>
      </c>
      <c r="H7" s="10" t="str">
        <f>IF(ISNUMBER(A7),Calculations!$A$1,"")</f>
        <v>CSS5</v>
      </c>
    </row>
    <row r="8" spans="1:8" x14ac:dyDescent="0.25">
      <c r="A8" s="10">
        <f>IF(ISNUMBER(Calculations!A24),Calculations!A24,"")</f>
        <v>4</v>
      </c>
      <c r="B8" s="34">
        <f ca="1">IF(ISNUMBER(A8),CONVERT(Calculations!T24,Units_In,Units_Out),"")</f>
        <v>3486359.6417047763</v>
      </c>
      <c r="C8" s="34">
        <f ca="1">IF(ISNUMBER(A8),CONVERT(Calculations!U24,Units_In,Units_Out),"")</f>
        <v>1532934.5972336447</v>
      </c>
      <c r="D8" s="34" t="str">
        <f>IF(ISTEXT(Calculations!F24),Calculations!F24,"")</f>
        <v/>
      </c>
      <c r="E8" s="10" t="str">
        <f t="shared" ca="1" si="2"/>
        <v>0503 3486359.64170478EUSft 1532934.59723364NUSft</v>
      </c>
      <c r="F8" s="35">
        <f t="shared" si="3"/>
        <v>94</v>
      </c>
      <c r="G8" s="10" t="str">
        <f t="shared" si="1"/>
        <v>Yellow</v>
      </c>
      <c r="H8" s="10" t="str">
        <f>IF(ISNUMBER(A8),Calculations!$A$1,"")</f>
        <v>CSS5</v>
      </c>
    </row>
    <row r="9" spans="1:8" x14ac:dyDescent="0.25">
      <c r="A9" s="10">
        <f>IF(ISNUMBER(Calculations!A25),Calculations!A25,"")</f>
        <v>5</v>
      </c>
      <c r="B9" s="34">
        <f ca="1">IF(ISNUMBER(A9),CONVERT(Calculations!T25,Units_In,Units_Out),"")</f>
        <v>3486360.166970632</v>
      </c>
      <c r="C9" s="34">
        <f ca="1">IF(ISNUMBER(A9),CONVERT(Calculations!U25,Units_In,Units_Out),"")</f>
        <v>1532924.455794164</v>
      </c>
      <c r="D9" s="34" t="str">
        <f>IF(ISTEXT(Calculations!F25),Calculations!F25,"")</f>
        <v/>
      </c>
      <c r="E9" s="10" t="str">
        <f t="shared" ca="1" si="2"/>
        <v>0503 3486360.16697063EUSft 1532924.45579416NUSft</v>
      </c>
      <c r="F9" s="35">
        <f t="shared" si="3"/>
        <v>94</v>
      </c>
      <c r="G9" s="10" t="str">
        <f t="shared" si="1"/>
        <v>Yellow</v>
      </c>
      <c r="H9" s="10" t="str">
        <f>IF(ISNUMBER(A9),Calculations!$A$1,"")</f>
        <v>CSS5</v>
      </c>
    </row>
    <row r="10" spans="1:8" x14ac:dyDescent="0.25">
      <c r="A10" s="10">
        <f>IF(ISNUMBER(Calculations!A26),Calculations!A26,"")</f>
        <v>6</v>
      </c>
      <c r="B10" s="34">
        <f ca="1">IF(ISNUMBER(A10),CONVERT(Calculations!T26,Units_In,Units_Out),"")</f>
        <v>3486362.4388748761</v>
      </c>
      <c r="C10" s="34">
        <f ca="1">IF(ISNUMBER(A10),CONVERT(Calculations!U26,Units_In,Units_Out),"")</f>
        <v>1532915.6135211152</v>
      </c>
      <c r="D10" s="34" t="str">
        <f>IF(ISTEXT(Calculations!F26),Calculations!F26,"")</f>
        <v/>
      </c>
      <c r="E10" s="10" t="str">
        <f t="shared" ca="1" si="2"/>
        <v>0503 3486362.43887488EUSft 1532915.61352112NUSft</v>
      </c>
      <c r="F10" s="35">
        <f t="shared" si="3"/>
        <v>94</v>
      </c>
      <c r="G10" s="10" t="str">
        <f t="shared" si="1"/>
        <v>Yellow</v>
      </c>
      <c r="H10" s="10" t="str">
        <f>IF(ISNUMBER(A10),Calculations!$A$1,"")</f>
        <v>CSS5</v>
      </c>
    </row>
    <row r="11" spans="1:8" x14ac:dyDescent="0.25">
      <c r="A11" s="10">
        <f>IF(ISNUMBER(Calculations!A27),Calculations!A27,"")</f>
        <v>7</v>
      </c>
      <c r="B11" s="34">
        <f ca="1">IF(ISNUMBER(A11),CONVERT(Calculations!T27,Units_In,Units_Out),"")</f>
        <v>3486363.5794637282</v>
      </c>
      <c r="C11" s="34">
        <f ca="1">IF(ISNUMBER(A11),CONVERT(Calculations!U27,Units_In,Units_Out),"")</f>
        <v>1532907.7578763163</v>
      </c>
      <c r="D11" s="34" t="str">
        <f>IF(ISTEXT(Calculations!F27),Calculations!F27,"")</f>
        <v/>
      </c>
      <c r="E11" s="10" t="str">
        <f t="shared" ca="1" si="2"/>
        <v>0503 3486363.57946373EUSft 1532907.75787632NUSft</v>
      </c>
      <c r="F11" s="35">
        <f t="shared" si="3"/>
        <v>94</v>
      </c>
      <c r="G11" s="10" t="str">
        <f t="shared" si="1"/>
        <v>Yellow</v>
      </c>
      <c r="H11" s="10" t="str">
        <f>IF(ISNUMBER(A11),Calculations!$A$1,"")</f>
        <v>CSS5</v>
      </c>
    </row>
    <row r="12" spans="1:8" x14ac:dyDescent="0.25">
      <c r="A12" s="10">
        <f>IF(ISNUMBER(Calculations!A28),Calculations!A28,"")</f>
        <v>8</v>
      </c>
      <c r="B12" s="34">
        <f ca="1">IF(ISNUMBER(A12),CONVERT(Calculations!T28,Units_In,Units_Out),"")</f>
        <v>3486362.6996721686</v>
      </c>
      <c r="C12" s="34">
        <f ca="1">IF(ISNUMBER(A12),CONVERT(Calculations!U28,Units_In,Units_Out),"")</f>
        <v>1532899.45290606</v>
      </c>
      <c r="D12" s="34" t="str">
        <f>IF(ISTEXT(Calculations!F28),Calculations!F28,"")</f>
        <v/>
      </c>
      <c r="E12" s="10" t="str">
        <f t="shared" ca="1" si="2"/>
        <v>0503 3486362.69967217EUSft 1532899.45290606NUSft</v>
      </c>
      <c r="F12" s="35">
        <f t="shared" si="3"/>
        <v>94</v>
      </c>
      <c r="G12" s="10" t="str">
        <f t="shared" si="1"/>
        <v>Yellow</v>
      </c>
      <c r="H12" s="10" t="str">
        <f>IF(ISNUMBER(A12),Calculations!$A$1,"")</f>
        <v>CSS5</v>
      </c>
    </row>
    <row r="13" spans="1:8" x14ac:dyDescent="0.25">
      <c r="A13" s="10">
        <f>IF(ISNUMBER(Calculations!A29),Calculations!A29,"")</f>
        <v>9</v>
      </c>
      <c r="B13" s="34">
        <f ca="1">IF(ISNUMBER(A13),CONVERT(Calculations!T29,Units_In,Units_Out),"")</f>
        <v>3486361.8245597794</v>
      </c>
      <c r="C13" s="34">
        <f ca="1">IF(ISNUMBER(A13),CONVERT(Calculations!U29,Units_In,Units_Out),"")</f>
        <v>1532896.604280958</v>
      </c>
      <c r="D13" s="34" t="str">
        <f>IF(ISTEXT(Calculations!F29),Calculations!F29,"")</f>
        <v/>
      </c>
      <c r="E13" s="10" t="str">
        <f t="shared" ca="1" si="2"/>
        <v>0503 3486361.82455978EUSft 1532896.60428096NUSft</v>
      </c>
      <c r="F13" s="35">
        <f t="shared" si="3"/>
        <v>94</v>
      </c>
      <c r="G13" s="10" t="str">
        <f t="shared" si="1"/>
        <v>Yellow</v>
      </c>
      <c r="H13" s="10" t="str">
        <f>IF(ISNUMBER(A13),Calculations!$A$1,"")</f>
        <v>CSS5</v>
      </c>
    </row>
    <row r="14" spans="1:8" x14ac:dyDescent="0.25">
      <c r="A14" s="10">
        <f>IF(ISNUMBER(Calculations!A30),Calculations!A30,"")</f>
        <v>10</v>
      </c>
      <c r="B14" s="34">
        <f ca="1">IF(ISNUMBER(A14),CONVERT(Calculations!T30,Units_In,Units_Out),"")</f>
        <v>3486361.8037145608</v>
      </c>
      <c r="C14" s="34">
        <f ca="1">IF(ISNUMBER(A14),CONVERT(Calculations!U30,Units_In,Units_Out),"")</f>
        <v>1532896.4808238994</v>
      </c>
      <c r="D14" s="34" t="str">
        <f>IF(ISTEXT(Calculations!F30),Calculations!F30,"")</f>
        <v>WS</v>
      </c>
      <c r="E14" s="10" t="str">
        <f t="shared" ca="1" si="2"/>
        <v>0503 3486361.80371456EUSft 1532896.4808239NUSft</v>
      </c>
      <c r="F14" s="35">
        <f t="shared" si="3"/>
        <v>94</v>
      </c>
      <c r="G14" s="10" t="str">
        <f t="shared" si="1"/>
        <v>Yellow</v>
      </c>
      <c r="H14" s="10" t="str">
        <f>IF(ISNUMBER(A14),Calculations!$A$1,"")</f>
        <v>CSS5</v>
      </c>
    </row>
    <row r="15" spans="1:8" x14ac:dyDescent="0.25">
      <c r="A15" s="10">
        <f>IF(ISNUMBER(Calculations!A31),Calculations!A31,"")</f>
        <v>11</v>
      </c>
      <c r="B15" s="34">
        <f ca="1">IF(ISNUMBER(A15),CONVERT(Calculations!T31,Units_In,Units_Out),"")</f>
        <v>3486359.4542525336</v>
      </c>
      <c r="C15" s="34">
        <f ca="1">IF(ISNUMBER(A15),CONVERT(Calculations!U31,Units_In,Units_Out),"")</f>
        <v>1532882.6112430049</v>
      </c>
      <c r="D15" s="34" t="str">
        <f>IF(ISTEXT(Calculations!F31),Calculations!F31,"")</f>
        <v/>
      </c>
      <c r="E15" s="10" t="str">
        <f t="shared" ca="1" si="2"/>
        <v>0503 3486359.45425253EUSft 1532882.611243NUSft</v>
      </c>
      <c r="F15" s="35">
        <f t="shared" si="3"/>
        <v>94</v>
      </c>
      <c r="G15" s="10" t="str">
        <f t="shared" si="1"/>
        <v>Yellow</v>
      </c>
      <c r="H15" s="10" t="str">
        <f>IF(ISNUMBER(A15),Calculations!$A$1,"")</f>
        <v>CSS5</v>
      </c>
    </row>
    <row r="16" spans="1:8" x14ac:dyDescent="0.25">
      <c r="A16" s="10">
        <f>IF(ISNUMBER(Calculations!A32),Calculations!A32,"")</f>
        <v>12</v>
      </c>
      <c r="B16" s="34">
        <f ca="1">IF(ISNUMBER(A16),CONVERT(Calculations!T32,Units_In,Units_Out),"")</f>
        <v>3486356.7251725616</v>
      </c>
      <c r="C16" s="34">
        <f ca="1">IF(ISNUMBER(A16),CONVERT(Calculations!U32,Units_In,Units_Out),"")</f>
        <v>1532872.1773955785</v>
      </c>
      <c r="D16" s="34" t="str">
        <f>IF(ISTEXT(Calculations!F32),Calculations!F32,"")</f>
        <v/>
      </c>
      <c r="E16" s="10" t="str">
        <f t="shared" ca="1" si="2"/>
        <v>0503 3486356.72517256EUSft 1532872.17739558NUSft</v>
      </c>
      <c r="F16" s="35">
        <f t="shared" si="3"/>
        <v>94</v>
      </c>
      <c r="G16" s="10" t="str">
        <f t="shared" si="1"/>
        <v>Yellow</v>
      </c>
      <c r="H16" s="10" t="str">
        <f>IF(ISNUMBER(A16),Calculations!$A$1,"")</f>
        <v>CSS5</v>
      </c>
    </row>
    <row r="17" spans="1:8" x14ac:dyDescent="0.25">
      <c r="A17" s="10">
        <f>IF(ISNUMBER(Calculations!A33),Calculations!A33,"")</f>
        <v>13</v>
      </c>
      <c r="B17" s="34">
        <f ca="1">IF(ISNUMBER(A17),CONVERT(Calculations!T33,Units_In,Units_Out),"")</f>
        <v>3486354.1479641497</v>
      </c>
      <c r="C17" s="34">
        <f ca="1">IF(ISNUMBER(A17),CONVERT(Calculations!U33,Units_In,Units_Out),"")</f>
        <v>1532862.7723784137</v>
      </c>
      <c r="D17" s="34" t="str">
        <f>IF(ISTEXT(Calculations!F33),Calculations!F33,"")</f>
        <v/>
      </c>
      <c r="E17" s="10" t="str">
        <f t="shared" ca="1" si="2"/>
        <v>0503 3486354.14796415EUSft 1532862.77237841NUSft</v>
      </c>
      <c r="F17" s="35">
        <f t="shared" si="3"/>
        <v>94</v>
      </c>
      <c r="G17" s="10" t="str">
        <f t="shared" si="1"/>
        <v>Yellow</v>
      </c>
      <c r="H17" s="10" t="str">
        <f>IF(ISNUMBER(A17),Calculations!$A$1,"")</f>
        <v>CSS5</v>
      </c>
    </row>
    <row r="18" spans="1:8" x14ac:dyDescent="0.25">
      <c r="A18" s="10">
        <f>IF(ISNUMBER(Calculations!A34),Calculations!A34,"")</f>
        <v>14</v>
      </c>
      <c r="B18" s="34">
        <f ca="1">IF(ISNUMBER(A18),CONVERT(Calculations!T34,Units_In,Units_Out),"")</f>
        <v>3486340.1745695747</v>
      </c>
      <c r="C18" s="34">
        <f ca="1">IF(ISNUMBER(A18),CONVERT(Calculations!U34,Units_In,Units_Out),"")</f>
        <v>1532791.7499638272</v>
      </c>
      <c r="D18" s="34" t="str">
        <f>IF(ISTEXT(Calculations!F34),Calculations!F34,"")</f>
        <v/>
      </c>
      <c r="E18" s="10" t="str">
        <f t="shared" ca="1" si="2"/>
        <v>0503 3486340.17456957EUSft 1532791.74996383NUSft</v>
      </c>
      <c r="F18" s="35">
        <f t="shared" si="3"/>
        <v>94</v>
      </c>
      <c r="G18" s="10" t="str">
        <f t="shared" si="1"/>
        <v>Yellow</v>
      </c>
      <c r="H18" s="10" t="str">
        <f>IF(ISNUMBER(A18),Calculations!$A$1,"")</f>
        <v>CSS5</v>
      </c>
    </row>
    <row r="19" spans="1:8" x14ac:dyDescent="0.25">
      <c r="A19" s="10">
        <f>IF(ISNUMBER(Calculations!A35),Calculations!A35,"")</f>
        <v>15</v>
      </c>
      <c r="B19" s="34">
        <f ca="1">IF(ISNUMBER(A19),CONVERT(Calculations!T35,Units_In,Units_Out),"")</f>
        <v>3486343.1430547852</v>
      </c>
      <c r="C19" s="34">
        <f ca="1">IF(ISNUMBER(A19),CONVERT(Calculations!U35,Units_In,Units_Out),"")</f>
        <v>1532689.5349686916</v>
      </c>
      <c r="D19" s="34" t="str">
        <f>IF(ISTEXT(Calculations!F35),Calculations!F35,"")</f>
        <v/>
      </c>
      <c r="E19" s="10" t="str">
        <f t="shared" ca="1" si="2"/>
        <v>0503 3486343.14305479EUSft 1532689.53496869NUSft</v>
      </c>
      <c r="F19" s="35">
        <f t="shared" si="3"/>
        <v>94</v>
      </c>
      <c r="G19" s="10" t="str">
        <f t="shared" si="1"/>
        <v>Yellow</v>
      </c>
      <c r="H19" s="10" t="str">
        <f>IF(ISNUMBER(A19),Calculations!$A$1,"")</f>
        <v>CSS5</v>
      </c>
    </row>
    <row r="20" spans="1:8" x14ac:dyDescent="0.25">
      <c r="A20" s="10">
        <f>IF(ISNUMBER(Calculations!A36),Calculations!A36,"")</f>
        <v>16</v>
      </c>
      <c r="B20" s="34">
        <f ca="1">IF(ISNUMBER(A20),CONVERT(Calculations!T36,Units_In,Units_Out),"")</f>
        <v>3486342.6424534298</v>
      </c>
      <c r="C20" s="34">
        <f ca="1">IF(ISNUMBER(A20),CONVERT(Calculations!U36,Units_In,Units_Out),"")</f>
        <v>1532687.2205932406</v>
      </c>
      <c r="D20" s="34" t="str">
        <f>IF(ISTEXT(Calculations!F36),Calculations!F36,"")</f>
        <v>WS</v>
      </c>
      <c r="E20" s="10" t="str">
        <f t="shared" ca="1" si="2"/>
        <v>0503 3486342.64245343EUSft 1532687.22059324NUSft</v>
      </c>
      <c r="F20" s="35">
        <f t="shared" si="3"/>
        <v>94</v>
      </c>
      <c r="G20" s="10" t="str">
        <f t="shared" si="1"/>
        <v>Yellow</v>
      </c>
      <c r="H20" s="10" t="str">
        <f>IF(ISNUMBER(A20),Calculations!$A$1,"")</f>
        <v>CSS5</v>
      </c>
    </row>
    <row r="21" spans="1:8" x14ac:dyDescent="0.25">
      <c r="A21" s="10">
        <f>IF(ISNUMBER(Calculations!A37),Calculations!A37,"")</f>
        <v>17</v>
      </c>
      <c r="B21" s="34">
        <f ca="1">IF(ISNUMBER(A21),CONVERT(Calculations!T37,Units_In,Units_Out),"")</f>
        <v>3486342.6489719725</v>
      </c>
      <c r="C21" s="34">
        <f ca="1">IF(ISNUMBER(A21),CONVERT(Calculations!U37,Units_In,Units_Out),"")</f>
        <v>1532685.2404441766</v>
      </c>
      <c r="D21" s="34" t="str">
        <f>IF(ISTEXT(Calculations!F37),Calculations!F37,"")</f>
        <v/>
      </c>
      <c r="E21" s="10" t="str">
        <f t="shared" ca="1" si="2"/>
        <v>0503 3486342.64897197EUSft 1532685.24044418NUSft</v>
      </c>
      <c r="F21" s="35">
        <f t="shared" si="3"/>
        <v>94</v>
      </c>
      <c r="G21" s="10" t="str">
        <f t="shared" si="1"/>
        <v>Yellow</v>
      </c>
      <c r="H21" s="10" t="str">
        <f>IF(ISNUMBER(A21),Calculations!$A$1,"")</f>
        <v>CSS5</v>
      </c>
    </row>
    <row r="22" spans="1:8" x14ac:dyDescent="0.25">
      <c r="A22" s="10">
        <f>IF(ISNUMBER(Calculations!A38),Calculations!A38,"")</f>
        <v>18</v>
      </c>
      <c r="B22" s="34">
        <f ca="1">IF(ISNUMBER(A22),CONVERT(Calculations!T38,Units_In,Units_Out),"")</f>
        <v>3486346.4485022402</v>
      </c>
      <c r="C22" s="34">
        <f ca="1">IF(ISNUMBER(A22),CONVERT(Calculations!U38,Units_In,Units_Out),"")</f>
        <v>1532671.646783415</v>
      </c>
      <c r="D22" s="34" t="str">
        <f>IF(ISTEXT(Calculations!F38),Calculations!F38,"")</f>
        <v/>
      </c>
      <c r="E22" s="10" t="str">
        <f t="shared" ca="1" si="2"/>
        <v>0503 3486346.44850224EUSft 1532671.64678341NUSft</v>
      </c>
      <c r="F22" s="35">
        <f t="shared" si="3"/>
        <v>94</v>
      </c>
      <c r="G22" s="10" t="str">
        <f t="shared" si="1"/>
        <v>Yellow</v>
      </c>
      <c r="H22" s="10" t="str">
        <f>IF(ISNUMBER(A22),Calculations!$A$1,"")</f>
        <v>CSS5</v>
      </c>
    </row>
    <row r="23" spans="1:8" x14ac:dyDescent="0.25">
      <c r="A23" s="10">
        <f>IF(ISNUMBER(Calculations!A39),Calculations!A39,"")</f>
        <v>19</v>
      </c>
      <c r="B23" s="34">
        <f ca="1">IF(ISNUMBER(A23),CONVERT(Calculations!T39,Units_In,Units_Out),"")</f>
        <v>3486348.5375965838</v>
      </c>
      <c r="C23" s="34">
        <f ca="1">IF(ISNUMBER(A23),CONVERT(Calculations!U39,Units_In,Units_Out),"")</f>
        <v>1532665.0346095229</v>
      </c>
      <c r="D23" s="34" t="str">
        <f>IF(ISTEXT(Calculations!F39),Calculations!F39,"")</f>
        <v/>
      </c>
      <c r="E23" s="10" t="str">
        <f t="shared" ca="1" si="2"/>
        <v>0503 3486348.53759658EUSft 1532665.03460952NUSft</v>
      </c>
      <c r="F23" s="35">
        <f t="shared" si="3"/>
        <v>94</v>
      </c>
      <c r="G23" s="10" t="str">
        <f t="shared" si="1"/>
        <v>Yellow</v>
      </c>
      <c r="H23" s="10" t="str">
        <f>IF(ISNUMBER(A23),Calculations!$A$1,"")</f>
        <v>CSS5</v>
      </c>
    </row>
    <row r="24" spans="1:8" x14ac:dyDescent="0.25">
      <c r="A24" s="10">
        <f>IF(ISNUMBER(Calculations!A40),Calculations!A40,"")</f>
        <v>20</v>
      </c>
      <c r="B24" s="34">
        <f ca="1">IF(ISNUMBER(A24),CONVERT(Calculations!T40,Units_In,Units_Out),"")</f>
        <v>3486339.8647422791</v>
      </c>
      <c r="C24" s="34">
        <f ca="1">IF(ISNUMBER(A24),CONVERT(Calculations!U40,Units_In,Units_Out),"")</f>
        <v>1532604.8435415393</v>
      </c>
      <c r="D24" s="34" t="str">
        <f>IF(ISTEXT(Calculations!F40),Calculations!F40,"")</f>
        <v/>
      </c>
      <c r="E24" s="10" t="str">
        <f t="shared" ca="1" si="2"/>
        <v>0503 3486339.86474228EUSft 1532604.84354154NUSft</v>
      </c>
      <c r="F24" s="35">
        <f t="shared" si="3"/>
        <v>94</v>
      </c>
      <c r="G24" s="10" t="str">
        <f t="shared" si="1"/>
        <v>Yellow</v>
      </c>
      <c r="H24" s="10" t="str">
        <f>IF(ISNUMBER(A24),Calculations!$A$1,"")</f>
        <v>CSS5</v>
      </c>
    </row>
    <row r="25" spans="1:8" x14ac:dyDescent="0.25">
      <c r="A25" s="10">
        <f>IF(ISNUMBER(Calculations!A41),Calculations!A41,"")</f>
        <v>21</v>
      </c>
      <c r="B25" s="34">
        <f ca="1">IF(ISNUMBER(A25),CONVERT(Calculations!T41,Units_In,Units_Out),"")</f>
        <v>3486336.5875943392</v>
      </c>
      <c r="C25" s="34">
        <f ca="1">IF(ISNUMBER(A25),CONVERT(Calculations!U41,Units_In,Units_Out),"")</f>
        <v>1532507.7901192633</v>
      </c>
      <c r="D25" s="34" t="str">
        <f>IF(ISTEXT(Calculations!F41),Calculations!F41,"")</f>
        <v/>
      </c>
      <c r="E25" s="10" t="str">
        <f t="shared" ca="1" si="2"/>
        <v>0503 3486336.58759434EUSft 1532507.79011926NUSft</v>
      </c>
      <c r="F25" s="35">
        <f t="shared" si="3"/>
        <v>94</v>
      </c>
      <c r="G25" s="10" t="str">
        <f t="shared" si="1"/>
        <v>Yellow</v>
      </c>
      <c r="H25" s="10" t="str">
        <f>IF(ISNUMBER(A25),Calculations!$A$1,"")</f>
        <v>CSS5</v>
      </c>
    </row>
    <row r="26" spans="1:8" x14ac:dyDescent="0.25">
      <c r="A26" s="10">
        <f>IF(ISNUMBER(Calculations!A42),Calculations!A42,"")</f>
        <v>22</v>
      </c>
      <c r="B26" s="34">
        <f ca="1">IF(ISNUMBER(A26),CONVERT(Calculations!T42,Units_In,Units_Out),"")</f>
        <v>3486348.3093050211</v>
      </c>
      <c r="C26" s="34">
        <f ca="1">IF(ISNUMBER(A26),CONVERT(Calculations!U42,Units_In,Units_Out),"")</f>
        <v>1532435.9953496351</v>
      </c>
      <c r="D26" s="34" t="str">
        <f>IF(ISTEXT(Calculations!F42),Calculations!F42,"")</f>
        <v/>
      </c>
      <c r="E26" s="10" t="str">
        <f t="shared" ca="1" si="2"/>
        <v>0503 3486348.30930502EUSft 1532435.99534964NUSft</v>
      </c>
      <c r="F26" s="35">
        <f t="shared" si="3"/>
        <v>94</v>
      </c>
      <c r="G26" s="10" t="str">
        <f t="shared" si="1"/>
        <v>Yellow</v>
      </c>
      <c r="H26" s="10" t="str">
        <f>IF(ISNUMBER(A26),Calculations!$A$1,"")</f>
        <v>CSS5</v>
      </c>
    </row>
    <row r="27" spans="1:8" x14ac:dyDescent="0.25">
      <c r="A27" s="10">
        <f>IF(ISNUMBER(Calculations!A43),Calculations!A43,"")</f>
        <v>23</v>
      </c>
      <c r="B27" s="34">
        <f ca="1">IF(ISNUMBER(A27),CONVERT(Calculations!T43,Units_In,Units_Out),"")</f>
        <v>3486339.3726234743</v>
      </c>
      <c r="C27" s="34">
        <f ca="1">IF(ISNUMBER(A27),CONVERT(Calculations!U43,Units_In,Units_Out),"")</f>
        <v>1532414.6691833891</v>
      </c>
      <c r="D27" s="34" t="str">
        <f>IF(ISTEXT(Calculations!F43),Calculations!F43,"")</f>
        <v/>
      </c>
      <c r="E27" s="10" t="str">
        <f t="shared" ca="1" si="2"/>
        <v>0503 3486339.37262347EUSft 1532414.66918339NUSft</v>
      </c>
      <c r="F27" s="35">
        <f t="shared" si="3"/>
        <v>94</v>
      </c>
      <c r="G27" s="10" t="str">
        <f t="shared" si="1"/>
        <v>Yellow</v>
      </c>
      <c r="H27" s="10" t="str">
        <f>IF(ISNUMBER(A27),Calculations!$A$1,"")</f>
        <v>CSS5</v>
      </c>
    </row>
    <row r="28" spans="1:8" x14ac:dyDescent="0.25">
      <c r="A28" s="10">
        <f>IF(ISNUMBER(Calculations!A44),Calculations!A44,"")</f>
        <v>24</v>
      </c>
      <c r="B28" s="34">
        <f ca="1">IF(ISNUMBER(A28),CONVERT(Calculations!T44,Units_In,Units_Out),"")</f>
        <v>3486565.8430166752</v>
      </c>
      <c r="C28" s="34">
        <f ca="1">IF(ISNUMBER(A28),CONVERT(Calculations!U44,Units_In,Units_Out),"")</f>
        <v>1532624.916968941</v>
      </c>
      <c r="D28" s="34" t="str">
        <f>IF(ISTEXT(Calculations!F44),Calculations!F44,"")</f>
        <v>DAM LOW</v>
      </c>
      <c r="E28" s="10" t="str">
        <f t="shared" ca="1" si="2"/>
        <v>0503 3486565.84301668EUSft 1532624.91696894NUSft</v>
      </c>
      <c r="F28" s="35">
        <f t="shared" si="3"/>
        <v>94</v>
      </c>
      <c r="G28" s="10" t="str">
        <f t="shared" si="1"/>
        <v>Yellow</v>
      </c>
      <c r="H28" s="10" t="str">
        <f>IF(ISNUMBER(A28),Calculations!$A$1,"")</f>
        <v>CSS5</v>
      </c>
    </row>
    <row r="29" spans="1:8" x14ac:dyDescent="0.25">
      <c r="A29" s="10">
        <f>IF(ISNUMBER(Calculations!A45),Calculations!A45,"")</f>
        <v>25</v>
      </c>
      <c r="B29" s="34">
        <f ca="1">IF(ISNUMBER(A29),CONVERT(Calculations!T45,Units_In,Units_Out),"")</f>
        <v>3486587.5980352573</v>
      </c>
      <c r="C29" s="34">
        <f ca="1">IF(ISNUMBER(A29),CONVERT(Calculations!U45,Units_In,Units_Out),"")</f>
        <v>1532705.0814047586</v>
      </c>
      <c r="D29" s="34" t="str">
        <f>IF(ISTEXT(Calculations!F45),Calculations!F45,"")</f>
        <v>DAM HIGH</v>
      </c>
      <c r="E29" s="10" t="str">
        <f t="shared" ca="1" si="2"/>
        <v>0503 3486587.59803526EUSft 1532705.08140476NUSft</v>
      </c>
      <c r="F29" s="35">
        <f t="shared" si="3"/>
        <v>94</v>
      </c>
      <c r="G29" s="10" t="str">
        <f t="shared" si="1"/>
        <v>Yellow</v>
      </c>
      <c r="H29" s="10" t="str">
        <f>IF(ISNUMBER(A29),Calculations!$A$1,"")</f>
        <v>CSS5</v>
      </c>
    </row>
    <row r="30" spans="1:8" x14ac:dyDescent="0.25">
      <c r="A30" s="10">
        <f>IF(ISNUMBER(Calculations!A46),Calculations!A46,"")</f>
        <v>26</v>
      </c>
      <c r="B30" s="34">
        <f ca="1">IF(ISNUMBER(A30),CONVERT(Calculations!T46,Units_In,Units_Out),"")</f>
        <v>3486680.2674681614</v>
      </c>
      <c r="C30" s="34">
        <f ca="1">IF(ISNUMBER(A30),CONVERT(Calculations!U46,Units_In,Units_Out),"")</f>
        <v>1532772.0349680581</v>
      </c>
      <c r="D30" s="34" t="str">
        <f>IF(ISTEXT(Calculations!F46),Calculations!F46,"")</f>
        <v>START DS</v>
      </c>
      <c r="E30" s="10" t="str">
        <f t="shared" ca="1" si="2"/>
        <v>0503 3486680.26746816EUSft 1532772.03496806NUSft</v>
      </c>
      <c r="F30" s="35">
        <f t="shared" si="3"/>
        <v>94</v>
      </c>
      <c r="G30" s="10" t="str">
        <f t="shared" si="1"/>
        <v>Yellow</v>
      </c>
      <c r="H30" s="10" t="str">
        <f>IF(ISNUMBER(A30),Calculations!$A$1,"")</f>
        <v>CSS5</v>
      </c>
    </row>
    <row r="31" spans="1:8" x14ac:dyDescent="0.25">
      <c r="A31" s="10">
        <f>IF(ISNUMBER(Calculations!A47),Calculations!A47,"")</f>
        <v>27</v>
      </c>
      <c r="B31" s="34">
        <f ca="1">IF(ISNUMBER(A31),CONVERT(Calculations!T47,Units_In,Units_Out),"")</f>
        <v>3486679.1612793431</v>
      </c>
      <c r="C31" s="34">
        <f ca="1">IF(ISNUMBER(A31),CONVERT(Calculations!U47,Units_In,Units_Out),"")</f>
        <v>1532761.410673335</v>
      </c>
      <c r="D31" s="34" t="str">
        <f>IF(ISTEXT(Calculations!F47),Calculations!F47,"")</f>
        <v/>
      </c>
      <c r="E31" s="10" t="str">
        <f t="shared" ca="1" si="2"/>
        <v>0503 3486679.16127934EUSft 1532761.41067333NUSft</v>
      </c>
      <c r="F31" s="35">
        <f t="shared" si="3"/>
        <v>94</v>
      </c>
      <c r="G31" s="10" t="str">
        <f t="shared" si="1"/>
        <v>Yellow</v>
      </c>
      <c r="H31" s="10" t="str">
        <f>IF(ISNUMBER(A31),Calculations!$A$1,"")</f>
        <v>CSS5</v>
      </c>
    </row>
    <row r="32" spans="1:8" x14ac:dyDescent="0.25">
      <c r="A32" s="10">
        <f>IF(ISNUMBER(Calculations!A48),Calculations!A48,"")</f>
        <v>28</v>
      </c>
      <c r="B32" s="34">
        <f ca="1">IF(ISNUMBER(A32),CONVERT(Calculations!T48,Units_In,Units_Out),"")</f>
        <v>3486675.8782800753</v>
      </c>
      <c r="C32" s="34">
        <f ca="1">IF(ISNUMBER(A32),CONVERT(Calculations!U48,Units_In,Units_Out),"")</f>
        <v>1532739.711419733</v>
      </c>
      <c r="D32" s="34" t="str">
        <f>IF(ISTEXT(Calculations!F48),Calculations!F48,"")</f>
        <v/>
      </c>
      <c r="E32" s="10" t="str">
        <f t="shared" ca="1" si="2"/>
        <v>0503 3486675.87828008EUSft 1532739.71141973NUSft</v>
      </c>
      <c r="F32" s="35">
        <f t="shared" si="3"/>
        <v>94</v>
      </c>
      <c r="G32" s="10" t="str">
        <f t="shared" si="1"/>
        <v>Yellow</v>
      </c>
      <c r="H32" s="10" t="str">
        <f>IF(ISNUMBER(A32),Calculations!$A$1,"")</f>
        <v>CSS5</v>
      </c>
    </row>
    <row r="33" spans="1:8" x14ac:dyDescent="0.25">
      <c r="A33" s="10">
        <f>IF(ISNUMBER(Calculations!A49),Calculations!A49,"")</f>
        <v>29</v>
      </c>
      <c r="B33" s="34">
        <f ca="1">IF(ISNUMBER(A33),CONVERT(Calculations!T49,Units_In,Units_Out),"")</f>
        <v>3486672.5232120217</v>
      </c>
      <c r="C33" s="34">
        <f ca="1">IF(ISNUMBER(A33),CONVERT(Calculations!U49,Units_In,Units_Out),"")</f>
        <v>1532723.8429402593</v>
      </c>
      <c r="D33" s="34" t="str">
        <f>IF(ISTEXT(Calculations!F49),Calculations!F49,"")</f>
        <v/>
      </c>
      <c r="E33" s="10" t="str">
        <f t="shared" ca="1" si="2"/>
        <v>0503 3486672.52321202EUSft 1532723.84294026NUSft</v>
      </c>
      <c r="F33" s="35">
        <f t="shared" si="3"/>
        <v>94</v>
      </c>
      <c r="G33" s="10" t="str">
        <f t="shared" si="1"/>
        <v>Yellow</v>
      </c>
      <c r="H33" s="10" t="str">
        <f>IF(ISNUMBER(A33),Calculations!$A$1,"")</f>
        <v>CSS5</v>
      </c>
    </row>
    <row r="34" spans="1:8" x14ac:dyDescent="0.25">
      <c r="A34" s="10">
        <f>IF(ISNUMBER(Calculations!A50),Calculations!A50,"")</f>
        <v>30</v>
      </c>
      <c r="B34" s="34">
        <f ca="1">IF(ISNUMBER(A34),CONVERT(Calculations!T50,Units_In,Units_Out),"")</f>
        <v>3486664.2199578052</v>
      </c>
      <c r="C34" s="34">
        <f ca="1">IF(ISNUMBER(A34),CONVERT(Calculations!U50,Units_In,Units_Out),"")</f>
        <v>1532688.0892970141</v>
      </c>
      <c r="D34" s="34" t="str">
        <f>IF(ISTEXT(Calculations!F50),Calculations!F50,"")</f>
        <v/>
      </c>
      <c r="E34" s="10" t="str">
        <f t="shared" ca="1" si="2"/>
        <v>0503 3486664.21995781EUSft 1532688.08929701NUSft</v>
      </c>
      <c r="F34" s="35">
        <f t="shared" si="3"/>
        <v>94</v>
      </c>
      <c r="G34" s="10" t="str">
        <f t="shared" si="1"/>
        <v>Yellow</v>
      </c>
      <c r="H34" s="10" t="str">
        <f>IF(ISNUMBER(A34),Calculations!$A$1,"")</f>
        <v>CSS5</v>
      </c>
    </row>
    <row r="35" spans="1:8" x14ac:dyDescent="0.25">
      <c r="A35" s="10">
        <f>IF(ISNUMBER(Calculations!A51),Calculations!A51,"")</f>
        <v>31</v>
      </c>
      <c r="B35" s="34">
        <f ca="1">IF(ISNUMBER(A35),CONVERT(Calculations!T51,Units_In,Units_Out),"")</f>
        <v>3486661.44563754</v>
      </c>
      <c r="C35" s="34">
        <f ca="1">IF(ISNUMBER(A35),CONVERT(Calculations!U51,Units_In,Units_Out),"")</f>
        <v>1532678.3459458989</v>
      </c>
      <c r="D35" s="34" t="str">
        <f>IF(ISTEXT(Calculations!F51),Calculations!F51,"")</f>
        <v>WS?</v>
      </c>
      <c r="E35" s="10" t="str">
        <f t="shared" ca="1" si="2"/>
        <v>0503 3486661.44563754EUSft 1532678.3459459NUSft</v>
      </c>
      <c r="F35" s="35">
        <f t="shared" si="3"/>
        <v>94</v>
      </c>
      <c r="G35" s="10" t="str">
        <f t="shared" si="1"/>
        <v>Yellow</v>
      </c>
      <c r="H35" s="10" t="str">
        <f>IF(ISNUMBER(A35),Calculations!$A$1,"")</f>
        <v>CSS5</v>
      </c>
    </row>
    <row r="36" spans="1:8" x14ac:dyDescent="0.25">
      <c r="A36" s="10">
        <f>IF(ISNUMBER(Calculations!A52),Calculations!A52,"")</f>
        <v>32</v>
      </c>
      <c r="B36" s="34">
        <f ca="1">IF(ISNUMBER(A36),CONVERT(Calculations!U52,Units_In,Units_Out),"")</f>
        <v>1532628.1492517071</v>
      </c>
      <c r="C36" s="34">
        <f>IF(ISNUMBER(A36),CONVERT(Calculations!V52,Units_In,Units_Out),"")</f>
        <v>4119.5000837929338</v>
      </c>
      <c r="D36" s="34" t="str">
        <f>IF(ISTEXT(Calculations!F52),Calculations!F52,"")</f>
        <v/>
      </c>
      <c r="E36" s="10" t="str">
        <f t="shared" ca="1" si="2"/>
        <v>0503 1532628.14925171EUSft 4119.50008379293NUSft</v>
      </c>
      <c r="F36" s="35">
        <f t="shared" si="3"/>
        <v>94</v>
      </c>
      <c r="G36" s="10" t="str">
        <f t="shared" si="1"/>
        <v>Yellow</v>
      </c>
      <c r="H36" s="10" t="str">
        <f>IF(ISNUMBER(A36),Calculations!$A$1,"")</f>
        <v>CSS5</v>
      </c>
    </row>
    <row r="37" spans="1:8" x14ac:dyDescent="0.25">
      <c r="A37" s="10">
        <f>IF(ISNUMBER(Calculations!A53),Calculations!A53,"")</f>
        <v>33</v>
      </c>
      <c r="B37" s="34">
        <f ca="1">IF(ISNUMBER(A37),CONVERT(Calculations!U53,Units_In,Units_Out),"")</f>
        <v>1532575.8340219068</v>
      </c>
      <c r="C37" s="34">
        <f>IF(ISNUMBER(A37),CONVERT(Calculations!V53,Units_In,Units_Out),"")</f>
        <v>4121.8544576161539</v>
      </c>
      <c r="D37" s="34" t="str">
        <f>IF(ISTEXT(Calculations!F53),Calculations!F53,"")</f>
        <v>WS</v>
      </c>
      <c r="E37" s="10" t="str">
        <f t="shared" ca="1" si="2"/>
        <v>0503 1532575.83402191EUSft 4121.85445761615NUSft</v>
      </c>
      <c r="F37" s="35">
        <f t="shared" si="3"/>
        <v>94</v>
      </c>
      <c r="G37" s="10" t="str">
        <f t="shared" si="1"/>
        <v>Yellow</v>
      </c>
      <c r="H37" s="10" t="str">
        <f>IF(ISNUMBER(A37),Calculations!$A$1,"")</f>
        <v>CSS5</v>
      </c>
    </row>
    <row r="38" spans="1:8" x14ac:dyDescent="0.25">
      <c r="A38" s="10" t="str">
        <f>IF(ISNUMBER(Calculations!#REF!),Calculations!#REF!,"")</f>
        <v/>
      </c>
      <c r="B38" s="34" t="str">
        <f>IF(ISNUMBER(A38),CONVERT(Calculations!#REF!,Units_In,Units_Out),"")</f>
        <v/>
      </c>
      <c r="C38" s="34" t="str">
        <f>IF(ISNUMBER(A38),CONVERT(Calculations!#REF!,Units_In,Units_Out),"")</f>
        <v/>
      </c>
      <c r="D38" s="34" t="str">
        <f>IF(ISTEXT(Calculations!#REF!),Calculations!#REF!,"")</f>
        <v/>
      </c>
      <c r="E38" s="10" t="str">
        <f t="shared" si="2"/>
        <v/>
      </c>
      <c r="F38" s="35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4" t="str">
        <f>IF(ISNUMBER(A39),CONVERT(Calculations!#REF!,Units_In,Units_Out),"")</f>
        <v/>
      </c>
      <c r="C39" s="34" t="str">
        <f>IF(ISNUMBER(A39),CONVERT(Calculations!#REF!,Units_In,Units_Out),"")</f>
        <v/>
      </c>
      <c r="D39" s="34" t="str">
        <f>IF(ISTEXT(Calculations!#REF!),Calculations!#REF!,"")</f>
        <v/>
      </c>
      <c r="E39" s="10" t="str">
        <f t="shared" si="2"/>
        <v/>
      </c>
      <c r="F39" s="35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4" t="str">
        <f>IF(ISNUMBER(A40),CONVERT(Calculations!#REF!,Units_In,Units_Out),"")</f>
        <v/>
      </c>
      <c r="C40" s="34" t="str">
        <f>IF(ISNUMBER(A40),CONVERT(Calculations!#REF!,Units_In,Units_Out),"")</f>
        <v/>
      </c>
      <c r="D40" s="34" t="str">
        <f>IF(ISTEXT(Calculations!#REF!),Calculations!#REF!,"")</f>
        <v/>
      </c>
      <c r="E40" s="10" t="str">
        <f t="shared" si="2"/>
        <v/>
      </c>
      <c r="F40" s="35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4" t="str">
        <f>IF(ISNUMBER(A41),CONVERT(Calculations!#REF!,Units_In,Units_Out),"")</f>
        <v/>
      </c>
      <c r="C41" s="34" t="str">
        <f>IF(ISNUMBER(A41),CONVERT(Calculations!#REF!,Units_In,Units_Out),"")</f>
        <v/>
      </c>
      <c r="D41" s="34" t="str">
        <f>IF(ISTEXT(Calculations!#REF!),Calculations!#REF!,"")</f>
        <v/>
      </c>
      <c r="E41" s="10" t="str">
        <f t="shared" si="2"/>
        <v/>
      </c>
      <c r="F41" s="35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4" t="str">
        <f>IF(ISNUMBER(A42),CONVERT(Calculations!#REF!,Units_In,Units_Out),"")</f>
        <v/>
      </c>
      <c r="C42" s="34" t="str">
        <f>IF(ISNUMBER(A42),CONVERT(Calculations!#REF!,Units_In,Units_Out),"")</f>
        <v/>
      </c>
      <c r="D42" s="34" t="str">
        <f>IF(ISTEXT(Calculations!#REF!),Calculations!#REF!,"")</f>
        <v/>
      </c>
      <c r="E42" s="10" t="str">
        <f t="shared" si="2"/>
        <v/>
      </c>
      <c r="F42" s="35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4" t="str">
        <f>IF(ISNUMBER(A43),CONVERT(Calculations!#REF!,Units_In,Units_Out),"")</f>
        <v/>
      </c>
      <c r="C43" s="34" t="str">
        <f>IF(ISNUMBER(A43),CONVERT(Calculations!#REF!,Units_In,Units_Out),"")</f>
        <v/>
      </c>
      <c r="D43" s="34" t="str">
        <f>IF(ISTEXT(Calculations!#REF!),Calculations!#REF!,"")</f>
        <v/>
      </c>
      <c r="E43" s="10" t="str">
        <f t="shared" si="2"/>
        <v/>
      </c>
      <c r="F43" s="35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4" t="str">
        <f>IF(ISNUMBER(A44),CONVERT(Calculations!#REF!,Units_In,Units_Out),"")</f>
        <v/>
      </c>
      <c r="C44" s="34" t="str">
        <f>IF(ISNUMBER(A44),CONVERT(Calculations!#REF!,Units_In,Units_Out),"")</f>
        <v/>
      </c>
      <c r="D44" s="34" t="str">
        <f>IF(ISTEXT(Calculations!#REF!),Calculations!#REF!,"")</f>
        <v/>
      </c>
      <c r="E44" s="10" t="str">
        <f t="shared" si="2"/>
        <v/>
      </c>
      <c r="F44" s="35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4" t="str">
        <f>IF(ISNUMBER(A45),CONVERT(Calculations!#REF!,Units_In,Units_Out),"")</f>
        <v/>
      </c>
      <c r="C45" s="34" t="str">
        <f>IF(ISNUMBER(A45),CONVERT(Calculations!#REF!,Units_In,Units_Out),"")</f>
        <v/>
      </c>
      <c r="D45" s="34" t="str">
        <f>IF(ISTEXT(Calculations!#REF!),Calculations!#REF!,"")</f>
        <v/>
      </c>
      <c r="E45" s="10" t="str">
        <f t="shared" si="2"/>
        <v/>
      </c>
      <c r="F45" s="35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4" t="str">
        <f>IF(ISNUMBER(A46),CONVERT(Calculations!#REF!,Units_In,Units_Out),"")</f>
        <v/>
      </c>
      <c r="C46" s="34" t="str">
        <f>IF(ISNUMBER(A46),CONVERT(Calculations!#REF!,Units_In,Units_Out),"")</f>
        <v/>
      </c>
      <c r="D46" s="34" t="str">
        <f>IF(ISTEXT(Calculations!#REF!),Calculations!#REF!,"")</f>
        <v/>
      </c>
      <c r="E46" s="10" t="str">
        <f t="shared" si="2"/>
        <v/>
      </c>
      <c r="F46" s="35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4" t="str">
        <f>IF(ISNUMBER(A47),CONVERT(Calculations!#REF!,Units_In,Units_Out),"")</f>
        <v/>
      </c>
      <c r="C47" s="34" t="str">
        <f>IF(ISNUMBER(A47),CONVERT(Calculations!#REF!,Units_In,Units_Out),"")</f>
        <v/>
      </c>
      <c r="D47" s="34" t="str">
        <f>IF(ISTEXT(Calculations!#REF!),Calculations!#REF!,"")</f>
        <v/>
      </c>
      <c r="E47" s="10" t="str">
        <f t="shared" si="2"/>
        <v/>
      </c>
      <c r="F47" s="35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4" t="str">
        <f>IF(ISNUMBER(A48),CONVERT(Calculations!#REF!,Units_In,Units_Out),"")</f>
        <v/>
      </c>
      <c r="C48" s="34" t="str">
        <f>IF(ISNUMBER(A48),CONVERT(Calculations!#REF!,Units_In,Units_Out),"")</f>
        <v/>
      </c>
      <c r="D48" s="34" t="str">
        <f>IF(ISTEXT(Calculations!#REF!),Calculations!#REF!,"")</f>
        <v/>
      </c>
      <c r="E48" s="10" t="str">
        <f t="shared" si="2"/>
        <v/>
      </c>
      <c r="F48" s="35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4" t="str">
        <f>IF(ISNUMBER(A49),CONVERT(Calculations!#REF!,Units_In,Units_Out),"")</f>
        <v/>
      </c>
      <c r="C49" s="34" t="str">
        <f>IF(ISNUMBER(A49),CONVERT(Calculations!#REF!,Units_In,Units_Out),"")</f>
        <v/>
      </c>
      <c r="D49" s="34" t="str">
        <f>IF(ISTEXT(Calculations!#REF!),Calculations!#REF!,"")</f>
        <v/>
      </c>
      <c r="E49" s="10" t="str">
        <f t="shared" si="2"/>
        <v/>
      </c>
      <c r="F49" s="35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4" t="str">
        <f>IF(ISNUMBER(A50),CONVERT(Calculations!#REF!,Units_In,Units_Out),"")</f>
        <v/>
      </c>
      <c r="C50" s="34" t="str">
        <f>IF(ISNUMBER(A50),CONVERT(Calculations!#REF!,Units_In,Units_Out),"")</f>
        <v/>
      </c>
      <c r="D50" s="34" t="str">
        <f>IF(ISTEXT(Calculations!#REF!),Calculations!#REF!,"")</f>
        <v/>
      </c>
      <c r="E50" s="10" t="str">
        <f t="shared" si="2"/>
        <v/>
      </c>
      <c r="F50" s="35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4" t="str">
        <f>IF(ISNUMBER(A51),CONVERT(Calculations!#REF!,Units_In,Units_Out),"")</f>
        <v/>
      </c>
      <c r="C51" s="34" t="str">
        <f>IF(ISNUMBER(A51),CONVERT(Calculations!#REF!,Units_In,Units_Out),"")</f>
        <v/>
      </c>
      <c r="D51" s="34" t="str">
        <f>IF(ISTEXT(Calculations!#REF!),Calculations!#REF!,"")</f>
        <v/>
      </c>
      <c r="E51" s="10" t="str">
        <f t="shared" si="2"/>
        <v/>
      </c>
      <c r="F51" s="35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4" t="str">
        <f>IF(ISNUMBER(A52),CONVERT(Calculations!#REF!,Units_In,Units_Out),"")</f>
        <v/>
      </c>
      <c r="C52" s="34" t="str">
        <f>IF(ISNUMBER(A52),CONVERT(Calculations!#REF!,Units_In,Units_Out),"")</f>
        <v/>
      </c>
      <c r="D52" s="34" t="str">
        <f>IF(ISTEXT(Calculations!#REF!),Calculations!#REF!,"")</f>
        <v/>
      </c>
      <c r="E52" s="10" t="str">
        <f t="shared" si="2"/>
        <v/>
      </c>
      <c r="F52" s="35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4" t="str">
        <f>IF(ISNUMBER(A53),CONVERT(Calculations!#REF!,Units_In,Units_Out),"")</f>
        <v/>
      </c>
      <c r="C53" s="34" t="str">
        <f>IF(ISNUMBER(A53),CONVERT(Calculations!#REF!,Units_In,Units_Out),"")</f>
        <v/>
      </c>
      <c r="D53" s="34" t="str">
        <f>IF(ISTEXT(Calculations!#REF!),Calculations!#REF!,"")</f>
        <v/>
      </c>
      <c r="E53" s="10" t="str">
        <f t="shared" si="2"/>
        <v/>
      </c>
      <c r="F53" s="35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4" t="str">
        <f>IF(ISNUMBER(A54),CONVERT(Calculations!#REF!,Units_In,Units_Out),"")</f>
        <v/>
      </c>
      <c r="C54" s="34" t="str">
        <f>IF(ISNUMBER(A54),CONVERT(Calculations!#REF!,Units_In,Units_Out),"")</f>
        <v/>
      </c>
      <c r="D54" s="34" t="str">
        <f>IF(ISTEXT(Calculations!#REF!),Calculations!#REF!,"")</f>
        <v/>
      </c>
      <c r="E54" s="10" t="str">
        <f t="shared" si="2"/>
        <v/>
      </c>
      <c r="F54" s="35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4" t="str">
        <f>IF(ISNUMBER(A55),CONVERT(Calculations!#REF!,Units_In,Units_Out),"")</f>
        <v/>
      </c>
      <c r="C55" s="34" t="str">
        <f>IF(ISNUMBER(A55),CONVERT(Calculations!#REF!,Units_In,Units_Out),"")</f>
        <v/>
      </c>
      <c r="D55" s="34" t="str">
        <f>IF(ISTEXT(Calculations!#REF!),Calculations!#REF!,"")</f>
        <v/>
      </c>
      <c r="E55" s="10" t="str">
        <f t="shared" si="2"/>
        <v/>
      </c>
      <c r="F55" s="35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4" t="str">
        <f>IF(ISNUMBER(A56),CONVERT(Calculations!#REF!,Units_In,Units_Out),"")</f>
        <v/>
      </c>
      <c r="C56" s="34" t="str">
        <f>IF(ISNUMBER(A56),CONVERT(Calculations!#REF!,Units_In,Units_Out),"")</f>
        <v/>
      </c>
      <c r="D56" s="34" t="str">
        <f>IF(ISTEXT(Calculations!#REF!),Calculations!#REF!,"")</f>
        <v/>
      </c>
      <c r="E56" s="10" t="str">
        <f t="shared" si="2"/>
        <v/>
      </c>
      <c r="F56" s="35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4" t="str">
        <f>IF(ISNUMBER(A57),CONVERT(Calculations!#REF!,Units_In,Units_Out),"")</f>
        <v/>
      </c>
      <c r="C57" s="34" t="str">
        <f>IF(ISNUMBER(A57),CONVERT(Calculations!#REF!,Units_In,Units_Out),"")</f>
        <v/>
      </c>
      <c r="D57" s="34" t="str">
        <f>IF(ISTEXT(Calculations!#REF!),Calculations!#REF!,"")</f>
        <v/>
      </c>
      <c r="E57" s="10" t="str">
        <f t="shared" si="2"/>
        <v/>
      </c>
      <c r="F57" s="35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4" t="str">
        <f>IF(ISNUMBER(A58),CONVERT(Calculations!#REF!,Units_In,Units_Out),"")</f>
        <v/>
      </c>
      <c r="C58" s="34" t="str">
        <f>IF(ISNUMBER(A58),CONVERT(Calculations!#REF!,Units_In,Units_Out),"")</f>
        <v/>
      </c>
      <c r="D58" s="34" t="str">
        <f>IF(ISTEXT(Calculations!#REF!),Calculations!#REF!,"")</f>
        <v/>
      </c>
      <c r="E58" s="10" t="str">
        <f t="shared" si="2"/>
        <v/>
      </c>
      <c r="F58" s="35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4" t="str">
        <f>IF(ISNUMBER(A59),CONVERT(Calculations!#REF!,Units_In,Units_Out),"")</f>
        <v/>
      </c>
      <c r="C59" s="34" t="str">
        <f>IF(ISNUMBER(A59),CONVERT(Calculations!#REF!,Units_In,Units_Out),"")</f>
        <v/>
      </c>
      <c r="D59" s="34" t="str">
        <f>IF(ISTEXT(Calculations!#REF!),Calculations!#REF!,"")</f>
        <v/>
      </c>
      <c r="E59" s="10" t="str">
        <f t="shared" si="2"/>
        <v/>
      </c>
      <c r="F59" s="35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4" t="str">
        <f>IF(ISNUMBER(A60),CONVERT(Calculations!#REF!,Units_In,Units_Out),"")</f>
        <v/>
      </c>
      <c r="C60" s="34" t="str">
        <f>IF(ISNUMBER(A60),CONVERT(Calculations!#REF!,Units_In,Units_Out),"")</f>
        <v/>
      </c>
      <c r="D60" s="34" t="str">
        <f>IF(ISTEXT(Calculations!#REF!),Calculations!#REF!,"")</f>
        <v/>
      </c>
      <c r="E60" s="10" t="str">
        <f t="shared" si="2"/>
        <v/>
      </c>
      <c r="F60" s="35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4" t="str">
        <f>IF(ISNUMBER(A61),CONVERT(Calculations!#REF!,Units_In,Units_Out),"")</f>
        <v/>
      </c>
      <c r="C61" s="34" t="str">
        <f>IF(ISNUMBER(A61),CONVERT(Calculations!#REF!,Units_In,Units_Out),"")</f>
        <v/>
      </c>
      <c r="D61" s="34" t="str">
        <f>IF(ISTEXT(Calculations!#REF!),Calculations!#REF!,"")</f>
        <v/>
      </c>
      <c r="E61" s="10" t="str">
        <f t="shared" si="2"/>
        <v/>
      </c>
      <c r="F61" s="35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4" t="str">
        <f>IF(ISNUMBER(A62),CONVERT(Calculations!#REF!,Units_In,Units_Out),"")</f>
        <v/>
      </c>
      <c r="C62" s="34" t="str">
        <f>IF(ISNUMBER(A62),CONVERT(Calculations!#REF!,Units_In,Units_Out),"")</f>
        <v/>
      </c>
      <c r="D62" s="34" t="str">
        <f>IF(ISTEXT(Calculations!#REF!),Calculations!#REF!,"")</f>
        <v/>
      </c>
      <c r="E62" s="10" t="str">
        <f t="shared" si="2"/>
        <v/>
      </c>
      <c r="F62" s="35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4" t="str">
        <f>IF(ISNUMBER(A63),CONVERT(Calculations!#REF!,Units_In,Units_Out),"")</f>
        <v/>
      </c>
      <c r="C63" s="34" t="str">
        <f>IF(ISNUMBER(A63),CONVERT(Calculations!#REF!,Units_In,Units_Out),"")</f>
        <v/>
      </c>
      <c r="D63" s="34" t="str">
        <f>IF(ISTEXT(Calculations!#REF!),Calculations!#REF!,"")</f>
        <v/>
      </c>
      <c r="E63" s="10" t="str">
        <f t="shared" si="2"/>
        <v/>
      </c>
      <c r="F63" s="35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4" t="str">
        <f>IF(ISNUMBER(A64),CONVERT(Calculations!#REF!,Units_In,Units_Out),"")</f>
        <v/>
      </c>
      <c r="C64" s="34" t="str">
        <f>IF(ISNUMBER(A64),CONVERT(Calculations!#REF!,Units_In,Units_Out),"")</f>
        <v/>
      </c>
      <c r="D64" s="34" t="str">
        <f>IF(ISTEXT(Calculations!#REF!),Calculations!#REF!,"")</f>
        <v/>
      </c>
      <c r="E64" s="10" t="str">
        <f t="shared" si="2"/>
        <v/>
      </c>
      <c r="F64" s="35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4" t="str">
        <f>IF(ISNUMBER(A65),CONVERT(Calculations!#REF!,Units_In,Units_Out),"")</f>
        <v/>
      </c>
      <c r="C65" s="34" t="str">
        <f>IF(ISNUMBER(A65),CONVERT(Calculations!#REF!,Units_In,Units_Out),"")</f>
        <v/>
      </c>
      <c r="D65" s="34" t="str">
        <f>IF(ISTEXT(Calculations!#REF!),Calculations!#REF!,"")</f>
        <v/>
      </c>
      <c r="E65" s="10" t="str">
        <f t="shared" si="2"/>
        <v/>
      </c>
      <c r="F65" s="35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Keith Morse</cp:lastModifiedBy>
  <dcterms:created xsi:type="dcterms:W3CDTF">2011-11-09T05:33:48Z</dcterms:created>
  <dcterms:modified xsi:type="dcterms:W3CDTF">2014-05-15T15:28:12Z</dcterms:modified>
</cp:coreProperties>
</file>