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R12" i="1" l="1"/>
  <c r="R11" i="1"/>
  <c r="X22" i="1" l="1"/>
  <c r="Y22" i="1" s="1"/>
  <c r="X21" i="1"/>
  <c r="P12" i="1"/>
  <c r="P5" i="1" l="1"/>
  <c r="P6" i="1"/>
  <c r="P4" i="1"/>
  <c r="O5" i="1"/>
  <c r="O6" i="1"/>
  <c r="O4" i="1"/>
  <c r="N5" i="1"/>
  <c r="N6" i="1"/>
  <c r="N4" i="1"/>
  <c r="Q5" i="1" l="1"/>
  <c r="Q6" i="1"/>
  <c r="P10" i="1" l="1"/>
  <c r="R10" i="1"/>
  <c r="G22" i="1"/>
  <c r="H22" i="1" s="1"/>
  <c r="G23" i="1"/>
  <c r="G24" i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34" i="1"/>
  <c r="H34" i="1" s="1"/>
  <c r="K34" i="1" s="1"/>
  <c r="G21" i="1"/>
  <c r="H21" i="1" s="1"/>
  <c r="H23" i="1"/>
  <c r="K23" i="1" s="1"/>
  <c r="H24" i="1"/>
  <c r="L24" i="1" s="1"/>
  <c r="V24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34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4" i="1"/>
  <c r="V34" i="1" s="1"/>
  <c r="L30" i="1"/>
  <c r="V30" i="1" s="1"/>
  <c r="K26" i="1"/>
  <c r="J33" i="1"/>
  <c r="N34" i="1"/>
  <c r="N33" i="1"/>
  <c r="N25" i="1"/>
  <c r="N21" i="1"/>
  <c r="N28" i="1"/>
  <c r="N27" i="1"/>
  <c r="N26" i="1"/>
  <c r="J24" i="1"/>
  <c r="N29" i="1"/>
  <c r="J32" i="1"/>
  <c r="J28" i="1"/>
  <c r="N32" i="1"/>
  <c r="N24" i="1"/>
  <c r="J27" i="1"/>
  <c r="N31" i="1"/>
  <c r="N23" i="1"/>
  <c r="J25" i="1"/>
  <c r="N30" i="1"/>
  <c r="N22" i="1"/>
  <c r="J34" i="1"/>
  <c r="J26" i="1"/>
  <c r="J31" i="1"/>
  <c r="J23" i="1"/>
  <c r="J30" i="1"/>
  <c r="J22" i="1"/>
  <c r="J21" i="1"/>
  <c r="Y6" i="1" l="1"/>
  <c r="X6" i="1"/>
  <c r="R14" i="1"/>
  <c r="P11" i="1"/>
  <c r="P14" i="1" s="1"/>
  <c r="R15" i="1"/>
  <c r="P15" i="1"/>
  <c r="O17" i="1" l="1"/>
  <c r="H3" i="2"/>
  <c r="H4" i="2"/>
  <c r="H2" i="2"/>
  <c r="G3" i="2" l="1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E4" i="2" l="1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E36" i="2" l="1"/>
  <c r="E37" i="2"/>
  <c r="X4" i="1"/>
  <c r="Y4" i="1"/>
  <c r="Y5" i="1" l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34" i="1"/>
  <c r="O23" i="1"/>
  <c r="O25" i="1"/>
  <c r="O27" i="1"/>
  <c r="O29" i="1"/>
  <c r="O31" i="1"/>
  <c r="O33" i="1"/>
  <c r="P23" i="1" l="1"/>
  <c r="P34" i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Q27" i="1" l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Q34" i="1"/>
  <c r="R34" i="1" s="1"/>
  <c r="T34" i="1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Q28" i="1"/>
  <c r="R28" i="1" s="1"/>
  <c r="T28" i="1" s="1"/>
  <c r="Q32" i="1"/>
  <c r="R32" i="1" s="1"/>
  <c r="T32" i="1" s="1"/>
  <c r="Q23" i="1"/>
  <c r="R23" i="1" s="1"/>
  <c r="T23" i="1" s="1"/>
  <c r="B24" i="2"/>
  <c r="B28" i="2"/>
  <c r="B32" i="2"/>
  <c r="C5" i="2"/>
  <c r="B5" i="2"/>
  <c r="W21" i="1"/>
  <c r="B7" i="2" l="1"/>
  <c r="X23" i="1"/>
  <c r="B16" i="2"/>
  <c r="X32" i="1"/>
  <c r="B8" i="2"/>
  <c r="X24" i="1"/>
  <c r="W34" i="1"/>
  <c r="X34" i="1"/>
  <c r="B12" i="2"/>
  <c r="X28" i="1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E12" i="2" s="1"/>
  <c r="C35" i="2"/>
  <c r="E35" i="2" s="1"/>
  <c r="R31" i="1"/>
  <c r="T31" i="1" s="1"/>
  <c r="X31" i="1" s="1"/>
  <c r="C19" i="2"/>
  <c r="E19" i="2" s="1"/>
  <c r="C23" i="2"/>
  <c r="C24" i="2"/>
  <c r="E24" i="2" s="1"/>
  <c r="S34" i="1"/>
  <c r="U34" i="1" s="1"/>
  <c r="C18" i="2" s="1"/>
  <c r="S24" i="1"/>
  <c r="U24" i="1" s="1"/>
  <c r="C8" i="2" s="1"/>
  <c r="E8" i="2" s="1"/>
  <c r="C20" i="2"/>
  <c r="E20" i="2" s="1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Y21" i="1"/>
  <c r="Z21" i="1"/>
  <c r="AB21" i="1"/>
  <c r="AD22" i="1"/>
  <c r="E16" i="2" l="1"/>
  <c r="Y27" i="1"/>
  <c r="Y31" i="1"/>
  <c r="Y29" i="1"/>
  <c r="B17" i="2"/>
  <c r="E17" i="2" s="1"/>
  <c r="X33" i="1"/>
  <c r="Y28" i="1"/>
  <c r="Y34" i="1"/>
  <c r="Y24" i="1"/>
  <c r="Y32" i="1"/>
  <c r="Y23" i="1"/>
  <c r="Y26" i="1"/>
  <c r="Y30" i="1"/>
  <c r="Y25" i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C21" i="1"/>
  <c r="AA21" i="1"/>
  <c r="AB22" i="1"/>
  <c r="Y33" i="1" l="1"/>
  <c r="X13" i="1"/>
  <c r="AD33" i="1" l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4" i="1"/>
  <c r="AF34" i="1" s="1"/>
  <c r="AD30" i="1"/>
  <c r="AF30" i="1" s="1"/>
  <c r="AD29" i="1"/>
  <c r="AF29" i="1" s="1"/>
  <c r="AD31" i="1"/>
  <c r="AF31" i="1" s="1"/>
  <c r="AD23" i="1"/>
  <c r="AF23" i="1" s="1"/>
  <c r="Z22" i="1" l="1"/>
  <c r="AA22" i="1" s="1"/>
  <c r="AC22" i="1" l="1"/>
  <c r="AC4" i="1"/>
  <c r="AC3" i="1"/>
  <c r="AC6" i="1" s="1"/>
  <c r="Z25" i="1" l="1"/>
  <c r="Z27" i="1"/>
  <c r="Z31" i="1"/>
  <c r="Z29" i="1"/>
  <c r="Z26" i="1"/>
  <c r="Z30" i="1"/>
  <c r="Z28" i="1"/>
  <c r="Z34" i="1"/>
  <c r="Z24" i="1"/>
  <c r="Z32" i="1"/>
  <c r="Z33" i="1"/>
  <c r="Z23" i="1"/>
  <c r="AA23" i="1" s="1"/>
  <c r="AA33" i="1" l="1"/>
  <c r="AC33" i="1" s="1"/>
  <c r="AE33" i="1" s="1"/>
  <c r="AB33" i="1"/>
  <c r="AA24" i="1"/>
  <c r="AC24" i="1" s="1"/>
  <c r="AE24" i="1" s="1"/>
  <c r="AA28" i="1"/>
  <c r="AC28" i="1" s="1"/>
  <c r="AE28" i="1" s="1"/>
  <c r="AA30" i="1"/>
  <c r="AC30" i="1" s="1"/>
  <c r="AE30" i="1" s="1"/>
  <c r="AA26" i="1"/>
  <c r="AC26" i="1" s="1"/>
  <c r="AE26" i="1" s="1"/>
  <c r="AA29" i="1"/>
  <c r="AC29" i="1" s="1"/>
  <c r="AE29" i="1" s="1"/>
  <c r="AA25" i="1"/>
  <c r="AC25" i="1" s="1"/>
  <c r="AE25" i="1" s="1"/>
  <c r="AA32" i="1"/>
  <c r="AC32" i="1" s="1"/>
  <c r="AE32" i="1" s="1"/>
  <c r="AB32" i="1"/>
  <c r="AA34" i="1"/>
  <c r="AC34" i="1" s="1"/>
  <c r="AE34" i="1" s="1"/>
  <c r="AA31" i="1"/>
  <c r="AC31" i="1" s="1"/>
  <c r="AE31" i="1" s="1"/>
  <c r="AA27" i="1"/>
  <c r="AC27" i="1" s="1"/>
  <c r="AE27" i="1" s="1"/>
  <c r="AC23" i="1"/>
  <c r="AE23" i="1" s="1"/>
  <c r="AB23" i="1"/>
  <c r="AB28" i="1" l="1"/>
  <c r="AB27" i="1"/>
  <c r="AB29" i="1"/>
  <c r="AB26" i="1"/>
  <c r="AB24" i="1"/>
  <c r="AB31" i="1"/>
  <c r="AB34" i="1"/>
  <c r="AB25" i="1"/>
  <c r="AB30" i="1"/>
  <c r="AI23" i="1"/>
  <c r="AI26" i="1" l="1"/>
  <c r="AJ26" i="1" s="1"/>
  <c r="AI25" i="1"/>
  <c r="AI24" i="1"/>
  <c r="AJ24" i="1" s="1"/>
  <c r="AI28" i="1"/>
  <c r="AI29" i="1"/>
  <c r="AJ29" i="1" s="1"/>
  <c r="AI30" i="1"/>
  <c r="AJ30" i="1" s="1"/>
  <c r="AI31" i="1"/>
  <c r="AJ31" i="1" s="1"/>
  <c r="AI27" i="1"/>
  <c r="AJ27" i="1" s="1"/>
  <c r="AC9" i="1"/>
  <c r="AJ23" i="1"/>
  <c r="AJ25" i="1"/>
  <c r="AC10" i="1"/>
  <c r="AJ28" i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<sst xmlns="http://schemas.openxmlformats.org/spreadsheetml/2006/main" count="103" uniqueCount="92">
  <si>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</si>
  <si>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</si>
  <si>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</si>
  <si>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</si>
  <si>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</si>
  <si>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</si>
  <si>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</si>
  <si>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</si>
  <si>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</si>
  <si>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</si>
  <si>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</si>
  <si>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</si>
  <si>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</si>
  <si>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</si>
  <si>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</si>
  <si>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</si>
  <si>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</si>
  <si>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</si>
  <si>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</si>
  <si>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</si>
  <si>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</si>
  <si>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</si>
  <si>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</si>
  <si>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</si>
  <si>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</si>
  <si>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</si>
  <si>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</si>
  <si>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</si>
  <si>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</si>
  <si>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</si>
  <si>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</si>
  <si>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</si>
  <si>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</si>
  <si>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</si>
  <si>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</si>
  <si>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</si>
  <si>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</si>
  <si>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</si>
  <si>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</si>
  <si>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</si>
  <si>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</si>
  <si>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</si>
  <si>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</si>
  <si>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</si>
  <si>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</si>
  <si>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</si>
  <si>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</si>
  <si>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</si>
  <si>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</si>
  <si>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</si>
  <si>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</si>
  <si>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</si>
  <si>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</si>
  <si>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</si>
  <si>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</si>
  <si>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</si>
  <si>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</si>
  <si>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</si>
  <si>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</si>
  <si>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</si>
  <si>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</si>
  <si>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</si>
  <si>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</si>
  <si>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</si>
  <si>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</si>
  <si>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</si>
  <si>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</si>
  <si>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</si>
  <si>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</si>
  <si>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</si>
  <si>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WS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</si>
  <si>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</si>
  <si>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</si>
  <si>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</si>
  <si>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</si>
  <si>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</si>
  <si>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</si>
  <si>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</si>
  <si>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</si>
  <si>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</si>
  <si>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</si>
  <si>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</si>
  <si>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</si>
  <si>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</si>
  <si>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</si>
  <si>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</si>
  <si>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1,466523.866,1061153.861,1265.319,</t>
  </si>
  <si>
    <t>2,466513.215,1061175.904,1266.108,</t>
  </si>
  <si>
    <t>3,466526.614,1061137.496,1263.599,</t>
  </si>
  <si>
    <t>CSS6</t>
  </si>
  <si>
    <t>ZERO/BS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</si>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</sst>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4.6399999999999997</c:v>
                </c:pt>
                <c:pt idx="2">
                  <c:v>7.77</c:v>
                </c:pt>
                <c:pt idx="3">
                  <c:v>10.6</c:v>
                </c:pt>
                <c:pt idx="4">
                  <c:v>11.97</c:v>
                </c:pt>
                <c:pt idx="5">
                  <c:v>117.72</c:v>
                </c:pt>
                <c:pt idx="6">
                  <c:v>215.47</c:v>
                </c:pt>
                <c:pt idx="7">
                  <c:v>216.34</c:v>
                </c:pt>
                <c:pt idx="8">
                  <c:v>217.22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9.18</c:v>
                </c:pt>
                <c:pt idx="1">
                  <c:v>7.02</c:v>
                </c:pt>
                <c:pt idx="2">
                  <c:v>4.17</c:v>
                </c:pt>
                <c:pt idx="3">
                  <c:v>0.92</c:v>
                </c:pt>
                <c:pt idx="4">
                  <c:v>0</c:v>
                </c:pt>
                <c:pt idx="5">
                  <c:v>0.45</c:v>
                </c:pt>
                <c:pt idx="6">
                  <c:v>0.56000000000000005</c:v>
                </c:pt>
                <c:pt idx="7">
                  <c:v>1.1299999999999999</c:v>
                </c:pt>
                <c:pt idx="8">
                  <c:v>2.57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5472"/>
        <c:axId val="90827776"/>
      </c:scatterChart>
      <c:valAx>
        <c:axId val="908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27776"/>
        <c:crosses val="autoZero"/>
        <c:crossBetween val="midCat"/>
      </c:valAx>
      <c:valAx>
        <c:axId val="908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Calculations!$R$23:$R$31</c:f>
              <c:numCache>
                <c:formatCode>0.00</c:formatCode>
                <c:ptCount val="9"/>
                <c:pt idx="0">
                  <c:v>4.7825642858064024</c:v>
                </c:pt>
                <c:pt idx="1">
                  <c:v>6.1479584643450913</c:v>
                </c:pt>
                <c:pt idx="2">
                  <c:v>7.0393480957982302</c:v>
                </c:pt>
                <c:pt idx="3">
                  <c:v>7.85278317942287</c:v>
                </c:pt>
                <c:pt idx="4">
                  <c:v>8.2314442695921475</c:v>
                </c:pt>
                <c:pt idx="5">
                  <c:v>36.472372691733135</c:v>
                </c:pt>
                <c:pt idx="6">
                  <c:v>62.527164387032663</c:v>
                </c:pt>
                <c:pt idx="7">
                  <c:v>62.712830781808911</c:v>
                </c:pt>
                <c:pt idx="8">
                  <c:v>62.949084742932712</c:v>
                </c:pt>
              </c:numCache>
            </c:numRef>
          </c:xVal>
          <c:yVal>
            <c:numRef>
              <c:f>Calculations!$S$23:$S$31</c:f>
              <c:numCache>
                <c:formatCode>0.00</c:formatCode>
                <c:ptCount val="9"/>
                <c:pt idx="0">
                  <c:v>-3.0219207350389574</c:v>
                </c:pt>
                <c:pt idx="1">
                  <c:v>-3.4716244316534159</c:v>
                </c:pt>
                <c:pt idx="2">
                  <c:v>-3.8300584682786236</c:v>
                </c:pt>
                <c:pt idx="3">
                  <c:v>-4.1449287707134292</c:v>
                </c:pt>
                <c:pt idx="4">
                  <c:v>-4.3199786628043499</c:v>
                </c:pt>
                <c:pt idx="5">
                  <c:v>-19.854897680239304</c:v>
                </c:pt>
                <c:pt idx="6">
                  <c:v>-34.31069715765021</c:v>
                </c:pt>
                <c:pt idx="7">
                  <c:v>-34.524218359040432</c:v>
                </c:pt>
                <c:pt idx="8">
                  <c:v>-34.651893175241455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8048"/>
        <c:axId val="91379584"/>
      </c:scatterChart>
      <c:valAx>
        <c:axId val="913780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79584"/>
        <c:crosses val="autoZero"/>
        <c:crossBetween val="midCat"/>
      </c:valAx>
      <c:valAx>
        <c:axId val="91379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8096"/>
        <c:axId val="91513984"/>
      </c:scatterChart>
      <c:valAx>
        <c:axId val="915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3984"/>
        <c:crosses val="autoZero"/>
        <c:crossBetween val="midCat"/>
      </c:valAx>
      <c:valAx>
        <c:axId val="91513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0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5349</xdr:colOff>
      <xdr:row>35</xdr:row>
      <xdr:rowOff>168573</xdr:rowOff>
    </xdr:from>
    <xdr:to>
      <xdr:col>25</xdr:col>
      <xdr:colOff>235067</xdr:colOff>
      <xdr:row>50</xdr:row>
      <xdr:rowOff>54273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459441</xdr:colOff>
      <xdr:row>35</xdr:row>
      <xdr:rowOff>154664</xdr:rowOff>
    </xdr:from>
    <xdr:to>
      <xdr:col>18</xdr:col>
      <xdr:colOff>407570</xdr:colOff>
      <xdr:row>50</xdr:row>
      <xdr:rowOff>40364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8" bestFit="1" customWidth="1"/>
    <col min="3" max="3" width="10.7109375" style="18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7"/>
    <col min="15" max="15" width="10.7109375" style="17" customWidth="1"/>
    <col min="16" max="21" width="10.7109375" style="17"/>
    <col min="22" max="22" width="11.5703125" style="17" bestFit="1" customWidth="1"/>
    <col min="23" max="23" width="10.7109375" style="17"/>
    <col min="24" max="24" width="10.7109375" style="17" customWidth="1"/>
    <col min="25" max="27" width="10.7109375" style="17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8" t="s">
        <v>89</v>
      </c>
      <c r="B1" s="59"/>
      <c r="C1" s="52">
        <v>40823</v>
      </c>
      <c r="M1" s="56" t="s">
        <v>21</v>
      </c>
      <c r="N1" s="56"/>
      <c r="O1" s="56"/>
      <c r="P1" s="56"/>
      <c r="Q1" s="56"/>
      <c r="R1" s="23"/>
      <c r="W1" s="53" t="s">
        <v>34</v>
      </c>
      <c r="X1" s="53"/>
      <c r="Y1" s="53"/>
      <c r="Z1" s="2"/>
      <c r="AA1" s="53" t="s">
        <v>56</v>
      </c>
      <c r="AB1" s="53"/>
      <c r="AC1" s="53"/>
    </row>
    <row r="2" spans="1:29" x14ac:dyDescent="0.25">
      <c r="A2" s="58" t="s">
        <v>16</v>
      </c>
      <c r="B2" s="59"/>
      <c r="C2" s="39">
        <v>1.3879999999999999</v>
      </c>
      <c r="M2" s="21"/>
      <c r="N2" s="21"/>
      <c r="O2" s="21"/>
      <c r="P2" s="21"/>
      <c r="Q2" s="21"/>
      <c r="R2" s="23"/>
      <c r="W2" s="23"/>
      <c r="X2" s="23"/>
      <c r="Y2" s="23"/>
      <c r="Z2" s="2"/>
      <c r="AA2" s="23"/>
      <c r="AB2" s="23"/>
      <c r="AC2" s="23"/>
    </row>
    <row r="3" spans="1:29" ht="18" x14ac:dyDescent="0.35">
      <c r="A3" s="58" t="s">
        <v>66</v>
      </c>
      <c r="B3" s="59"/>
      <c r="C3" s="39" t="s">
        <v>74</v>
      </c>
      <c r="M3" s="22" t="s">
        <v>13</v>
      </c>
      <c r="N3" s="22" t="s">
        <v>9</v>
      </c>
      <c r="O3" s="22" t="s">
        <v>14</v>
      </c>
      <c r="P3" s="22" t="s">
        <v>10</v>
      </c>
      <c r="Q3" s="22" t="s">
        <v>15</v>
      </c>
      <c r="R3" s="23"/>
      <c r="W3" s="21"/>
      <c r="X3" s="22" t="s">
        <v>10</v>
      </c>
      <c r="Y3" s="22" t="s">
        <v>10</v>
      </c>
      <c r="Z3" s="2"/>
      <c r="AA3" s="22" t="s">
        <v>40</v>
      </c>
      <c r="AB3" s="22" t="s">
        <v>53</v>
      </c>
      <c r="AC3" s="21">
        <f ca="1">SLOPE(yB,xB)</f>
        <v>-0.5491961351871516</v>
      </c>
    </row>
    <row r="4" spans="1:29" ht="18" x14ac:dyDescent="0.35">
      <c r="A4" s="58" t="s">
        <v>67</v>
      </c>
      <c r="B4" s="59"/>
      <c r="C4" s="39" t="s">
        <v>73</v>
      </c>
      <c r="M4" s="23">
        <v>0</v>
      </c>
      <c r="N4" s="21">
        <f>VALUE(MID(C10,FIND(",",C10,3)+1,FIND(",",C10,15)-FIND(",",C10,3)-1))</f>
        <v>1061153.861</v>
      </c>
      <c r="O4" s="21">
        <f>VALUE(MID(C10,FIND(",",C10,1)+1,FIND(",",C10,5)-FIND(",",C10,1)-1))</f>
        <v>466523.86599999998</v>
      </c>
      <c r="P4" s="21">
        <f>VALUE(MID(C10,FIND(",",C10,17)+1,FIND(",",C10,27)-FIND(",",C10,17)-1))</f>
        <v>1265.319</v>
      </c>
      <c r="Q4" s="24"/>
      <c r="R4" s="23"/>
      <c r="W4" s="28"/>
      <c r="X4" s="21">
        <f ca="1">VALUE(OFFSET($P$3,MATCH($O$10,$M$4:$M$6,0),0))</f>
        <v>1266.1079999999999</v>
      </c>
      <c r="Y4" s="21">
        <f ca="1">OFFSET($P$3,MATCH($Q$10,$M$4:$M$6,0),0)</f>
        <v>1263.5989999999999</v>
      </c>
      <c r="Z4" s="2"/>
      <c r="AA4" s="27" t="s">
        <v>41</v>
      </c>
      <c r="AB4" s="27" t="s">
        <v>54</v>
      </c>
      <c r="AC4" s="29">
        <f ca="1">INTERCEPT(yB,xB)</f>
        <v>1049305.4603404824</v>
      </c>
    </row>
    <row r="5" spans="1:29" x14ac:dyDescent="0.25">
      <c r="A5" s="13"/>
      <c r="B5" s="16"/>
      <c r="C5" s="47"/>
      <c r="D5" s="4"/>
      <c r="M5" s="23">
        <v>1</v>
      </c>
      <c r="N5" s="21">
        <f t="shared" ref="N5:N6" si="0">VALUE(MID(C11,FIND(",",C11,3)+1,FIND(",",C11,15)-FIND(",",C11,3)-1))</f>
        <v>1061175.9040000001</v>
      </c>
      <c r="O5" s="21">
        <f t="shared" ref="O5:O6" si="1">VALUE(MID(C11,FIND(",",C11,1)+1,FIND(",",C11,5)-FIND(",",C11,1)-1))</f>
        <v>466513.21500000003</v>
      </c>
      <c r="P5" s="21">
        <f t="shared" ref="P5:P6" si="2">VALUE(MID(C11,FIND(",",C11,17)+1,FIND(",",C11,27)-FIND(",",C11,17)-1))</f>
        <v>1266.1079999999999</v>
      </c>
      <c r="Q5" s="25">
        <f>DEGREES(ATAN2(Old_Y1-Old_Y0,Old_X1-Old_X0))+IF(Old_X1-Old_X0&lt;0,360)</f>
        <v>115.78945917593164</v>
      </c>
      <c r="R5" s="23"/>
      <c r="W5" s="22"/>
      <c r="X5" s="21">
        <f ca="1">VALUE(OFFSET($V$20,MATCH($O11,$A$21:$A$51,0),0))</f>
        <v>1264.9665699171858</v>
      </c>
      <c r="Y5" s="21">
        <f ca="1">OFFSET($V$20,MATCH($Q11,$A$21:$A$51,0),0)</f>
        <v>1265.1146614345494</v>
      </c>
      <c r="Z5" s="2"/>
      <c r="AA5" s="27"/>
      <c r="AB5" s="27"/>
      <c r="AC5" s="21"/>
    </row>
    <row r="6" spans="1:29" ht="18" x14ac:dyDescent="0.35">
      <c r="A6" s="60" t="s">
        <v>17</v>
      </c>
      <c r="B6" s="60"/>
      <c r="C6" s="39">
        <v>3</v>
      </c>
      <c r="D6" s="4"/>
      <c r="M6" s="23">
        <v>2</v>
      </c>
      <c r="N6" s="21">
        <f t="shared" si="0"/>
        <v>1061137.496</v>
      </c>
      <c r="O6" s="21">
        <f t="shared" si="1"/>
        <v>466526.614</v>
      </c>
      <c r="P6" s="21">
        <f t="shared" si="2"/>
        <v>1263.5989999999999</v>
      </c>
      <c r="Q6" s="25">
        <f>DEGREES(ATAN2(Old_Y2-Old_Y0,Old_X2-Old_X0))+IF(Old_X2-Old_X0&lt;0,360)</f>
        <v>279.53214108099479</v>
      </c>
      <c r="R6" s="23"/>
      <c r="W6" s="22"/>
      <c r="X6" s="21">
        <f ca="1">VALUE(OFFSET($V$20,MATCH($O12,$A$21:$A$61,0),0))</f>
        <v>1264.9706443176426</v>
      </c>
      <c r="Y6" s="21">
        <f ca="1">VALUE(OFFSET($V$20,MATCH($O12,$A$21:$A$61,0),0))</f>
        <v>1264.9706443176426</v>
      </c>
      <c r="Z6" s="5"/>
      <c r="AA6" s="27" t="s">
        <v>42</v>
      </c>
      <c r="AB6" s="22" t="s">
        <v>55</v>
      </c>
      <c r="AC6" s="21">
        <f ca="1">-1/mA</f>
        <v>1.8208431121956572</v>
      </c>
    </row>
    <row r="7" spans="1:29" x14ac:dyDescent="0.25">
      <c r="A7" s="60" t="s">
        <v>18</v>
      </c>
      <c r="B7" s="60"/>
      <c r="C7" s="39">
        <v>12</v>
      </c>
      <c r="D7" s="4"/>
      <c r="M7" s="21"/>
      <c r="N7" s="21"/>
      <c r="O7" s="21"/>
      <c r="P7" s="21"/>
      <c r="Q7" s="21"/>
      <c r="R7" s="23"/>
      <c r="W7" s="21"/>
      <c r="X7" s="21"/>
      <c r="Y7" s="21"/>
      <c r="Z7" s="2"/>
      <c r="AA7" s="21"/>
      <c r="AB7" s="21"/>
      <c r="AC7" s="21"/>
    </row>
    <row r="8" spans="1:29" x14ac:dyDescent="0.25">
      <c r="A8" s="1"/>
      <c r="C8" s="49"/>
      <c r="D8" s="4"/>
      <c r="M8" s="23"/>
      <c r="N8" s="21"/>
      <c r="O8" s="53" t="s">
        <v>24</v>
      </c>
      <c r="P8" s="53"/>
      <c r="Q8" s="53" t="s">
        <v>25</v>
      </c>
      <c r="R8" s="53"/>
      <c r="W8" s="22" t="s">
        <v>35</v>
      </c>
      <c r="X8" s="21">
        <f ca="1">X5-X4</f>
        <v>-1.1414300828141677</v>
      </c>
      <c r="Y8" s="21">
        <f ca="1">Y5-Y4</f>
        <v>1.515661434549429</v>
      </c>
      <c r="AA8" s="21"/>
      <c r="AB8" s="23"/>
      <c r="AC8" s="23"/>
    </row>
    <row r="9" spans="1:29" x14ac:dyDescent="0.25">
      <c r="A9" s="6"/>
      <c r="C9" s="9" t="s">
        <v>11</v>
      </c>
      <c r="M9" s="21"/>
      <c r="N9" s="21"/>
      <c r="O9" s="26" t="s">
        <v>23</v>
      </c>
      <c r="P9" s="27" t="s">
        <v>19</v>
      </c>
      <c r="Q9" s="27" t="s">
        <v>23</v>
      </c>
      <c r="R9" s="27" t="s">
        <v>19</v>
      </c>
      <c r="W9" s="22" t="s">
        <v>36</v>
      </c>
      <c r="X9" s="21">
        <f ca="1">X6-X4</f>
        <v>-1.1373556823573381</v>
      </c>
      <c r="Y9" s="21">
        <f ca="1">Y6-Y4</f>
        <v>1.3716443176426765</v>
      </c>
      <c r="AA9" s="32" t="s">
        <v>49</v>
      </c>
      <c r="AB9" s="32"/>
      <c r="AC9" s="21">
        <f ca="1">AVERAGE(DfromL)</f>
        <v>0.12344792194087242</v>
      </c>
    </row>
    <row r="10" spans="1:29" s="17" customFormat="1" x14ac:dyDescent="0.25">
      <c r="A10" s="8"/>
      <c r="B10" s="18"/>
      <c r="C10" s="36" t="s">
        <v>86</v>
      </c>
      <c r="D10" s="37"/>
      <c r="E10" s="38"/>
      <c r="M10" s="57" t="s">
        <v>22</v>
      </c>
      <c r="N10" s="57"/>
      <c r="O10" s="33">
        <v>1</v>
      </c>
      <c r="P10" s="21">
        <f ca="1">OFFSET($Q$3,MATCH($O$10,$M$4:$M$6,0),0)</f>
        <v>115.78945917593164</v>
      </c>
      <c r="Q10" s="33">
        <v>2</v>
      </c>
      <c r="R10" s="21">
        <f ca="1">OFFSET($Q$3,MATCH($O$10,$M$4:$M$6,0),0)</f>
        <v>115.78945917593164</v>
      </c>
      <c r="W10" s="23"/>
      <c r="X10" s="23"/>
      <c r="Y10" s="23"/>
      <c r="AA10" s="32" t="s">
        <v>50</v>
      </c>
      <c r="AB10" s="32"/>
      <c r="AC10" s="21">
        <f ca="1">_xlfn.STDEV.P(DfromL)</f>
        <v>9.2998626038132817E-2</v>
      </c>
    </row>
    <row r="11" spans="1:29" s="17" customFormat="1" x14ac:dyDescent="0.25">
      <c r="A11" s="15"/>
      <c r="B11" s="18"/>
      <c r="C11" s="36" t="s">
        <v>87</v>
      </c>
      <c r="D11" s="37"/>
      <c r="E11" s="38"/>
      <c r="M11" s="53" t="s">
        <v>31</v>
      </c>
      <c r="N11" s="53"/>
      <c r="O11" s="33">
        <v>1</v>
      </c>
      <c r="P11" s="21">
        <f ca="1">OFFSET($N$20,MATCH($O11,$A$21:$A$51,0),0)</f>
        <v>0</v>
      </c>
      <c r="Q11" s="33">
        <v>2</v>
      </c>
      <c r="R11" s="21">
        <f ca="1">OFFSET($N$20,MATCH($Q11,$A$21:$A$51,0),0)</f>
        <v>159.52555555555554</v>
      </c>
      <c r="W11" s="22" t="s">
        <v>37</v>
      </c>
      <c r="X11" s="21">
        <f ca="1">AVERAGE(X8:Y9)</f>
        <v>0.15212999675514993</v>
      </c>
      <c r="Y11" s="31" t="s">
        <v>38</v>
      </c>
      <c r="AA11" s="21"/>
      <c r="AB11" s="21"/>
      <c r="AC11" s="21"/>
    </row>
    <row r="12" spans="1:29" s="17" customFormat="1" x14ac:dyDescent="0.25">
      <c r="A12" s="15"/>
      <c r="B12" s="18"/>
      <c r="C12" s="36" t="s">
        <v>88</v>
      </c>
      <c r="D12" s="37"/>
      <c r="E12" s="38"/>
      <c r="M12" s="53" t="s">
        <v>30</v>
      </c>
      <c r="N12" s="53"/>
      <c r="O12" s="33">
        <v>14</v>
      </c>
      <c r="P12" s="21">
        <f ca="1">OFFSET($N$20,MATCH($O12,$A$21:$A$61,0),0)</f>
        <v>359.99944444444446</v>
      </c>
      <c r="Q12" s="33">
        <v>13</v>
      </c>
      <c r="R12" s="21">
        <f ca="1">OFFSET($N$20,MATCH($Q12,$A$21:$A$51,0),0)</f>
        <v>159.49722222222223</v>
      </c>
      <c r="W12" s="21"/>
      <c r="X12" s="21"/>
      <c r="Y12" s="21"/>
      <c r="AA12" s="21"/>
      <c r="AB12" s="21"/>
      <c r="AC12" s="21"/>
    </row>
    <row r="13" spans="1:29" s="17" customFormat="1" x14ac:dyDescent="0.25">
      <c r="A13" s="15"/>
      <c r="B13" s="18"/>
      <c r="C13" s="18"/>
      <c r="D13" s="19"/>
      <c r="M13" s="21"/>
      <c r="N13" s="21"/>
      <c r="O13" s="21"/>
      <c r="P13" s="21"/>
      <c r="Q13" s="21"/>
      <c r="R13" s="21"/>
      <c r="W13" s="21" t="s">
        <v>64</v>
      </c>
      <c r="X13" s="21">
        <f ca="1">MIN(Zs)</f>
        <v>1262.656672639851</v>
      </c>
      <c r="Y13" s="21"/>
      <c r="AA13" s="21"/>
      <c r="AB13" s="21"/>
      <c r="AC13" s="21"/>
    </row>
    <row r="14" spans="1:29" s="17" customFormat="1" x14ac:dyDescent="0.25">
      <c r="A14" s="8"/>
      <c r="B14" s="18"/>
      <c r="C14" s="18"/>
      <c r="D14" s="19"/>
      <c r="M14" s="53" t="s">
        <v>32</v>
      </c>
      <c r="N14" s="53"/>
      <c r="O14" s="23"/>
      <c r="P14" s="21">
        <f ca="1">P10-P11+IF(P11&gt;P10,360)</f>
        <v>115.78945917593164</v>
      </c>
      <c r="Q14" s="21"/>
      <c r="R14" s="21">
        <f ca="1">R10-R11+IF(R11&gt;R10,360)</f>
        <v>316.26390362037608</v>
      </c>
      <c r="W14" s="21"/>
      <c r="X14" s="21"/>
      <c r="Y14" s="21"/>
      <c r="AA14" s="21"/>
      <c r="AB14" s="21"/>
      <c r="AC14" s="21"/>
    </row>
    <row r="15" spans="1:29" x14ac:dyDescent="0.25">
      <c r="A15" s="1"/>
      <c r="D15" s="4"/>
      <c r="M15" s="53" t="s">
        <v>33</v>
      </c>
      <c r="N15" s="53"/>
      <c r="O15" s="23"/>
      <c r="P15" s="21">
        <f ca="1">P10-P12+IF(P12&gt;P10,360)</f>
        <v>115.79001473148719</v>
      </c>
      <c r="Q15" s="21"/>
      <c r="R15" s="21">
        <f ca="1">R10-R12+IF(R12&gt;R10,360)</f>
        <v>316.29223695370939</v>
      </c>
      <c r="W15" s="21"/>
      <c r="X15" s="21"/>
      <c r="Y15" s="21"/>
      <c r="AA15" s="23"/>
      <c r="AB15" s="23"/>
      <c r="AC15" s="23"/>
    </row>
    <row r="16" spans="1:29" x14ac:dyDescent="0.25">
      <c r="A16" s="1"/>
      <c r="B16" s="18" t="s">
        <v>68</v>
      </c>
      <c r="D16" s="4"/>
      <c r="M16" s="23"/>
      <c r="N16" s="23"/>
      <c r="O16" s="23"/>
      <c r="P16" s="23"/>
      <c r="Q16" s="23"/>
      <c r="R16" s="30"/>
      <c r="W16" s="21"/>
      <c r="X16" s="21"/>
      <c r="Y16" s="21"/>
      <c r="AA16" s="23"/>
      <c r="AB16" s="23"/>
      <c r="AC16" s="23"/>
    </row>
    <row r="17" spans="1:36" x14ac:dyDescent="0.25">
      <c r="A17" s="1"/>
      <c r="D17" s="4"/>
      <c r="M17" s="53" t="s">
        <v>39</v>
      </c>
      <c r="N17" s="53"/>
      <c r="O17" s="21">
        <f ca="1">AVERAGE(P14:P15,R14:R15)</f>
        <v>216.03390362037607</v>
      </c>
      <c r="P17" s="31"/>
      <c r="Q17" s="23"/>
      <c r="R17" s="23"/>
      <c r="W17" s="21"/>
      <c r="X17" s="21"/>
      <c r="Y17" s="23"/>
      <c r="Z17" s="2"/>
      <c r="AA17" s="23"/>
      <c r="AB17" s="23"/>
      <c r="AC17" s="23"/>
    </row>
    <row r="18" spans="1:36" x14ac:dyDescent="0.25">
      <c r="A18" s="1"/>
      <c r="D18" s="4"/>
      <c r="M18" s="19"/>
      <c r="O18" s="19"/>
      <c r="P18" s="19"/>
      <c r="Q18" s="19"/>
      <c r="R18" s="19"/>
      <c r="S18" s="19"/>
      <c r="T18" s="19"/>
      <c r="U18" s="19"/>
      <c r="V18" s="2"/>
      <c r="W18" s="2"/>
      <c r="X18" s="2"/>
      <c r="Y18" s="2"/>
      <c r="Z18" s="2"/>
      <c r="AA18" s="2"/>
    </row>
    <row r="19" spans="1:36" s="1" customFormat="1" x14ac:dyDescent="0.25">
      <c r="B19" s="11"/>
      <c r="C19" s="11"/>
      <c r="D19" s="7"/>
      <c r="E19" s="7"/>
      <c r="F19" s="7"/>
      <c r="G19" s="7"/>
      <c r="H19" s="7"/>
      <c r="I19" s="7"/>
      <c r="J19" s="7"/>
      <c r="K19" s="7"/>
      <c r="N19" s="15"/>
      <c r="O19" s="15"/>
      <c r="P19" s="15"/>
      <c r="Q19" s="15"/>
      <c r="R19" s="15"/>
      <c r="S19" s="15"/>
      <c r="T19" s="54" t="s">
        <v>20</v>
      </c>
      <c r="U19" s="54"/>
      <c r="X19" s="55" t="s">
        <v>45</v>
      </c>
      <c r="Y19" s="55"/>
      <c r="Z19" s="55" t="s">
        <v>46</v>
      </c>
      <c r="AA19" s="55"/>
      <c r="AB19" s="1" t="s">
        <v>47</v>
      </c>
      <c r="AC19" s="1" t="s">
        <v>51</v>
      </c>
      <c r="AE19" s="42" t="s">
        <v>51</v>
      </c>
      <c r="AG19" s="42"/>
      <c r="AH19" s="42"/>
      <c r="AI19" s="42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85</v>
      </c>
      <c r="H20" s="12" t="s">
        <v>79</v>
      </c>
      <c r="I20" s="12" t="s">
        <v>84</v>
      </c>
      <c r="J20" s="12" t="s">
        <v>83</v>
      </c>
      <c r="K20" s="3" t="s">
        <v>77</v>
      </c>
      <c r="L20" s="3" t="s">
        <v>78</v>
      </c>
      <c r="M20" s="8" t="s">
        <v>26</v>
      </c>
      <c r="N20" s="8" t="s">
        <v>27</v>
      </c>
      <c r="O20" s="8" t="s">
        <v>28</v>
      </c>
      <c r="P20" s="20" t="s">
        <v>29</v>
      </c>
      <c r="Q20" s="20" t="s">
        <v>82</v>
      </c>
      <c r="R20" s="20" t="s">
        <v>80</v>
      </c>
      <c r="S20" s="20" t="s">
        <v>81</v>
      </c>
      <c r="T20" s="20" t="s">
        <v>7</v>
      </c>
      <c r="U20" s="20" t="s">
        <v>6</v>
      </c>
      <c r="V20" s="20" t="s">
        <v>12</v>
      </c>
      <c r="W20" s="20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20" t="s">
        <v>65</v>
      </c>
      <c r="AE20" s="3" t="s">
        <v>75</v>
      </c>
      <c r="AF20" s="20" t="s">
        <v>76</v>
      </c>
      <c r="AG20" s="20"/>
      <c r="AH20" s="20"/>
      <c r="AI20" s="20"/>
    </row>
    <row r="21" spans="1:36" x14ac:dyDescent="0.25">
      <c r="A21" s="45">
        <v>1</v>
      </c>
      <c r="B21" s="49">
        <v>0</v>
      </c>
      <c r="C21" s="49">
        <v>3.5524652777777779</v>
      </c>
      <c r="D21" s="45">
        <v>23.879000000000001</v>
      </c>
      <c r="E21" s="45">
        <v>3.714</v>
      </c>
      <c r="F21" s="50" t="s">
        <v>90</v>
      </c>
      <c r="G21" s="44">
        <f>C21*24</f>
        <v>85.259166666666673</v>
      </c>
      <c r="H21" s="44">
        <f>RADIANS(G21)</f>
        <v>1.4880531758399322</v>
      </c>
      <c r="I21" s="44">
        <f t="shared" ref="I21:I34" si="3">B21*24</f>
        <v>0</v>
      </c>
      <c r="J21" s="40">
        <f>RADIANS(I21)</f>
        <v>0</v>
      </c>
      <c r="K21" s="40">
        <f>D21*SIN(H21)</f>
        <v>23.797303687224296</v>
      </c>
      <c r="L21" s="16">
        <f>D21*COS(H21)</f>
        <v>1.9735699171858769</v>
      </c>
      <c r="M21" s="14"/>
      <c r="N21" s="17">
        <f t="shared" ref="N21:N34" si="4">I21+M21</f>
        <v>0</v>
      </c>
      <c r="O21" s="17">
        <f ca="1">$O$17</f>
        <v>216.03390362037607</v>
      </c>
      <c r="P21" s="17">
        <f ca="1">SUM(N21,O21)</f>
        <v>216.03390362037607</v>
      </c>
      <c r="Q21" s="17">
        <f ca="1">RADIANS(P21)</f>
        <v>3.7705029141116606</v>
      </c>
      <c r="R21" s="17">
        <f t="shared" ref="R21:R34" ca="1" si="5">K21*SIN(Q21)</f>
        <v>-13.999093934702183</v>
      </c>
      <c r="S21" s="17">
        <f t="shared" ref="S21:S34" ca="1" si="6">K21*COS(Q21)</f>
        <v>-19.244142791752605</v>
      </c>
      <c r="T21" s="14">
        <f t="shared" ref="T21:T34" ca="1" si="7">Old_X0+R21</f>
        <v>1061139.8619060654</v>
      </c>
      <c r="U21" s="14">
        <f t="shared" ref="U21:U34" ca="1" si="8">Old_Y0+S21</f>
        <v>466504.6218572082</v>
      </c>
      <c r="V21" s="17">
        <f t="shared" ref="V21:V34" si="9">Old_Z0+HI+L21-E21</f>
        <v>1264.9665699171858</v>
      </c>
      <c r="W21" s="17">
        <f t="shared" ref="W21:W34" ca="1" si="10">IF(ISNUMBER(T21),V21+dZ,"")</f>
        <v>1265.1186999139409</v>
      </c>
      <c r="X21" s="17" t="str">
        <f t="shared" ref="X21:X34" si="11">IF(AND(A21&gt;=CS_Start,A21&lt;=CS_End),IF(OR(LEFT(UPPER(F21))="D"),"",T21),"")</f>
        <v/>
      </c>
      <c r="Y21" s="17" t="str">
        <f t="shared" ref="Y21" si="12">IF(ISNUMBER(X21),U21,"")</f>
        <v/>
      </c>
      <c r="Z21" s="17" t="str">
        <f t="shared" ref="Z21:Z23" si="13">IF(X21="","",VALUE((-mB*X21+Y21-bA)/(mA-mB)))</f>
        <v/>
      </c>
      <c r="AA21" s="17" t="str">
        <f t="shared" ref="AA21:AA23" si="14">IF(Z21="","",VALUE(mA*Z21+bA))</f>
        <v/>
      </c>
      <c r="AB21" s="17" t="str">
        <f>IF(ISNUMBER(X21),SQRT((X21-Z21)^2+(Y21-AA21)^2),"")</f>
        <v/>
      </c>
      <c r="AC21" s="17" t="str">
        <f t="shared" ref="AC21:AC23" ca="1" si="15">IF(ISNUMBER(Z21),SQRT(($Z21-OFFSET($Z$20,MATCH(CS_Start,$A$21:$A$51,0),0))^2+($AA21-OFFSET($AA$20,MATCH(CS_Start,$A$21:$A$51,0),0))^2),"")</f>
        <v/>
      </c>
      <c r="AD21" s="17" t="str">
        <f t="shared" ref="AD21:AD23" si="16">IF(ISNUMBER(X21),W21-Min_Z,"")</f>
        <v/>
      </c>
    </row>
    <row r="22" spans="1:36" x14ac:dyDescent="0.25">
      <c r="A22" s="45">
        <v>2</v>
      </c>
      <c r="B22" s="49">
        <v>6.6468981481481473</v>
      </c>
      <c r="C22" s="49">
        <v>3.4682175925925929</v>
      </c>
      <c r="D22" s="45">
        <v>18.016999999999999</v>
      </c>
      <c r="E22" s="45">
        <v>3.714</v>
      </c>
      <c r="F22" s="50" t="s">
        <v>69</v>
      </c>
      <c r="G22" s="44">
        <f t="shared" ref="G22:G34" si="17">C22*24</f>
        <v>83.237222222222229</v>
      </c>
      <c r="H22" s="44">
        <f t="shared" ref="H22:H34" si="18">RADIANS(G22)</f>
        <v>1.4527635879919691</v>
      </c>
      <c r="I22" s="44">
        <f t="shared" si="3"/>
        <v>159.52555555555554</v>
      </c>
      <c r="J22" s="40">
        <f t="shared" ref="J22:J34" si="19">RADIANS(I22)</f>
        <v>2.784246185517576</v>
      </c>
      <c r="K22" s="40">
        <f t="shared" ref="K22:K34" si="20">D22*SIN(H22)</f>
        <v>17.891641673059112</v>
      </c>
      <c r="L22" s="16">
        <f t="shared" ref="L22:L34" si="21">D22*COS(H22)</f>
        <v>2.1216614345494764</v>
      </c>
      <c r="M22" s="14"/>
      <c r="N22" s="17">
        <f t="shared" si="4"/>
        <v>159.52555555555554</v>
      </c>
      <c r="O22" s="17">
        <f t="shared" ref="O22:O34" ca="1" si="22">$O$17</f>
        <v>216.03390362037607</v>
      </c>
      <c r="P22" s="17">
        <f t="shared" ref="P22:P34" ca="1" si="23">SUM(N22,O22)</f>
        <v>375.55945917593158</v>
      </c>
      <c r="Q22" s="17">
        <f t="shared" ref="Q22:Q34" ca="1" si="24">RADIANS(P22)</f>
        <v>6.5547490996292357</v>
      </c>
      <c r="R22" s="17">
        <f t="shared" ca="1" si="5"/>
        <v>4.7992226088320322</v>
      </c>
      <c r="S22" s="17">
        <f t="shared" ca="1" si="6"/>
        <v>17.235959622487545</v>
      </c>
      <c r="T22" s="14">
        <f t="shared" ca="1" si="7"/>
        <v>1061158.6602226088</v>
      </c>
      <c r="U22" s="14">
        <f t="shared" ca="1" si="8"/>
        <v>466541.10195962247</v>
      </c>
      <c r="V22" s="17">
        <f t="shared" si="9"/>
        <v>1265.1146614345494</v>
      </c>
      <c r="W22" s="17">
        <f t="shared" ca="1" si="10"/>
        <v>1265.2667914313045</v>
      </c>
      <c r="X22" s="48" t="str">
        <f t="shared" si="11"/>
        <v/>
      </c>
      <c r="Y22" s="48" t="str">
        <f t="shared" ref="Y22:Y34" si="25">IF(ISNUMBER(X22),U22,"")</f>
        <v/>
      </c>
      <c r="Z22" s="17" t="str">
        <f t="shared" si="13"/>
        <v/>
      </c>
      <c r="AA22" s="17" t="str">
        <f t="shared" si="14"/>
        <v/>
      </c>
      <c r="AB22" s="17" t="str">
        <f t="shared" ref="AB22:AB23" si="26">IF(ISNUMBER(X22),SQRT((X22-Z22)^2+(Y22-AA22)^2),"")</f>
        <v/>
      </c>
      <c r="AC22" s="17" t="str">
        <f t="shared" ca="1" si="15"/>
        <v/>
      </c>
      <c r="AD22" s="17" t="str">
        <f t="shared" si="16"/>
        <v/>
      </c>
    </row>
    <row r="23" spans="1:36" x14ac:dyDescent="0.25">
      <c r="A23" s="45">
        <v>3</v>
      </c>
      <c r="B23" s="49">
        <v>11.093888888888889</v>
      </c>
      <c r="C23" s="49">
        <v>2.8242708333333333</v>
      </c>
      <c r="D23" s="45">
        <v>6.1109999999999998</v>
      </c>
      <c r="E23" s="45">
        <v>3.714</v>
      </c>
      <c r="F23" s="45"/>
      <c r="G23" s="44">
        <f t="shared" si="17"/>
        <v>67.782499999999999</v>
      </c>
      <c r="H23" s="44">
        <f t="shared" si="18"/>
        <v>1.1830278002330563</v>
      </c>
      <c r="I23" s="44">
        <f t="shared" si="3"/>
        <v>266.25333333333333</v>
      </c>
      <c r="J23" s="40">
        <f t="shared" si="19"/>
        <v>4.6469973110766354</v>
      </c>
      <c r="K23" s="40">
        <f t="shared" si="20"/>
        <v>5.6572896405195037</v>
      </c>
      <c r="L23" s="16">
        <f t="shared" si="21"/>
        <v>2.3107130767948458</v>
      </c>
      <c r="M23" s="14"/>
      <c r="N23" s="17">
        <f t="shared" si="4"/>
        <v>266.25333333333333</v>
      </c>
      <c r="O23" s="17">
        <f t="shared" ca="1" si="22"/>
        <v>216.03390362037607</v>
      </c>
      <c r="P23" s="17">
        <f t="shared" ca="1" si="23"/>
        <v>482.2872369537094</v>
      </c>
      <c r="Q23" s="17">
        <f t="shared" ca="1" si="24"/>
        <v>8.4175002251882951</v>
      </c>
      <c r="R23" s="17">
        <f t="shared" ca="1" si="5"/>
        <v>4.7825642858064024</v>
      </c>
      <c r="S23" s="17">
        <f t="shared" ca="1" si="6"/>
        <v>-3.0219207350389574</v>
      </c>
      <c r="T23" s="14">
        <f t="shared" ca="1" si="7"/>
        <v>1061158.6435642859</v>
      </c>
      <c r="U23" s="14">
        <f t="shared" ca="1" si="8"/>
        <v>466520.84407926496</v>
      </c>
      <c r="V23" s="17">
        <f t="shared" si="9"/>
        <v>1265.3037130767948</v>
      </c>
      <c r="W23" s="17">
        <f t="shared" ca="1" si="10"/>
        <v>1265.4558430735499</v>
      </c>
      <c r="X23" s="48">
        <f t="shared" ca="1" si="11"/>
        <v>1061158.6435642859</v>
      </c>
      <c r="Y23" s="48">
        <f t="shared" ca="1" si="25"/>
        <v>466520.84407926496</v>
      </c>
      <c r="Z23" s="17">
        <f t="shared" ca="1" si="13"/>
        <v>1061158.8082853013</v>
      </c>
      <c r="AA23" s="17">
        <f t="shared" ca="1" si="14"/>
        <v>466521.14401039144</v>
      </c>
      <c r="AB23" s="17">
        <f t="shared" ca="1" si="26"/>
        <v>0.34218663552659973</v>
      </c>
      <c r="AC23" s="17">
        <f t="shared" ca="1" si="15"/>
        <v>0</v>
      </c>
      <c r="AD23" s="17">
        <f t="shared" ca="1" si="16"/>
        <v>2.7991704336989187</v>
      </c>
      <c r="AE23" s="2">
        <f ca="1">ROUND(CONVERT(AC23,"m","ft"),2)</f>
        <v>0</v>
      </c>
      <c r="AF23" s="2">
        <f ca="1">ROUND(CONVERT(AD23,"m","ft"),2)</f>
        <v>9.18</v>
      </c>
      <c r="AH23" s="45">
        <v>0</v>
      </c>
      <c r="AI23" s="2">
        <f ca="1">OFFSET($AF$22,MATCH(AH23,$AE$23:$AE$59,0),0)</f>
        <v>9.18</v>
      </c>
      <c r="AJ23" s="2" t="str">
        <f t="shared" ref="AJ23:AJ31" ca="1" si="27">CONCATENATE(AH23,",",AI23)</f>
        <v>0,9.18</v>
      </c>
    </row>
    <row r="24" spans="1:36" x14ac:dyDescent="0.25">
      <c r="A24" s="45">
        <v>4</v>
      </c>
      <c r="B24" s="49">
        <v>10.975775462962963</v>
      </c>
      <c r="C24" s="49">
        <v>3.2014467592592593</v>
      </c>
      <c r="D24" s="45">
        <v>7.2510000000000003</v>
      </c>
      <c r="E24" s="45">
        <v>3.714</v>
      </c>
      <c r="F24" s="45"/>
      <c r="G24" s="44">
        <f t="shared" si="17"/>
        <v>76.834722222222226</v>
      </c>
      <c r="H24" s="44">
        <f t="shared" si="18"/>
        <v>1.341018882633032</v>
      </c>
      <c r="I24" s="44">
        <f t="shared" si="3"/>
        <v>263.41861111111109</v>
      </c>
      <c r="J24" s="40">
        <f t="shared" si="19"/>
        <v>4.5975220749194072</v>
      </c>
      <c r="K24" s="40">
        <f t="shared" si="20"/>
        <v>7.0604227546065079</v>
      </c>
      <c r="L24" s="16">
        <f t="shared" si="21"/>
        <v>1.651493725763032</v>
      </c>
      <c r="M24" s="14"/>
      <c r="N24" s="17">
        <f t="shared" si="4"/>
        <v>263.41861111111109</v>
      </c>
      <c r="O24" s="17">
        <f t="shared" ca="1" si="22"/>
        <v>216.03390362037607</v>
      </c>
      <c r="P24" s="17">
        <f t="shared" ca="1" si="23"/>
        <v>479.45251473148716</v>
      </c>
      <c r="Q24" s="17">
        <f t="shared" ca="1" si="24"/>
        <v>8.368024989031067</v>
      </c>
      <c r="R24" s="17">
        <f t="shared" ca="1" si="5"/>
        <v>6.1479584643450913</v>
      </c>
      <c r="S24" s="17">
        <f t="shared" ca="1" si="6"/>
        <v>-3.4716244316534159</v>
      </c>
      <c r="T24" s="14">
        <f t="shared" ca="1" si="7"/>
        <v>1061160.0089584645</v>
      </c>
      <c r="U24" s="14">
        <f t="shared" ca="1" si="8"/>
        <v>466520.39437556831</v>
      </c>
      <c r="V24" s="17">
        <f t="shared" si="9"/>
        <v>1264.6444937257629</v>
      </c>
      <c r="W24" s="17">
        <f t="shared" ca="1" si="10"/>
        <v>1264.796623722518</v>
      </c>
      <c r="X24" s="48">
        <f t="shared" ca="1" si="11"/>
        <v>1061160.0089584645</v>
      </c>
      <c r="Y24" s="48">
        <f t="shared" ca="1" si="25"/>
        <v>466520.39437556831</v>
      </c>
      <c r="Z24" s="48">
        <f t="shared" ref="Z24:Z34" ca="1" si="28">IF(X24="","",VALUE((-mB*X24+Y24-bA)/(mA-mB)))</f>
        <v>1061160.0470294638</v>
      </c>
      <c r="AA24" s="48">
        <f t="shared" ref="AA24:AA34" ca="1" si="29">IF(Z24="","",VALUE(mA*Z24+bA))</f>
        <v>466520.46369688481</v>
      </c>
      <c r="AB24" s="48">
        <f t="shared" ref="AB24:AB34" ca="1" si="30">IF(ISNUMBER(X24),SQRT((X24-Z24)^2+(Y24-AA24)^2),"")</f>
        <v>7.908758378753028E-2</v>
      </c>
      <c r="AC24" s="48">
        <f t="shared" ref="AC24:AC34" ca="1" si="31">IF(ISNUMBER(Z24),SQRT(($Z24-OFFSET($Z$20,MATCH(CS_Start,$A$21:$A$51,0),0))^2+($AA24-OFFSET($AA$20,MATCH(CS_Start,$A$21:$A$51,0),0))^2),"")</f>
        <v>1.4132634458593278</v>
      </c>
      <c r="AD24" s="48">
        <f t="shared" ref="AD24:AD34" ca="1" si="32">IF(ISNUMBER(X24),W24-Min_Z,"")</f>
        <v>2.1399510826670394</v>
      </c>
      <c r="AE24" s="45">
        <f t="shared" ref="AE24:AE34" ca="1" si="33">ROUND(CONVERT(AC24,"m","ft"),2)</f>
        <v>4.6399999999999997</v>
      </c>
      <c r="AF24" s="45">
        <f t="shared" ref="AF24:AF34" ca="1" si="34">ROUND(CONVERT(AD24,"m","ft"),2)</f>
        <v>7.02</v>
      </c>
      <c r="AH24" s="45">
        <v>4.6399999999999997</v>
      </c>
      <c r="AI24" s="45">
        <f t="shared" ref="AI24:AI31" ca="1" si="35">OFFSET($AF$22,MATCH(AH24,$AE$23:$AE$59,0),0)</f>
        <v>7.02</v>
      </c>
      <c r="AJ24" s="2" t="str">
        <f t="shared" ca="1" si="27"/>
        <v>4.64,7.02</v>
      </c>
    </row>
    <row r="25" spans="1:36" x14ac:dyDescent="0.25">
      <c r="A25" s="45">
        <v>5</v>
      </c>
      <c r="B25" s="49">
        <v>10.938182870370371</v>
      </c>
      <c r="C25" s="49">
        <v>3.5175115740740743</v>
      </c>
      <c r="D25" s="45">
        <v>8.0519999999999996</v>
      </c>
      <c r="E25" s="45">
        <v>3.714</v>
      </c>
      <c r="F25" s="45"/>
      <c r="G25" s="44">
        <f t="shared" si="17"/>
        <v>84.420277777777784</v>
      </c>
      <c r="H25" s="44">
        <f t="shared" si="18"/>
        <v>1.4734118026704242</v>
      </c>
      <c r="I25" s="44">
        <f t="shared" si="3"/>
        <v>262.51638888888891</v>
      </c>
      <c r="J25" s="40">
        <f t="shared" si="19"/>
        <v>4.5817753265569703</v>
      </c>
      <c r="K25" s="40">
        <f t="shared" si="20"/>
        <v>8.0138486062722052</v>
      </c>
      <c r="L25" s="16">
        <f t="shared" si="21"/>
        <v>0.7829013448379335</v>
      </c>
      <c r="M25" s="14"/>
      <c r="N25" s="17">
        <f t="shared" si="4"/>
        <v>262.51638888888891</v>
      </c>
      <c r="O25" s="17">
        <f t="shared" ca="1" si="22"/>
        <v>216.03390362037607</v>
      </c>
      <c r="P25" s="17">
        <f t="shared" ca="1" si="23"/>
        <v>478.55029250926498</v>
      </c>
      <c r="Q25" s="17">
        <f t="shared" ca="1" si="24"/>
        <v>8.35227824066863</v>
      </c>
      <c r="R25" s="17">
        <f t="shared" ca="1" si="5"/>
        <v>7.0393480957982302</v>
      </c>
      <c r="S25" s="17">
        <f t="shared" ca="1" si="6"/>
        <v>-3.8300584682786236</v>
      </c>
      <c r="T25" s="14">
        <f t="shared" ca="1" si="7"/>
        <v>1061160.9003480959</v>
      </c>
      <c r="U25" s="14">
        <f t="shared" ca="1" si="8"/>
        <v>466520.03594153171</v>
      </c>
      <c r="V25" s="17">
        <f t="shared" si="9"/>
        <v>1263.7759013448378</v>
      </c>
      <c r="W25" s="17">
        <f t="shared" ca="1" si="10"/>
        <v>1263.9280313415929</v>
      </c>
      <c r="X25" s="48">
        <f t="shared" ca="1" si="11"/>
        <v>1061160.9003480959</v>
      </c>
      <c r="Y25" s="48">
        <f t="shared" ca="1" si="25"/>
        <v>466520.03594153171</v>
      </c>
      <c r="Z25" s="48">
        <f t="shared" ca="1" si="28"/>
        <v>1061160.8830977734</v>
      </c>
      <c r="AA25" s="48">
        <f t="shared" ca="1" si="29"/>
        <v>466520.00453140051</v>
      </c>
      <c r="AB25" s="48">
        <f t="shared" ca="1" si="30"/>
        <v>3.5835317331404958E-2</v>
      </c>
      <c r="AC25" s="48">
        <f t="shared" ca="1" si="31"/>
        <v>2.3671204373959935</v>
      </c>
      <c r="AD25" s="48">
        <f t="shared" ca="1" si="32"/>
        <v>1.2713587017419741</v>
      </c>
      <c r="AE25" s="45">
        <f t="shared" ca="1" si="33"/>
        <v>7.77</v>
      </c>
      <c r="AF25" s="45">
        <f t="shared" ca="1" si="34"/>
        <v>4.17</v>
      </c>
      <c r="AH25" s="45">
        <v>7.77</v>
      </c>
      <c r="AI25" s="45">
        <f t="shared" ca="1" si="35"/>
        <v>4.17</v>
      </c>
      <c r="AJ25" s="2" t="str">
        <f t="shared" ca="1" si="27"/>
        <v>7.77,4.17</v>
      </c>
    </row>
    <row r="26" spans="1:36" x14ac:dyDescent="0.25">
      <c r="A26" s="45">
        <v>6</v>
      </c>
      <c r="B26" s="49">
        <v>10.908020833333333</v>
      </c>
      <c r="C26" s="49">
        <v>3.8059259259259259</v>
      </c>
      <c r="D26" s="45">
        <v>8.8819999999999997</v>
      </c>
      <c r="E26" s="45">
        <v>3.714</v>
      </c>
      <c r="F26" s="45"/>
      <c r="G26" s="44">
        <f t="shared" si="17"/>
        <v>91.342222222222219</v>
      </c>
      <c r="H26" s="44">
        <f t="shared" si="18"/>
        <v>1.5942225238661094</v>
      </c>
      <c r="I26" s="44">
        <f t="shared" si="3"/>
        <v>261.79250000000002</v>
      </c>
      <c r="J26" s="40">
        <f t="shared" si="19"/>
        <v>4.5691410820272553</v>
      </c>
      <c r="K26" s="40">
        <f t="shared" si="20"/>
        <v>8.8795629496791513</v>
      </c>
      <c r="L26" s="16">
        <f t="shared" si="21"/>
        <v>-0.20805245176469023</v>
      </c>
      <c r="M26" s="14"/>
      <c r="N26" s="17">
        <f t="shared" si="4"/>
        <v>261.79250000000002</v>
      </c>
      <c r="O26" s="17">
        <f t="shared" ca="1" si="22"/>
        <v>216.03390362037607</v>
      </c>
      <c r="P26" s="17">
        <f t="shared" ca="1" si="23"/>
        <v>477.82640362037608</v>
      </c>
      <c r="Q26" s="17">
        <f t="shared" ca="1" si="24"/>
        <v>8.3396439961389159</v>
      </c>
      <c r="R26" s="17">
        <f t="shared" ca="1" si="5"/>
        <v>7.85278317942287</v>
      </c>
      <c r="S26" s="17">
        <f t="shared" ca="1" si="6"/>
        <v>-4.1449287707134292</v>
      </c>
      <c r="T26" s="14">
        <f t="shared" ca="1" si="7"/>
        <v>1061161.7137831794</v>
      </c>
      <c r="U26" s="14">
        <f t="shared" ca="1" si="8"/>
        <v>466519.72107122926</v>
      </c>
      <c r="V26" s="17">
        <f t="shared" si="9"/>
        <v>1262.7849475482353</v>
      </c>
      <c r="W26" s="17">
        <f t="shared" ca="1" si="10"/>
        <v>1262.9370775449904</v>
      </c>
      <c r="X26" s="48">
        <f t="shared" ca="1" si="11"/>
        <v>1061161.7137831794</v>
      </c>
      <c r="Y26" s="48">
        <f t="shared" ca="1" si="25"/>
        <v>466519.72107122926</v>
      </c>
      <c r="Z26" s="48">
        <f t="shared" ca="1" si="28"/>
        <v>1061161.6408944947</v>
      </c>
      <c r="AA26" s="48">
        <f t="shared" ca="1" si="29"/>
        <v>466519.58835236984</v>
      </c>
      <c r="AB26" s="48">
        <f t="shared" ca="1" si="30"/>
        <v>0.15141682865698114</v>
      </c>
      <c r="AC26" s="48">
        <f t="shared" ca="1" si="31"/>
        <v>3.2316786230497674</v>
      </c>
      <c r="AD26" s="48">
        <f t="shared" ca="1" si="32"/>
        <v>0.2804049051394486</v>
      </c>
      <c r="AE26" s="45">
        <f t="shared" ca="1" si="33"/>
        <v>10.6</v>
      </c>
      <c r="AF26" s="45">
        <f t="shared" ca="1" si="34"/>
        <v>0.92</v>
      </c>
      <c r="AH26" s="45">
        <v>10.6</v>
      </c>
      <c r="AI26" s="45">
        <f t="shared" ca="1" si="35"/>
        <v>0.92</v>
      </c>
      <c r="AJ26" s="2" t="str">
        <f t="shared" ca="1" si="27"/>
        <v>10.6,0.92</v>
      </c>
    </row>
    <row r="27" spans="1:36" x14ac:dyDescent="0.25">
      <c r="A27" s="45">
        <v>7</v>
      </c>
      <c r="B27" s="49">
        <v>10.902384259259259</v>
      </c>
      <c r="C27" s="49">
        <v>3.875324074074074</v>
      </c>
      <c r="D27" s="45">
        <v>9.3089999999999993</v>
      </c>
      <c r="E27" s="45">
        <v>3.714</v>
      </c>
      <c r="F27" s="45"/>
      <c r="G27" s="44">
        <f t="shared" si="17"/>
        <v>93.007777777777775</v>
      </c>
      <c r="H27" s="44">
        <f t="shared" si="18"/>
        <v>1.6232919521854372</v>
      </c>
      <c r="I27" s="44">
        <f t="shared" si="3"/>
        <v>261.65722222222223</v>
      </c>
      <c r="J27" s="40">
        <f t="shared" si="19"/>
        <v>4.5667800394002516</v>
      </c>
      <c r="K27" s="40">
        <f t="shared" si="20"/>
        <v>9.2961761176564561</v>
      </c>
      <c r="L27" s="16">
        <f t="shared" si="21"/>
        <v>-0.48845735690408232</v>
      </c>
      <c r="M27" s="14"/>
      <c r="N27" s="17">
        <f t="shared" si="4"/>
        <v>261.65722222222223</v>
      </c>
      <c r="O27" s="17">
        <f t="shared" ca="1" si="22"/>
        <v>216.03390362037607</v>
      </c>
      <c r="P27" s="17">
        <f t="shared" ca="1" si="23"/>
        <v>477.6911258425983</v>
      </c>
      <c r="Q27" s="17">
        <f t="shared" ca="1" si="24"/>
        <v>8.3372829535119131</v>
      </c>
      <c r="R27" s="17">
        <f t="shared" ca="1" si="5"/>
        <v>8.2314442695921475</v>
      </c>
      <c r="S27" s="17">
        <f t="shared" ca="1" si="6"/>
        <v>-4.3199786628043499</v>
      </c>
      <c r="T27" s="14">
        <f t="shared" ca="1" si="7"/>
        <v>1061162.0924442697</v>
      </c>
      <c r="U27" s="14">
        <f t="shared" ca="1" si="8"/>
        <v>466519.54602133716</v>
      </c>
      <c r="V27" s="17">
        <f t="shared" si="9"/>
        <v>1262.5045426430959</v>
      </c>
      <c r="W27" s="17">
        <f t="shared" ca="1" si="10"/>
        <v>1262.656672639851</v>
      </c>
      <c r="X27" s="48">
        <f t="shared" ca="1" si="11"/>
        <v>1061162.0924442697</v>
      </c>
      <c r="Y27" s="48">
        <f t="shared" ca="1" si="25"/>
        <v>466519.54602133716</v>
      </c>
      <c r="Z27" s="48">
        <f t="shared" ca="1" si="28"/>
        <v>1061162.005670028</v>
      </c>
      <c r="AA27" s="48">
        <f t="shared" ca="1" si="29"/>
        <v>466519.38801905676</v>
      </c>
      <c r="AB27" s="48">
        <f t="shared" ca="1" si="30"/>
        <v>0.1802622800915529</v>
      </c>
      <c r="AC27" s="48">
        <f t="shared" ca="1" si="31"/>
        <v>3.6478452075351107</v>
      </c>
      <c r="AD27" s="48">
        <f t="shared" ca="1" si="32"/>
        <v>0</v>
      </c>
      <c r="AE27" s="45">
        <f t="shared" ca="1" si="33"/>
        <v>11.97</v>
      </c>
      <c r="AF27" s="45">
        <f t="shared" ca="1" si="34"/>
        <v>0</v>
      </c>
      <c r="AH27" s="45">
        <v>11.97</v>
      </c>
      <c r="AI27" s="45">
        <f t="shared" ca="1" si="35"/>
        <v>0</v>
      </c>
      <c r="AJ27" s="2" t="str">
        <f t="shared" ca="1" si="27"/>
        <v>11.97,0</v>
      </c>
    </row>
    <row r="28" spans="1:36" x14ac:dyDescent="0.25">
      <c r="A28" s="45">
        <v>8</v>
      </c>
      <c r="B28" s="49">
        <v>10.938715277777776</v>
      </c>
      <c r="C28" s="49">
        <v>3.7702314814814812</v>
      </c>
      <c r="D28" s="45">
        <v>41.527999999999999</v>
      </c>
      <c r="E28" s="45">
        <v>3.714</v>
      </c>
      <c r="F28" s="45"/>
      <c r="G28" s="44">
        <f t="shared" si="17"/>
        <v>90.48555555555555</v>
      </c>
      <c r="H28" s="44">
        <f t="shared" si="18"/>
        <v>1.5792708699406912</v>
      </c>
      <c r="I28" s="44">
        <f t="shared" si="3"/>
        <v>262.52916666666664</v>
      </c>
      <c r="J28" s="40">
        <f t="shared" si="19"/>
        <v>4.58199834085028</v>
      </c>
      <c r="K28" s="40">
        <f t="shared" si="20"/>
        <v>41.526508782432614</v>
      </c>
      <c r="L28" s="16">
        <f t="shared" si="21"/>
        <v>-0.35192661528593533</v>
      </c>
      <c r="M28" s="14"/>
      <c r="N28" s="17">
        <f t="shared" si="4"/>
        <v>262.52916666666664</v>
      </c>
      <c r="O28" s="17">
        <f t="shared" ca="1" si="22"/>
        <v>216.03390362037607</v>
      </c>
      <c r="P28" s="17">
        <f t="shared" ca="1" si="23"/>
        <v>478.56307028704271</v>
      </c>
      <c r="Q28" s="17">
        <f t="shared" ca="1" si="24"/>
        <v>8.3525012549619397</v>
      </c>
      <c r="R28" s="17">
        <f t="shared" ca="1" si="5"/>
        <v>36.472372691733135</v>
      </c>
      <c r="S28" s="17">
        <f t="shared" ca="1" si="6"/>
        <v>-19.854897680239304</v>
      </c>
      <c r="T28" s="14">
        <f t="shared" ca="1" si="7"/>
        <v>1061190.3333726919</v>
      </c>
      <c r="U28" s="14">
        <f t="shared" ca="1" si="8"/>
        <v>466504.01110231975</v>
      </c>
      <c r="V28" s="17">
        <f t="shared" si="9"/>
        <v>1262.641073384714</v>
      </c>
      <c r="W28" s="17">
        <f t="shared" ca="1" si="10"/>
        <v>1262.7932033814691</v>
      </c>
      <c r="X28" s="48">
        <f t="shared" ca="1" si="11"/>
        <v>1061190.3333726919</v>
      </c>
      <c r="Y28" s="48">
        <f t="shared" ca="1" si="25"/>
        <v>466504.01110231975</v>
      </c>
      <c r="Z28" s="48">
        <f t="shared" ca="1" si="28"/>
        <v>1061190.2571933272</v>
      </c>
      <c r="AA28" s="48">
        <f t="shared" ca="1" si="29"/>
        <v>466503.87239164778</v>
      </c>
      <c r="AB28" s="48">
        <f t="shared" ca="1" si="30"/>
        <v>0.1582527918426313</v>
      </c>
      <c r="AC28" s="48">
        <f t="shared" ca="1" si="31"/>
        <v>35.879557272151928</v>
      </c>
      <c r="AD28" s="48">
        <f t="shared" ca="1" si="32"/>
        <v>0.13653074161811674</v>
      </c>
      <c r="AE28" s="45">
        <f t="shared" ca="1" si="33"/>
        <v>117.72</v>
      </c>
      <c r="AF28" s="45">
        <f t="shared" ca="1" si="34"/>
        <v>0.45</v>
      </c>
      <c r="AH28" s="45">
        <v>117.72</v>
      </c>
      <c r="AI28" s="45">
        <f t="shared" ca="1" si="35"/>
        <v>0.45</v>
      </c>
      <c r="AJ28" s="2" t="str">
        <f t="shared" ca="1" si="27"/>
        <v>117.72,0.45</v>
      </c>
    </row>
    <row r="29" spans="1:36" x14ac:dyDescent="0.25">
      <c r="A29" s="45">
        <v>9</v>
      </c>
      <c r="B29" s="49">
        <v>10.946712962962962</v>
      </c>
      <c r="C29" s="49">
        <v>3.7605902777777778</v>
      </c>
      <c r="D29" s="45">
        <v>71.322999999999993</v>
      </c>
      <c r="E29" s="45">
        <v>3.714</v>
      </c>
      <c r="F29" s="45"/>
      <c r="G29" s="44">
        <f t="shared" si="17"/>
        <v>90.254166666666663</v>
      </c>
      <c r="H29" s="44">
        <f t="shared" si="18"/>
        <v>1.5752323719770487</v>
      </c>
      <c r="I29" s="44">
        <f t="shared" si="3"/>
        <v>262.7211111111111</v>
      </c>
      <c r="J29" s="40">
        <f t="shared" si="19"/>
        <v>4.5853484033867469</v>
      </c>
      <c r="K29" s="40">
        <f t="shared" si="20"/>
        <v>71.322298236435088</v>
      </c>
      <c r="L29" s="16">
        <f t="shared" si="21"/>
        <v>-0.31639101284099069</v>
      </c>
      <c r="M29" s="14"/>
      <c r="N29" s="17">
        <f t="shared" si="4"/>
        <v>262.7211111111111</v>
      </c>
      <c r="O29" s="17">
        <f t="shared" ca="1" si="22"/>
        <v>216.03390362037607</v>
      </c>
      <c r="P29" s="17">
        <f t="shared" ca="1" si="23"/>
        <v>478.75501473148717</v>
      </c>
      <c r="Q29" s="17">
        <f t="shared" ca="1" si="24"/>
        <v>8.3558513174984075</v>
      </c>
      <c r="R29" s="17">
        <f t="shared" ca="1" si="5"/>
        <v>62.527164387032663</v>
      </c>
      <c r="S29" s="17">
        <f t="shared" ca="1" si="6"/>
        <v>-34.31069715765021</v>
      </c>
      <c r="T29" s="14">
        <f t="shared" ca="1" si="7"/>
        <v>1061216.3881643871</v>
      </c>
      <c r="U29" s="14">
        <f t="shared" ca="1" si="8"/>
        <v>466489.55530284235</v>
      </c>
      <c r="V29" s="17">
        <f t="shared" si="9"/>
        <v>1262.6766089871589</v>
      </c>
      <c r="W29" s="17">
        <f t="shared" ca="1" si="10"/>
        <v>1262.828738983914</v>
      </c>
      <c r="X29" s="48">
        <f t="shared" ca="1" si="11"/>
        <v>1061216.3881643871</v>
      </c>
      <c r="Y29" s="48">
        <f t="shared" ca="1" si="25"/>
        <v>466489.55530284235</v>
      </c>
      <c r="Z29" s="48">
        <f t="shared" ca="1" si="28"/>
        <v>1061216.373844156</v>
      </c>
      <c r="AA29" s="48">
        <f t="shared" ca="1" si="29"/>
        <v>466489.52922794851</v>
      </c>
      <c r="AB29" s="48">
        <f t="shared" ca="1" si="30"/>
        <v>2.9748430301567839E-2</v>
      </c>
      <c r="AC29" s="48">
        <f t="shared" ca="1" si="31"/>
        <v>65.675627405985509</v>
      </c>
      <c r="AD29" s="48">
        <f t="shared" ca="1" si="32"/>
        <v>0.17206634406306875</v>
      </c>
      <c r="AE29" s="45">
        <f t="shared" ca="1" si="33"/>
        <v>215.47</v>
      </c>
      <c r="AF29" s="45">
        <f t="shared" ca="1" si="34"/>
        <v>0.56000000000000005</v>
      </c>
      <c r="AH29" s="45">
        <v>215.47</v>
      </c>
      <c r="AI29" s="45">
        <f t="shared" ca="1" si="35"/>
        <v>0.56000000000000005</v>
      </c>
      <c r="AJ29" s="2" t="str">
        <f t="shared" ca="1" si="27"/>
        <v>215.47,0.56</v>
      </c>
    </row>
    <row r="30" spans="1:36" x14ac:dyDescent="0.25">
      <c r="A30" s="45">
        <v>10</v>
      </c>
      <c r="B30" s="49">
        <v>10.949976851851851</v>
      </c>
      <c r="C30" s="49">
        <v>3.7548263888888886</v>
      </c>
      <c r="D30" s="45">
        <v>71.587999999999994</v>
      </c>
      <c r="E30" s="45">
        <v>3.714</v>
      </c>
      <c r="F30" s="50" t="s">
        <v>70</v>
      </c>
      <c r="G30" s="44">
        <f t="shared" si="17"/>
        <v>90.115833333333327</v>
      </c>
      <c r="H30" s="44">
        <f t="shared" si="18"/>
        <v>1.5728179998451233</v>
      </c>
      <c r="I30" s="44">
        <f t="shared" si="3"/>
        <v>262.79944444444442</v>
      </c>
      <c r="J30" s="40">
        <f t="shared" si="19"/>
        <v>4.5867155779674755</v>
      </c>
      <c r="K30" s="40">
        <f t="shared" si="20"/>
        <v>71.587853704175984</v>
      </c>
      <c r="L30" s="16">
        <f t="shared" si="21"/>
        <v>-0.14472743173217054</v>
      </c>
      <c r="M30" s="14"/>
      <c r="N30" s="17">
        <f t="shared" si="4"/>
        <v>262.79944444444442</v>
      </c>
      <c r="O30" s="17">
        <f t="shared" ca="1" si="22"/>
        <v>216.03390362037607</v>
      </c>
      <c r="P30" s="17">
        <f t="shared" ca="1" si="23"/>
        <v>478.83334806482048</v>
      </c>
      <c r="Q30" s="17">
        <f t="shared" ca="1" si="24"/>
        <v>8.3572184920791361</v>
      </c>
      <c r="R30" s="17">
        <f t="shared" ca="1" si="5"/>
        <v>62.712830781808911</v>
      </c>
      <c r="S30" s="17">
        <f t="shared" ca="1" si="6"/>
        <v>-34.524218359040432</v>
      </c>
      <c r="T30" s="14">
        <f t="shared" ca="1" si="7"/>
        <v>1061216.5738307817</v>
      </c>
      <c r="U30" s="14">
        <f t="shared" ca="1" si="8"/>
        <v>466489.34178164095</v>
      </c>
      <c r="V30" s="17">
        <f t="shared" si="9"/>
        <v>1262.8482725682677</v>
      </c>
      <c r="W30" s="17">
        <f t="shared" ca="1" si="10"/>
        <v>1263.0004025650228</v>
      </c>
      <c r="X30" s="48">
        <f t="shared" ca="1" si="11"/>
        <v>1061216.5738307817</v>
      </c>
      <c r="Y30" s="48">
        <f t="shared" ca="1" si="25"/>
        <v>466489.34178164095</v>
      </c>
      <c r="Z30" s="48">
        <f t="shared" ca="1" si="28"/>
        <v>1061216.6065789424</v>
      </c>
      <c r="AA30" s="48">
        <f t="shared" ca="1" si="29"/>
        <v>466489.40141090332</v>
      </c>
      <c r="AB30" s="48">
        <f t="shared" ca="1" si="30"/>
        <v>6.803007391168317E-2</v>
      </c>
      <c r="AC30" s="48">
        <f t="shared" ca="1" si="31"/>
        <v>65.941150809509779</v>
      </c>
      <c r="AD30" s="48">
        <f t="shared" ca="1" si="32"/>
        <v>0.34372992517182865</v>
      </c>
      <c r="AE30" s="45">
        <f t="shared" ca="1" si="33"/>
        <v>216.34</v>
      </c>
      <c r="AF30" s="45">
        <f t="shared" ca="1" si="34"/>
        <v>1.1299999999999999</v>
      </c>
      <c r="AH30" s="45">
        <v>216.34</v>
      </c>
      <c r="AI30" s="45">
        <f t="shared" ca="1" si="35"/>
        <v>1.1299999999999999</v>
      </c>
      <c r="AJ30" s="2" t="str">
        <f t="shared" ca="1" si="27"/>
        <v>216.34,1.13</v>
      </c>
    </row>
    <row r="31" spans="1:36" x14ac:dyDescent="0.25">
      <c r="A31" s="45">
        <v>11</v>
      </c>
      <c r="B31" s="49">
        <v>10.949907407407407</v>
      </c>
      <c r="C31" s="49">
        <v>3.740173611111111</v>
      </c>
      <c r="D31" s="45">
        <v>71.856999999999999</v>
      </c>
      <c r="E31" s="45">
        <v>3.714</v>
      </c>
      <c r="F31" s="45"/>
      <c r="G31" s="44">
        <f t="shared" si="17"/>
        <v>89.764166666666668</v>
      </c>
      <c r="H31" s="44">
        <f t="shared" si="18"/>
        <v>1.5666802586422766</v>
      </c>
      <c r="I31" s="44">
        <f t="shared" si="3"/>
        <v>262.79777777777775</v>
      </c>
      <c r="J31" s="40">
        <f t="shared" si="19"/>
        <v>4.5866864891466088</v>
      </c>
      <c r="K31" s="40">
        <f t="shared" si="20"/>
        <v>71.856391299600261</v>
      </c>
      <c r="L31" s="16">
        <f t="shared" si="21"/>
        <v>0.2957674740915715</v>
      </c>
      <c r="M31" s="14"/>
      <c r="N31" s="17">
        <f t="shared" si="4"/>
        <v>262.79777777777775</v>
      </c>
      <c r="O31" s="17">
        <f t="shared" ca="1" si="22"/>
        <v>216.03390362037607</v>
      </c>
      <c r="P31" s="17">
        <f t="shared" ca="1" si="23"/>
        <v>478.83168139815382</v>
      </c>
      <c r="Q31" s="17">
        <f t="shared" ca="1" si="24"/>
        <v>8.3571894032582694</v>
      </c>
      <c r="R31" s="17">
        <f t="shared" ca="1" si="5"/>
        <v>62.949084742932712</v>
      </c>
      <c r="S31" s="17">
        <f t="shared" ca="1" si="6"/>
        <v>-34.651893175241455</v>
      </c>
      <c r="T31" s="14">
        <f t="shared" ca="1" si="7"/>
        <v>1061216.810084743</v>
      </c>
      <c r="U31" s="14">
        <f t="shared" ca="1" si="8"/>
        <v>466489.21410682471</v>
      </c>
      <c r="V31" s="17">
        <f t="shared" si="9"/>
        <v>1263.2887674740914</v>
      </c>
      <c r="W31" s="17">
        <f t="shared" ca="1" si="10"/>
        <v>1263.4408974708465</v>
      </c>
      <c r="X31" s="48">
        <f t="shared" ca="1" si="11"/>
        <v>1061216.810084743</v>
      </c>
      <c r="Y31" s="48">
        <f t="shared" ca="1" si="25"/>
        <v>466489.21410682471</v>
      </c>
      <c r="Z31" s="48">
        <f t="shared" ca="1" si="28"/>
        <v>1061216.8419574134</v>
      </c>
      <c r="AA31" s="48">
        <f t="shared" ca="1" si="29"/>
        <v>466489.27214195672</v>
      </c>
      <c r="AB31" s="48">
        <f t="shared" ca="1" si="30"/>
        <v>6.6211356017900458E-2</v>
      </c>
      <c r="AC31" s="48">
        <f t="shared" ca="1" si="31"/>
        <v>66.209690350637842</v>
      </c>
      <c r="AD31" s="48">
        <f t="shared" ca="1" si="32"/>
        <v>0.78422483099552664</v>
      </c>
      <c r="AE31" s="45">
        <f t="shared" ca="1" si="33"/>
        <v>217.22</v>
      </c>
      <c r="AF31" s="45">
        <f t="shared" ca="1" si="34"/>
        <v>2.57</v>
      </c>
      <c r="AH31" s="45">
        <v>217.22</v>
      </c>
      <c r="AI31" s="45">
        <f t="shared" ca="1" si="35"/>
        <v>2.57</v>
      </c>
      <c r="AJ31" s="2" t="str">
        <f t="shared" ca="1" si="27"/>
        <v>217.22,2.57</v>
      </c>
    </row>
    <row r="32" spans="1:36" x14ac:dyDescent="0.25">
      <c r="A32" s="45">
        <v>12</v>
      </c>
      <c r="B32" s="49">
        <v>12.125868055555555</v>
      </c>
      <c r="C32" s="49">
        <v>3.7714814814814814</v>
      </c>
      <c r="D32" s="45">
        <v>38.576999999999998</v>
      </c>
      <c r="E32" s="45">
        <v>3.714</v>
      </c>
      <c r="F32" s="50" t="s">
        <v>91</v>
      </c>
      <c r="G32" s="44">
        <f t="shared" si="17"/>
        <v>90.515555555555551</v>
      </c>
      <c r="H32" s="44">
        <f t="shared" si="18"/>
        <v>1.5797944687162895</v>
      </c>
      <c r="I32" s="44">
        <f t="shared" si="3"/>
        <v>291.02083333333331</v>
      </c>
      <c r="J32" s="40">
        <f t="shared" si="19"/>
        <v>5.0792717335643305</v>
      </c>
      <c r="K32" s="40">
        <f t="shared" si="20"/>
        <v>38.575438287082541</v>
      </c>
      <c r="L32" s="16">
        <f t="shared" si="21"/>
        <v>-0.34711663671743975</v>
      </c>
      <c r="M32" s="14"/>
      <c r="N32" s="17">
        <f t="shared" si="4"/>
        <v>291.02083333333331</v>
      </c>
      <c r="O32" s="17">
        <f t="shared" ca="1" si="22"/>
        <v>216.03390362037607</v>
      </c>
      <c r="P32" s="17">
        <f t="shared" ca="1" si="23"/>
        <v>507.05473695370938</v>
      </c>
      <c r="Q32" s="17">
        <f t="shared" ca="1" si="24"/>
        <v>8.8497746476759911</v>
      </c>
      <c r="R32" s="17">
        <f t="shared" ca="1" si="5"/>
        <v>20.978772658427989</v>
      </c>
      <c r="S32" s="17">
        <f t="shared" ca="1" si="6"/>
        <v>-32.37214136856732</v>
      </c>
      <c r="T32" s="14">
        <f t="shared" ca="1" si="7"/>
        <v>1061174.8397726584</v>
      </c>
      <c r="U32" s="14">
        <f t="shared" ca="1" si="8"/>
        <v>466491.49385863141</v>
      </c>
      <c r="V32" s="17">
        <f t="shared" si="9"/>
        <v>1262.6458833632826</v>
      </c>
      <c r="W32" s="17">
        <f t="shared" ca="1" si="10"/>
        <v>1262.7980133600377</v>
      </c>
      <c r="X32" s="48" t="str">
        <f t="shared" si="11"/>
        <v/>
      </c>
      <c r="Y32" s="48" t="str">
        <f t="shared" si="25"/>
        <v/>
      </c>
      <c r="Z32" s="48" t="str">
        <f t="shared" si="28"/>
        <v/>
      </c>
      <c r="AA32" s="48" t="str">
        <f t="shared" si="29"/>
        <v/>
      </c>
      <c r="AB32" s="48" t="str">
        <f t="shared" si="30"/>
        <v/>
      </c>
      <c r="AC32" s="48" t="str">
        <f t="shared" ca="1" si="31"/>
        <v/>
      </c>
      <c r="AD32" s="48" t="str">
        <f t="shared" si="32"/>
        <v/>
      </c>
      <c r="AE32" s="45" t="e">
        <f t="shared" ca="1" si="33"/>
        <v>#VALUE!</v>
      </c>
      <c r="AF32" s="45" t="e">
        <f t="shared" si="34"/>
        <v>#VALUE!</v>
      </c>
      <c r="AH32" s="45"/>
      <c r="AI32" s="45"/>
    </row>
    <row r="33" spans="1:35" x14ac:dyDescent="0.25">
      <c r="A33" s="45">
        <v>13</v>
      </c>
      <c r="B33" s="49">
        <v>6.6457175925925931</v>
      </c>
      <c r="C33" s="49">
        <v>3.4690972222222225</v>
      </c>
      <c r="D33" s="50">
        <v>18.021000000000001</v>
      </c>
      <c r="E33" s="45">
        <v>3.714</v>
      </c>
      <c r="F33" s="50" t="s">
        <v>72</v>
      </c>
      <c r="G33" s="44">
        <f t="shared" si="17"/>
        <v>83.25833333333334</v>
      </c>
      <c r="H33" s="44">
        <f t="shared" si="18"/>
        <v>1.4531320463896122</v>
      </c>
      <c r="I33" s="44">
        <f t="shared" si="3"/>
        <v>159.49722222222223</v>
      </c>
      <c r="J33" s="40">
        <f t="shared" si="19"/>
        <v>2.7837516755628449</v>
      </c>
      <c r="K33" s="40">
        <f t="shared" si="20"/>
        <v>17.896394544681375</v>
      </c>
      <c r="L33" s="16">
        <f t="shared" si="21"/>
        <v>2.1155385368975685</v>
      </c>
      <c r="M33" s="14"/>
      <c r="N33" s="17">
        <f t="shared" si="4"/>
        <v>159.49722222222223</v>
      </c>
      <c r="O33" s="17">
        <f t="shared" ca="1" si="22"/>
        <v>216.03390362037607</v>
      </c>
      <c r="P33" s="17">
        <f t="shared" ca="1" si="23"/>
        <v>375.53112584259827</v>
      </c>
      <c r="Q33" s="17">
        <f t="shared" ca="1" si="24"/>
        <v>6.554254589674505</v>
      </c>
      <c r="R33" s="17">
        <f t="shared" ca="1" si="5"/>
        <v>4.7919713063563574</v>
      </c>
      <c r="S33" s="17">
        <f t="shared" ca="1" si="6"/>
        <v>17.24291009945707</v>
      </c>
      <c r="T33" s="14">
        <f t="shared" ca="1" si="7"/>
        <v>1061158.6529713064</v>
      </c>
      <c r="U33" s="14">
        <f t="shared" ca="1" si="8"/>
        <v>466541.10891009943</v>
      </c>
      <c r="V33" s="17">
        <f t="shared" si="9"/>
        <v>1265.1085385368974</v>
      </c>
      <c r="W33" s="17">
        <f t="shared" ca="1" si="10"/>
        <v>1265.2606685336525</v>
      </c>
      <c r="X33" s="48" t="str">
        <f t="shared" si="11"/>
        <v/>
      </c>
      <c r="Y33" s="48" t="str">
        <f t="shared" si="25"/>
        <v/>
      </c>
      <c r="Z33" s="48" t="str">
        <f t="shared" si="28"/>
        <v/>
      </c>
      <c r="AA33" s="48" t="str">
        <f t="shared" si="29"/>
        <v/>
      </c>
      <c r="AB33" s="48" t="str">
        <f t="shared" si="30"/>
        <v/>
      </c>
      <c r="AC33" s="48" t="str">
        <f t="shared" ca="1" si="31"/>
        <v/>
      </c>
      <c r="AD33" s="48" t="str">
        <f t="shared" si="32"/>
        <v/>
      </c>
      <c r="AE33" s="45" t="e">
        <f t="shared" ca="1" si="33"/>
        <v>#VALUE!</v>
      </c>
      <c r="AF33" s="45" t="e">
        <f t="shared" si="34"/>
        <v>#VALUE!</v>
      </c>
      <c r="AH33" s="45"/>
      <c r="AI33" s="45"/>
    </row>
    <row r="34" spans="1:35" x14ac:dyDescent="0.25">
      <c r="A34" s="45">
        <v>14</v>
      </c>
      <c r="B34" s="49">
        <v>14.999976851851853</v>
      </c>
      <c r="C34" s="49">
        <v>3.551840277777778</v>
      </c>
      <c r="D34" s="45">
        <v>23.853000000000002</v>
      </c>
      <c r="E34" s="45">
        <v>3.714</v>
      </c>
      <c r="F34" s="50" t="s">
        <v>71</v>
      </c>
      <c r="G34" s="44">
        <f t="shared" si="17"/>
        <v>85.244166666666672</v>
      </c>
      <c r="H34" s="44">
        <f t="shared" si="18"/>
        <v>1.4877913764521331</v>
      </c>
      <c r="I34" s="44">
        <f t="shared" si="3"/>
        <v>359.99944444444446</v>
      </c>
      <c r="J34" s="40">
        <f t="shared" si="19"/>
        <v>6.2831756109059649</v>
      </c>
      <c r="K34" s="40">
        <f t="shared" si="20"/>
        <v>23.770875708582881</v>
      </c>
      <c r="L34" s="16">
        <f t="shared" si="21"/>
        <v>1.9776443176426661</v>
      </c>
      <c r="M34" s="14"/>
      <c r="N34" s="17">
        <f t="shared" si="4"/>
        <v>359.99944444444446</v>
      </c>
      <c r="O34" s="17">
        <f t="shared" ca="1" si="22"/>
        <v>216.03390362037607</v>
      </c>
      <c r="P34" s="17">
        <f t="shared" ca="1" si="23"/>
        <v>576.03334806482053</v>
      </c>
      <c r="Q34" s="17">
        <f t="shared" ca="1" si="24"/>
        <v>10.053678525017625</v>
      </c>
      <c r="R34" s="17">
        <f t="shared" ca="1" si="5"/>
        <v>-13.983360919833629</v>
      </c>
      <c r="S34" s="17">
        <f t="shared" ca="1" si="6"/>
        <v>-19.222906890961244</v>
      </c>
      <c r="T34" s="14">
        <f t="shared" ca="1" si="7"/>
        <v>1061139.8776390802</v>
      </c>
      <c r="U34" s="14">
        <f t="shared" ca="1" si="8"/>
        <v>466504.64309310901</v>
      </c>
      <c r="V34" s="17">
        <f t="shared" si="9"/>
        <v>1264.9706443176426</v>
      </c>
      <c r="W34" s="17">
        <f t="shared" ca="1" si="10"/>
        <v>1265.1227743143977</v>
      </c>
      <c r="X34" s="48" t="str">
        <f t="shared" si="11"/>
        <v/>
      </c>
      <c r="Y34" s="48" t="str">
        <f t="shared" si="25"/>
        <v/>
      </c>
      <c r="Z34" s="48" t="str">
        <f t="shared" si="28"/>
        <v/>
      </c>
      <c r="AA34" s="48" t="str">
        <f t="shared" si="29"/>
        <v/>
      </c>
      <c r="AB34" s="48" t="str">
        <f t="shared" si="30"/>
        <v/>
      </c>
      <c r="AC34" s="48" t="str">
        <f t="shared" ca="1" si="31"/>
        <v/>
      </c>
      <c r="AD34" s="48" t="str">
        <f t="shared" si="32"/>
        <v/>
      </c>
      <c r="AE34" s="45" t="e">
        <f t="shared" ca="1" si="33"/>
        <v>#VALUE!</v>
      </c>
      <c r="AF34" s="45" t="e">
        <f t="shared" si="34"/>
        <v>#VALUE!</v>
      </c>
      <c r="AH34" s="45"/>
      <c r="AI34" s="45"/>
    </row>
    <row r="35" spans="1:35" x14ac:dyDescent="0.25">
      <c r="A35" s="45"/>
      <c r="B35" s="49"/>
      <c r="C35" s="49"/>
      <c r="D35" s="45"/>
      <c r="E35" s="45"/>
      <c r="F35" s="45"/>
      <c r="G35" s="44"/>
      <c r="H35" s="44"/>
      <c r="I35" s="44"/>
      <c r="J35" s="40"/>
      <c r="K35" s="40"/>
      <c r="L35" s="16"/>
      <c r="M35" s="14"/>
      <c r="T35" s="14"/>
      <c r="U35" s="14"/>
      <c r="X35" s="48"/>
      <c r="Y35" s="48"/>
      <c r="Z35" s="48"/>
      <c r="AA35" s="48"/>
      <c r="AB35" s="48"/>
      <c r="AC35" s="48"/>
      <c r="AD35" s="48"/>
      <c r="AE35" s="45"/>
      <c r="AF35" s="45"/>
      <c r="AH35" s="45"/>
      <c r="AI35" s="45"/>
    </row>
    <row r="36" spans="1:35" x14ac:dyDescent="0.25">
      <c r="A36" s="45"/>
      <c r="B36" s="49"/>
      <c r="C36" s="49"/>
      <c r="D36" s="45"/>
      <c r="E36" s="45"/>
      <c r="F36" s="50"/>
      <c r="G36" s="44"/>
      <c r="H36" s="44"/>
      <c r="I36" s="44"/>
      <c r="J36" s="40"/>
      <c r="K36" s="40"/>
      <c r="L36" s="16"/>
      <c r="M36" s="14"/>
      <c r="T36" s="14"/>
      <c r="U36" s="14"/>
      <c r="X36" s="48"/>
      <c r="Y36" s="48"/>
      <c r="Z36" s="48"/>
      <c r="AA36" s="48"/>
      <c r="AB36" s="48"/>
      <c r="AC36" s="48"/>
      <c r="AD36" s="48"/>
      <c r="AE36" s="45"/>
      <c r="AF36" s="45"/>
      <c r="AH36" s="45"/>
      <c r="AI36" s="45"/>
    </row>
    <row r="37" spans="1:35" x14ac:dyDescent="0.25">
      <c r="A37" s="45"/>
      <c r="B37" s="49"/>
      <c r="C37" s="49"/>
      <c r="D37" s="45"/>
      <c r="E37" s="45"/>
      <c r="F37" s="45"/>
      <c r="G37" s="44"/>
      <c r="H37" s="44"/>
      <c r="I37" s="44"/>
      <c r="J37" s="40"/>
      <c r="K37" s="40"/>
      <c r="L37" s="16"/>
      <c r="M37" s="14"/>
      <c r="T37" s="14"/>
      <c r="U37" s="14"/>
      <c r="X37" s="48"/>
      <c r="Y37" s="48"/>
      <c r="Z37" s="48"/>
      <c r="AA37" s="48"/>
      <c r="AB37" s="48"/>
      <c r="AC37" s="48"/>
      <c r="AD37" s="48"/>
      <c r="AE37" s="45"/>
      <c r="AF37" s="45"/>
    </row>
    <row r="38" spans="1:35" x14ac:dyDescent="0.25">
      <c r="A38" s="45"/>
      <c r="B38" s="49"/>
      <c r="C38" s="49"/>
      <c r="D38" s="45"/>
      <c r="E38" s="45"/>
      <c r="F38" s="45"/>
      <c r="G38" s="44"/>
      <c r="H38" s="44"/>
      <c r="I38" s="44"/>
      <c r="J38" s="40"/>
      <c r="K38" s="40"/>
      <c r="L38" s="16"/>
      <c r="M38" s="14"/>
      <c r="T38" s="14"/>
      <c r="U38" s="14"/>
      <c r="X38" s="48"/>
      <c r="Y38" s="48"/>
      <c r="Z38" s="48"/>
      <c r="AA38" s="48"/>
      <c r="AB38" s="48"/>
      <c r="AC38" s="48"/>
      <c r="AD38" s="48"/>
      <c r="AE38" s="45"/>
      <c r="AF38" s="45"/>
    </row>
    <row r="39" spans="1:35" x14ac:dyDescent="0.25">
      <c r="A39" s="45"/>
      <c r="B39" s="49"/>
      <c r="C39" s="49"/>
      <c r="D39" s="45"/>
      <c r="E39" s="45"/>
      <c r="F39" s="45"/>
      <c r="G39" s="44"/>
      <c r="H39" s="44"/>
      <c r="I39" s="44"/>
      <c r="J39" s="40"/>
      <c r="K39" s="40"/>
      <c r="L39" s="16"/>
      <c r="M39" s="14"/>
      <c r="T39" s="14"/>
      <c r="U39" s="14"/>
      <c r="X39" s="48"/>
      <c r="Y39" s="48"/>
      <c r="Z39" s="48"/>
      <c r="AA39" s="48"/>
      <c r="AB39" s="48"/>
      <c r="AC39" s="48"/>
      <c r="AD39" s="48"/>
      <c r="AE39" s="45"/>
      <c r="AF39" s="45"/>
    </row>
    <row r="40" spans="1:35" x14ac:dyDescent="0.25">
      <c r="A40" s="45"/>
      <c r="B40" s="49"/>
      <c r="C40" s="49"/>
      <c r="D40" s="45"/>
      <c r="E40" s="45"/>
      <c r="F40" s="45"/>
      <c r="G40" s="44"/>
      <c r="H40" s="44"/>
      <c r="I40" s="44"/>
      <c r="J40" s="50"/>
      <c r="K40" s="50"/>
      <c r="L40" s="47"/>
      <c r="M40" s="46"/>
      <c r="N40" s="48"/>
      <c r="O40" s="48"/>
      <c r="P40" s="48"/>
      <c r="Q40" s="48"/>
      <c r="R40" s="48"/>
      <c r="S40" s="48"/>
      <c r="T40" s="46"/>
      <c r="U40" s="46"/>
      <c r="V40" s="48"/>
      <c r="W40" s="48"/>
      <c r="X40" s="48"/>
      <c r="Y40" s="48"/>
      <c r="Z40" s="48"/>
      <c r="AA40" s="48"/>
      <c r="AB40" s="48"/>
      <c r="AC40" s="48"/>
      <c r="AD40" s="48"/>
      <c r="AE40" s="45"/>
      <c r="AF40" s="45"/>
    </row>
    <row r="41" spans="1:35" x14ac:dyDescent="0.25">
      <c r="A41" s="45"/>
      <c r="B41" s="49"/>
      <c r="C41" s="49"/>
      <c r="D41" s="45"/>
      <c r="E41" s="45"/>
      <c r="F41" s="45"/>
      <c r="G41" s="44"/>
      <c r="H41" s="44"/>
      <c r="I41" s="44"/>
      <c r="J41" s="50"/>
      <c r="K41" s="50"/>
      <c r="L41" s="47"/>
      <c r="M41" s="46"/>
      <c r="N41" s="48"/>
      <c r="O41" s="48"/>
      <c r="P41" s="48"/>
      <c r="Q41" s="48"/>
      <c r="R41" s="48"/>
      <c r="S41" s="48"/>
      <c r="T41" s="46"/>
      <c r="U41" s="46"/>
      <c r="V41" s="48"/>
      <c r="W41" s="48"/>
      <c r="X41" s="48"/>
      <c r="Y41" s="48"/>
      <c r="Z41" s="48"/>
      <c r="AA41" s="48"/>
      <c r="AB41" s="48"/>
      <c r="AC41" s="48"/>
      <c r="AD41" s="48"/>
      <c r="AE41" s="45"/>
      <c r="AF41" s="45"/>
    </row>
    <row r="42" spans="1:35" x14ac:dyDescent="0.25">
      <c r="A42" s="45"/>
      <c r="B42" s="49"/>
      <c r="C42" s="49"/>
      <c r="D42" s="45"/>
      <c r="E42" s="45"/>
      <c r="F42" s="45"/>
      <c r="G42" s="44"/>
      <c r="H42" s="44"/>
      <c r="I42" s="44"/>
      <c r="J42" s="50"/>
      <c r="K42" s="50"/>
      <c r="L42" s="47"/>
      <c r="M42" s="46"/>
      <c r="N42" s="48"/>
      <c r="O42" s="48"/>
      <c r="P42" s="48"/>
      <c r="Q42" s="48"/>
      <c r="R42" s="48"/>
      <c r="S42" s="48"/>
      <c r="T42" s="46"/>
      <c r="U42" s="46"/>
      <c r="V42" s="48"/>
      <c r="W42" s="48"/>
      <c r="X42" s="48"/>
      <c r="Y42" s="48"/>
      <c r="Z42" s="48"/>
      <c r="AA42" s="48"/>
      <c r="AB42" s="48"/>
      <c r="AC42" s="48"/>
      <c r="AD42" s="48"/>
      <c r="AE42" s="45"/>
      <c r="AF42" s="45"/>
    </row>
    <row r="43" spans="1:35" x14ac:dyDescent="0.25">
      <c r="A43" s="45"/>
      <c r="B43" s="49"/>
      <c r="C43" s="49"/>
      <c r="D43" s="45"/>
      <c r="E43" s="45"/>
      <c r="F43" s="45"/>
      <c r="G43" s="44"/>
      <c r="H43" s="44"/>
      <c r="I43" s="44"/>
      <c r="J43" s="50"/>
      <c r="K43" s="50"/>
      <c r="L43" s="47"/>
      <c r="M43" s="46"/>
      <c r="N43" s="48"/>
      <c r="O43" s="48"/>
      <c r="P43" s="48"/>
      <c r="Q43" s="48"/>
      <c r="R43" s="48"/>
      <c r="S43" s="48"/>
      <c r="T43" s="46"/>
      <c r="U43" s="46"/>
      <c r="V43" s="48"/>
      <c r="W43" s="48"/>
      <c r="X43" s="48"/>
      <c r="Y43" s="48"/>
      <c r="Z43" s="48"/>
      <c r="AA43" s="48"/>
      <c r="AB43" s="48"/>
      <c r="AC43" s="48"/>
      <c r="AD43" s="48"/>
      <c r="AE43" s="45"/>
      <c r="AF43" s="45"/>
    </row>
    <row r="44" spans="1:35" x14ac:dyDescent="0.25">
      <c r="A44" s="45"/>
      <c r="B44" s="49"/>
      <c r="C44" s="49"/>
      <c r="D44" s="45"/>
      <c r="E44" s="45"/>
      <c r="F44" s="50"/>
      <c r="G44" s="44"/>
      <c r="H44" s="44"/>
      <c r="I44" s="44"/>
      <c r="J44" s="50"/>
      <c r="K44" s="50"/>
      <c r="L44" s="47"/>
      <c r="M44" s="46"/>
      <c r="N44" s="48"/>
      <c r="O44" s="48"/>
      <c r="P44" s="48"/>
      <c r="Q44" s="48"/>
      <c r="R44" s="48"/>
      <c r="S44" s="48"/>
      <c r="T44" s="46"/>
      <c r="U44" s="46"/>
      <c r="V44" s="48"/>
      <c r="W44" s="48"/>
      <c r="X44" s="48"/>
      <c r="Y44" s="48"/>
      <c r="Z44" s="48"/>
      <c r="AA44" s="48"/>
      <c r="AB44" s="48"/>
      <c r="AC44" s="48"/>
      <c r="AD44" s="48"/>
      <c r="AE44" s="45"/>
      <c r="AF44" s="45"/>
    </row>
    <row r="45" spans="1:35" x14ac:dyDescent="0.25">
      <c r="A45" s="45"/>
      <c r="B45" s="49"/>
      <c r="C45" s="49"/>
      <c r="D45" s="45"/>
      <c r="E45" s="45"/>
      <c r="F45" s="50"/>
      <c r="G45" s="44"/>
      <c r="H45" s="44"/>
      <c r="I45" s="44"/>
      <c r="J45" s="50"/>
      <c r="K45" s="50"/>
      <c r="L45" s="47"/>
      <c r="M45" s="46"/>
      <c r="N45" s="48"/>
      <c r="O45" s="48"/>
      <c r="P45" s="48"/>
      <c r="Q45" s="48"/>
      <c r="R45" s="48"/>
      <c r="S45" s="48"/>
      <c r="T45" s="46"/>
      <c r="U45" s="46"/>
      <c r="V45" s="48"/>
      <c r="W45" s="48"/>
      <c r="X45" s="48"/>
      <c r="Y45" s="48"/>
      <c r="Z45" s="48"/>
      <c r="AA45" s="48"/>
      <c r="AB45" s="48"/>
      <c r="AC45" s="48"/>
      <c r="AD45" s="48"/>
      <c r="AE45" s="45"/>
      <c r="AF45" s="45"/>
    </row>
    <row r="46" spans="1:35" x14ac:dyDescent="0.25">
      <c r="A46" s="45"/>
      <c r="B46" s="49"/>
      <c r="C46" s="49"/>
      <c r="D46" s="45"/>
      <c r="E46" s="45"/>
      <c r="F46" s="50"/>
      <c r="G46" s="44"/>
      <c r="H46" s="44"/>
      <c r="I46" s="44"/>
      <c r="J46" s="50"/>
      <c r="K46" s="50"/>
      <c r="L46" s="47"/>
      <c r="M46" s="46"/>
      <c r="N46" s="48"/>
      <c r="O46" s="48"/>
      <c r="P46" s="48"/>
      <c r="Q46" s="48"/>
      <c r="R46" s="48"/>
      <c r="S46" s="48"/>
      <c r="T46" s="46"/>
      <c r="U46" s="46"/>
      <c r="V46" s="48"/>
      <c r="W46" s="48"/>
      <c r="X46" s="48"/>
      <c r="Y46" s="48"/>
      <c r="Z46" s="48"/>
      <c r="AA46" s="48"/>
      <c r="AB46" s="48"/>
      <c r="AC46" s="48"/>
      <c r="AD46" s="48"/>
      <c r="AE46" s="45"/>
      <c r="AF46" s="45"/>
    </row>
    <row r="47" spans="1:35" x14ac:dyDescent="0.25">
      <c r="A47" s="45"/>
      <c r="B47" s="49"/>
      <c r="C47" s="49"/>
      <c r="D47" s="45"/>
      <c r="E47" s="45"/>
      <c r="F47" s="45"/>
      <c r="G47" s="44"/>
      <c r="H47" s="44"/>
      <c r="I47" s="44"/>
      <c r="J47" s="50"/>
      <c r="K47" s="50"/>
      <c r="L47" s="47"/>
      <c r="M47" s="46"/>
      <c r="N47" s="48"/>
      <c r="O47" s="48"/>
      <c r="P47" s="48"/>
      <c r="Q47" s="48"/>
      <c r="R47" s="48"/>
      <c r="S47" s="48"/>
      <c r="T47" s="46"/>
      <c r="U47" s="46"/>
      <c r="V47" s="48"/>
      <c r="W47" s="48"/>
      <c r="X47" s="48"/>
      <c r="Y47" s="48"/>
      <c r="Z47" s="48"/>
      <c r="AA47" s="48"/>
      <c r="AB47" s="48"/>
      <c r="AC47" s="48"/>
      <c r="AD47" s="48"/>
      <c r="AE47" s="45"/>
      <c r="AF47" s="45"/>
    </row>
    <row r="48" spans="1:35" x14ac:dyDescent="0.25">
      <c r="A48" s="45"/>
      <c r="B48" s="49"/>
      <c r="C48" s="49"/>
      <c r="D48" s="45"/>
      <c r="E48" s="45"/>
      <c r="F48" s="45"/>
      <c r="G48" s="44"/>
      <c r="H48" s="44"/>
      <c r="I48" s="44"/>
      <c r="J48" s="50"/>
      <c r="K48" s="50"/>
      <c r="L48" s="47"/>
      <c r="M48" s="46"/>
      <c r="N48" s="48"/>
      <c r="O48" s="48"/>
      <c r="P48" s="48"/>
      <c r="Q48" s="48"/>
      <c r="R48" s="48"/>
      <c r="S48" s="48"/>
      <c r="T48" s="46"/>
      <c r="U48" s="46"/>
      <c r="V48" s="48"/>
      <c r="W48" s="48"/>
      <c r="X48" s="48"/>
      <c r="Y48" s="48"/>
      <c r="Z48" s="48"/>
      <c r="AA48" s="48"/>
      <c r="AB48" s="48"/>
      <c r="AC48" s="48"/>
      <c r="AD48" s="48"/>
      <c r="AE48" s="45"/>
      <c r="AF48" s="45"/>
    </row>
    <row r="49" spans="1:36" x14ac:dyDescent="0.25">
      <c r="A49" s="45"/>
      <c r="B49" s="49"/>
      <c r="C49" s="49"/>
      <c r="D49" s="45"/>
      <c r="E49" s="45"/>
      <c r="F49" s="45"/>
      <c r="G49" s="44"/>
      <c r="H49" s="44"/>
      <c r="I49" s="44"/>
      <c r="J49" s="50"/>
      <c r="K49" s="50"/>
      <c r="L49" s="47"/>
      <c r="M49" s="46"/>
      <c r="N49" s="48"/>
      <c r="O49" s="48"/>
      <c r="P49" s="48"/>
      <c r="Q49" s="48"/>
      <c r="R49" s="48"/>
      <c r="S49" s="48"/>
      <c r="T49" s="46"/>
      <c r="U49" s="46"/>
      <c r="V49" s="48"/>
      <c r="W49" s="48"/>
      <c r="X49" s="48"/>
      <c r="Y49" s="48"/>
      <c r="Z49" s="48"/>
      <c r="AA49" s="48"/>
      <c r="AB49" s="48"/>
      <c r="AC49" s="48"/>
      <c r="AD49" s="48"/>
      <c r="AE49" s="45"/>
      <c r="AF49" s="45"/>
    </row>
    <row r="50" spans="1:36" x14ac:dyDescent="0.25">
      <c r="A50" s="45"/>
      <c r="B50" s="49"/>
      <c r="C50" s="49"/>
      <c r="D50" s="45"/>
      <c r="E50" s="45"/>
      <c r="F50" s="45"/>
      <c r="G50" s="44"/>
      <c r="H50" s="44"/>
      <c r="I50" s="44"/>
      <c r="J50" s="50"/>
      <c r="K50" s="50"/>
      <c r="L50" s="47"/>
      <c r="M50" s="46"/>
      <c r="N50" s="48"/>
      <c r="O50" s="48"/>
      <c r="P50" s="48"/>
      <c r="Q50" s="48"/>
      <c r="R50" s="48"/>
      <c r="S50" s="48"/>
      <c r="T50" s="46"/>
      <c r="U50" s="46"/>
      <c r="V50" s="48"/>
      <c r="W50" s="48"/>
      <c r="X50" s="48"/>
      <c r="Y50" s="48"/>
      <c r="Z50" s="48"/>
      <c r="AA50" s="48"/>
      <c r="AB50" s="48"/>
      <c r="AC50" s="48"/>
      <c r="AD50" s="48"/>
      <c r="AE50" s="45"/>
      <c r="AF50" s="45"/>
    </row>
    <row r="51" spans="1:36" x14ac:dyDescent="0.25">
      <c r="A51" s="45"/>
      <c r="B51" s="49"/>
      <c r="C51" s="49"/>
      <c r="D51" s="45"/>
      <c r="E51" s="45"/>
      <c r="F51" s="50"/>
      <c r="G51" s="44"/>
      <c r="H51" s="44"/>
      <c r="I51" s="44"/>
      <c r="J51" s="50"/>
      <c r="K51" s="50"/>
      <c r="L51" s="47"/>
      <c r="M51" s="46"/>
      <c r="N51" s="48"/>
      <c r="O51" s="48"/>
      <c r="P51" s="48"/>
      <c r="Q51" s="48"/>
      <c r="R51" s="48"/>
      <c r="S51" s="48"/>
      <c r="T51" s="46"/>
      <c r="U51" s="46"/>
      <c r="V51" s="48"/>
      <c r="W51" s="48"/>
      <c r="X51" s="48"/>
      <c r="Y51" s="48"/>
      <c r="Z51" s="48"/>
      <c r="AA51" s="48"/>
      <c r="AB51" s="48"/>
      <c r="AC51" s="48"/>
      <c r="AD51" s="48"/>
      <c r="AE51" s="45"/>
      <c r="AF51" s="45"/>
    </row>
    <row r="52" spans="1:36" x14ac:dyDescent="0.25">
      <c r="A52" s="45"/>
      <c r="B52" s="49"/>
      <c r="C52" s="49"/>
      <c r="D52" s="45"/>
      <c r="E52" s="45"/>
      <c r="F52" s="45"/>
      <c r="G52" s="44"/>
      <c r="H52" s="44"/>
      <c r="I52" s="44"/>
      <c r="J52" s="50"/>
      <c r="K52" s="50"/>
      <c r="L52" s="47"/>
      <c r="M52" s="46"/>
      <c r="N52" s="48"/>
      <c r="O52" s="48"/>
      <c r="P52" s="48"/>
      <c r="Q52" s="48"/>
      <c r="R52" s="48"/>
      <c r="S52" s="48"/>
      <c r="T52" s="46"/>
      <c r="U52" s="46"/>
      <c r="V52" s="48"/>
      <c r="W52" s="48"/>
      <c r="X52" s="48"/>
      <c r="Y52" s="48"/>
      <c r="Z52" s="48"/>
      <c r="AA52" s="48"/>
      <c r="AB52" s="48"/>
      <c r="AC52" s="48"/>
      <c r="AD52" s="48"/>
      <c r="AE52" s="45"/>
      <c r="AF52" s="45"/>
    </row>
    <row r="53" spans="1:36" x14ac:dyDescent="0.25">
      <c r="A53" s="45"/>
      <c r="B53" s="49"/>
      <c r="C53" s="49"/>
      <c r="D53" s="45"/>
      <c r="E53" s="45"/>
      <c r="F53" s="50"/>
      <c r="G53" s="44"/>
      <c r="H53" s="44"/>
      <c r="I53" s="44"/>
      <c r="J53" s="50"/>
      <c r="K53" s="50"/>
      <c r="L53" s="47"/>
      <c r="M53" s="46"/>
      <c r="N53" s="48"/>
      <c r="O53" s="48"/>
      <c r="P53" s="48"/>
      <c r="Q53" s="48"/>
      <c r="R53" s="48"/>
      <c r="S53" s="48"/>
      <c r="T53" s="46"/>
      <c r="U53" s="46"/>
      <c r="V53" s="48"/>
      <c r="W53" s="48"/>
      <c r="X53" s="48"/>
      <c r="Y53" s="48"/>
      <c r="Z53" s="48"/>
      <c r="AA53" s="48"/>
      <c r="AB53" s="48"/>
      <c r="AC53" s="48"/>
      <c r="AD53" s="48"/>
      <c r="AE53" s="45"/>
      <c r="AF53" s="45"/>
    </row>
    <row r="54" spans="1:36" x14ac:dyDescent="0.25">
      <c r="A54" s="45"/>
      <c r="B54" s="49"/>
      <c r="C54" s="49"/>
      <c r="D54" s="45"/>
      <c r="E54" s="45"/>
      <c r="F54" s="45"/>
      <c r="G54" s="44"/>
      <c r="H54" s="44"/>
      <c r="I54" s="44"/>
      <c r="J54" s="50"/>
      <c r="K54" s="50"/>
      <c r="L54" s="47"/>
      <c r="M54" s="46"/>
      <c r="N54" s="48"/>
      <c r="O54" s="48"/>
      <c r="P54" s="48"/>
      <c r="Q54" s="48"/>
      <c r="R54" s="48"/>
      <c r="S54" s="48"/>
      <c r="T54" s="46"/>
      <c r="U54" s="46"/>
      <c r="V54" s="48"/>
      <c r="W54" s="48"/>
      <c r="X54" s="48"/>
      <c r="Y54" s="48"/>
      <c r="Z54" s="48"/>
      <c r="AA54" s="48"/>
      <c r="AB54" s="48"/>
      <c r="AC54" s="48"/>
      <c r="AD54" s="48"/>
      <c r="AE54" s="45"/>
      <c r="AF54" s="45"/>
    </row>
    <row r="55" spans="1:36" x14ac:dyDescent="0.25">
      <c r="A55" s="45"/>
      <c r="B55" s="49"/>
      <c r="C55" s="49"/>
      <c r="D55" s="45"/>
      <c r="E55" s="45"/>
      <c r="F55" s="45"/>
      <c r="G55" s="44"/>
      <c r="H55" s="44"/>
      <c r="I55" s="44"/>
      <c r="J55" s="50"/>
      <c r="K55" s="50"/>
      <c r="L55" s="47"/>
      <c r="M55" s="46"/>
      <c r="N55" s="48"/>
      <c r="O55" s="48"/>
      <c r="P55" s="48"/>
      <c r="Q55" s="48"/>
      <c r="R55" s="48"/>
      <c r="S55" s="48"/>
      <c r="T55" s="46"/>
      <c r="U55" s="46"/>
      <c r="V55" s="48"/>
      <c r="W55" s="48"/>
      <c r="X55" s="48"/>
      <c r="Y55" s="48"/>
      <c r="Z55" s="48"/>
      <c r="AA55" s="48"/>
      <c r="AB55" s="48"/>
      <c r="AC55" s="48"/>
      <c r="AD55" s="48"/>
      <c r="AE55" s="45"/>
      <c r="AF55" s="45"/>
    </row>
    <row r="56" spans="1:36" x14ac:dyDescent="0.25">
      <c r="A56" s="45"/>
      <c r="B56" s="49"/>
      <c r="C56" s="51"/>
      <c r="D56" s="45"/>
      <c r="E56" s="45"/>
      <c r="F56" s="51"/>
      <c r="G56" s="44"/>
      <c r="H56" s="44"/>
      <c r="I56" s="44"/>
      <c r="J56" s="50"/>
      <c r="K56" s="50"/>
      <c r="L56" s="47"/>
      <c r="M56" s="46"/>
      <c r="N56" s="48"/>
      <c r="O56" s="48"/>
      <c r="P56" s="48"/>
      <c r="Q56" s="48"/>
      <c r="R56" s="48"/>
      <c r="S56" s="48"/>
      <c r="T56" s="46"/>
      <c r="U56" s="46"/>
      <c r="V56" s="48"/>
      <c r="W56" s="48"/>
      <c r="X56" s="48"/>
      <c r="Y56" s="48"/>
      <c r="Z56" s="48"/>
      <c r="AA56" s="48"/>
      <c r="AB56" s="48"/>
      <c r="AC56" s="48"/>
      <c r="AD56" s="48"/>
      <c r="AE56" s="45"/>
      <c r="AF56" s="45"/>
    </row>
    <row r="57" spans="1:36" x14ac:dyDescent="0.25">
      <c r="A57" s="45"/>
      <c r="B57" s="49"/>
      <c r="C57" s="49"/>
      <c r="D57" s="45"/>
      <c r="E57" s="45"/>
      <c r="F57" s="45"/>
      <c r="G57" s="44"/>
      <c r="H57" s="44"/>
      <c r="I57" s="44"/>
      <c r="J57" s="50"/>
      <c r="K57" s="50"/>
      <c r="L57" s="47"/>
      <c r="M57" s="46"/>
      <c r="N57" s="48"/>
      <c r="O57" s="48"/>
      <c r="P57" s="48"/>
      <c r="Q57" s="48"/>
      <c r="R57" s="48"/>
      <c r="S57" s="48"/>
      <c r="T57" s="46"/>
      <c r="U57" s="46"/>
      <c r="V57" s="48"/>
      <c r="W57" s="48"/>
      <c r="X57" s="48"/>
      <c r="Y57" s="48"/>
      <c r="Z57" s="48"/>
      <c r="AA57" s="48"/>
      <c r="AB57" s="48"/>
      <c r="AC57" s="48"/>
      <c r="AD57" s="48"/>
      <c r="AE57" s="45"/>
      <c r="AF57" s="45"/>
    </row>
    <row r="58" spans="1:36" x14ac:dyDescent="0.25">
      <c r="A58" s="45"/>
      <c r="B58" s="49"/>
      <c r="C58" s="49"/>
      <c r="D58" s="45"/>
      <c r="E58" s="45"/>
      <c r="F58" s="45"/>
      <c r="G58" s="44"/>
      <c r="H58" s="44"/>
      <c r="I58" s="44"/>
      <c r="J58" s="50"/>
      <c r="K58" s="50"/>
      <c r="L58" s="47"/>
      <c r="M58" s="46"/>
      <c r="N58" s="48"/>
      <c r="O58" s="48"/>
      <c r="P58" s="48"/>
      <c r="Q58" s="48"/>
      <c r="R58" s="48"/>
      <c r="S58" s="48"/>
      <c r="T58" s="46"/>
      <c r="U58" s="46"/>
      <c r="V58" s="48"/>
      <c r="W58" s="48"/>
      <c r="X58" s="48"/>
      <c r="Y58" s="48"/>
      <c r="Z58" s="48"/>
      <c r="AA58" s="48"/>
      <c r="AB58" s="48"/>
      <c r="AC58" s="48"/>
      <c r="AD58" s="48"/>
      <c r="AE58" s="45"/>
      <c r="AF58" s="45"/>
    </row>
    <row r="59" spans="1:36" x14ac:dyDescent="0.25">
      <c r="A59" s="45"/>
      <c r="B59" s="49"/>
      <c r="C59" s="49"/>
      <c r="D59" s="45"/>
      <c r="E59" s="45"/>
      <c r="F59" s="45"/>
      <c r="G59" s="44"/>
      <c r="H59" s="44"/>
      <c r="I59" s="44"/>
      <c r="J59" s="50"/>
      <c r="K59" s="50"/>
      <c r="L59" s="47"/>
      <c r="M59" s="46"/>
      <c r="N59" s="48"/>
      <c r="O59" s="48"/>
      <c r="P59" s="48"/>
      <c r="Q59" s="48"/>
      <c r="R59" s="48"/>
      <c r="S59" s="48"/>
      <c r="T59" s="46"/>
      <c r="U59" s="46"/>
      <c r="V59" s="48"/>
      <c r="W59" s="48"/>
      <c r="X59" s="48"/>
      <c r="Y59" s="48"/>
      <c r="Z59" s="48"/>
      <c r="AA59" s="48"/>
      <c r="AB59" s="48"/>
      <c r="AC59" s="48"/>
      <c r="AD59" s="48"/>
      <c r="AE59" s="45"/>
      <c r="AF59" s="45"/>
    </row>
    <row r="60" spans="1:36" x14ac:dyDescent="0.25">
      <c r="A60" s="45"/>
      <c r="B60" s="49"/>
      <c r="C60" s="49"/>
      <c r="D60" s="45"/>
      <c r="E60" s="45"/>
      <c r="F60" s="50"/>
      <c r="G60" s="44"/>
      <c r="H60" s="44"/>
      <c r="I60" s="44"/>
      <c r="J60" s="50"/>
      <c r="K60" s="50"/>
      <c r="L60" s="47"/>
      <c r="M60" s="46"/>
      <c r="N60" s="48"/>
      <c r="O60" s="48"/>
      <c r="P60" s="48"/>
      <c r="Q60" s="48"/>
      <c r="R60" s="48"/>
      <c r="S60" s="48"/>
      <c r="T60" s="46"/>
      <c r="U60" s="46"/>
      <c r="V60" s="48"/>
      <c r="W60" s="48"/>
      <c r="X60" s="48"/>
      <c r="Y60" s="48"/>
      <c r="Z60" s="48"/>
      <c r="AA60" s="48"/>
      <c r="AB60" s="48"/>
      <c r="AC60" s="48"/>
      <c r="AD60" s="48"/>
      <c r="AE60" s="45"/>
      <c r="AF60" s="45"/>
      <c r="AH60" s="45"/>
      <c r="AI60" s="45"/>
      <c r="AJ60" s="45"/>
    </row>
    <row r="61" spans="1:36" x14ac:dyDescent="0.25">
      <c r="A61" s="45"/>
      <c r="B61" s="49"/>
      <c r="C61" s="49"/>
      <c r="D61" s="45"/>
      <c r="E61" s="45"/>
      <c r="F61" s="50"/>
      <c r="G61" s="44"/>
      <c r="H61" s="44"/>
      <c r="I61" s="44"/>
      <c r="J61" s="50"/>
      <c r="K61" s="50"/>
      <c r="L61" s="47"/>
      <c r="M61" s="46"/>
      <c r="N61" s="48"/>
      <c r="O61" s="48"/>
      <c r="P61" s="48"/>
      <c r="Q61" s="48"/>
      <c r="R61" s="48"/>
      <c r="S61" s="48"/>
      <c r="T61" s="46"/>
      <c r="U61" s="46"/>
      <c r="V61" s="48"/>
      <c r="W61" s="48"/>
      <c r="X61" s="48"/>
      <c r="Y61" s="48"/>
      <c r="Z61" s="48"/>
      <c r="AA61" s="48"/>
      <c r="AB61" s="48"/>
      <c r="AC61" s="48"/>
      <c r="AD61" s="48"/>
      <c r="AE61" s="45"/>
      <c r="AF61" s="45"/>
      <c r="AH61" s="45"/>
      <c r="AI61" s="45"/>
      <c r="AJ61" s="45"/>
    </row>
    <row r="62" spans="1:36" x14ac:dyDescent="0.25">
      <c r="A62" s="41"/>
      <c r="C62" s="2"/>
      <c r="D62" s="43"/>
      <c r="E62" s="43"/>
      <c r="F62" s="43"/>
      <c r="G62" s="43"/>
      <c r="H62" s="43"/>
      <c r="I62" s="10"/>
      <c r="J62" s="10"/>
      <c r="K62" s="10"/>
      <c r="L62" s="10"/>
      <c r="M62" s="10"/>
      <c r="V62" s="2"/>
      <c r="W62" s="14"/>
      <c r="X62" s="2"/>
      <c r="Y62" s="2"/>
      <c r="Z62" s="2"/>
      <c r="AH62" s="45"/>
      <c r="AI62" s="45"/>
      <c r="AJ62" s="45"/>
    </row>
    <row r="63" spans="1:36" x14ac:dyDescent="0.25">
      <c r="A63" s="41"/>
      <c r="C63" s="2"/>
      <c r="D63" s="43"/>
      <c r="E63" s="43"/>
      <c r="F63" s="43"/>
      <c r="G63" s="43"/>
      <c r="H63" s="43"/>
      <c r="I63" s="10"/>
      <c r="J63" s="10"/>
      <c r="K63" s="10"/>
      <c r="L63" s="10"/>
      <c r="M63" s="10"/>
      <c r="V63" s="2"/>
      <c r="W63" s="14"/>
      <c r="X63" s="2"/>
      <c r="Y63" s="2"/>
      <c r="Z63" s="2"/>
      <c r="AH63" s="45"/>
      <c r="AI63" s="45"/>
      <c r="AJ63" s="45"/>
    </row>
    <row r="64" spans="1:36" x14ac:dyDescent="0.25">
      <c r="A64" s="41"/>
      <c r="C64" s="2"/>
      <c r="D64" s="43"/>
      <c r="E64" s="43"/>
      <c r="F64" s="43"/>
      <c r="G64" s="43"/>
      <c r="H64" s="43"/>
      <c r="I64" s="10"/>
      <c r="J64" s="10"/>
      <c r="K64" s="10"/>
      <c r="L64" s="10"/>
      <c r="M64" s="10"/>
      <c r="V64" s="2"/>
      <c r="W64" s="14"/>
      <c r="X64" s="2"/>
      <c r="Y64" s="2"/>
      <c r="Z64" s="2"/>
      <c r="AH64" s="45"/>
      <c r="AI64" s="45"/>
      <c r="AJ64" s="45"/>
    </row>
    <row r="65" spans="1:36" x14ac:dyDescent="0.25">
      <c r="A65" s="41"/>
      <c r="C65" s="2"/>
      <c r="D65" s="43"/>
      <c r="E65" s="43"/>
      <c r="F65" s="43"/>
      <c r="G65" s="43"/>
      <c r="H65" s="43"/>
      <c r="I65" s="10"/>
      <c r="J65" s="10"/>
      <c r="K65" s="10"/>
      <c r="L65" s="10"/>
      <c r="M65" s="10"/>
      <c r="V65" s="2"/>
      <c r="W65" s="14"/>
      <c r="X65" s="2"/>
      <c r="Y65" s="2"/>
      <c r="Z65" s="2"/>
      <c r="AH65" s="45"/>
      <c r="AI65" s="45"/>
      <c r="AJ65" s="45"/>
    </row>
    <row r="66" spans="1:36" x14ac:dyDescent="0.25">
      <c r="A66" s="41"/>
      <c r="C66" s="2"/>
      <c r="D66" s="43"/>
      <c r="E66" s="43"/>
      <c r="F66" s="43"/>
      <c r="G66" s="43"/>
      <c r="H66" s="43"/>
      <c r="I66" s="10"/>
      <c r="J66" s="10"/>
      <c r="K66" s="10"/>
      <c r="L66" s="10"/>
      <c r="M66" s="10"/>
      <c r="V66" s="2"/>
      <c r="W66" s="14"/>
      <c r="X66" s="2"/>
      <c r="Y66" s="2"/>
      <c r="Z66" s="2"/>
      <c r="AH66" s="45"/>
      <c r="AI66" s="45"/>
      <c r="AJ66" s="45"/>
    </row>
    <row r="67" spans="1:36" x14ac:dyDescent="0.25">
      <c r="A67" s="41"/>
      <c r="C67" s="2"/>
      <c r="D67" s="43"/>
      <c r="E67" s="43"/>
      <c r="F67" s="43"/>
      <c r="G67" s="43"/>
      <c r="H67" s="43"/>
      <c r="I67" s="10"/>
      <c r="J67" s="10"/>
      <c r="K67" s="10"/>
      <c r="L67" s="10"/>
      <c r="M67" s="10"/>
      <c r="V67" s="2"/>
      <c r="W67" s="14"/>
      <c r="X67" s="2"/>
      <c r="Y67" s="2"/>
      <c r="Z67" s="2"/>
    </row>
    <row r="68" spans="1:36" x14ac:dyDescent="0.25">
      <c r="A68" s="41"/>
      <c r="C68" s="2"/>
      <c r="D68" s="43"/>
      <c r="E68" s="43"/>
      <c r="F68" s="43"/>
      <c r="G68" s="43"/>
      <c r="H68" s="43"/>
      <c r="I68" s="10"/>
      <c r="J68" s="10"/>
      <c r="K68" s="10"/>
      <c r="L68" s="10"/>
      <c r="M68" s="10"/>
      <c r="V68" s="2"/>
      <c r="W68" s="14"/>
      <c r="X68" s="2"/>
      <c r="Y68" s="2"/>
      <c r="Z68" s="2"/>
      <c r="AA68" s="2"/>
    </row>
    <row r="69" spans="1:36" x14ac:dyDescent="0.25">
      <c r="A69" s="41"/>
      <c r="C69" s="2"/>
      <c r="D69" s="43"/>
      <c r="E69" s="43"/>
      <c r="F69" s="43"/>
      <c r="G69" s="43"/>
      <c r="H69" s="43"/>
      <c r="I69" s="10"/>
      <c r="J69" s="10"/>
      <c r="K69" s="10"/>
      <c r="L69" s="10"/>
      <c r="M69" s="10"/>
      <c r="V69" s="2"/>
      <c r="W69" s="14"/>
      <c r="X69" s="2"/>
      <c r="Y69" s="2"/>
      <c r="Z69" s="2"/>
      <c r="AA69" s="2"/>
    </row>
    <row r="70" spans="1:36" x14ac:dyDescent="0.25">
      <c r="A70" s="41"/>
      <c r="C70" s="2"/>
      <c r="D70" s="43"/>
      <c r="E70" s="43"/>
      <c r="F70" s="43"/>
      <c r="G70" s="43"/>
      <c r="H70" s="43"/>
      <c r="I70" s="10"/>
      <c r="J70" s="10"/>
      <c r="K70" s="10"/>
      <c r="L70" s="10"/>
      <c r="M70" s="10"/>
      <c r="V70" s="2"/>
      <c r="W70" s="14"/>
      <c r="X70" s="2"/>
      <c r="Y70" s="2"/>
      <c r="Z70" s="2"/>
      <c r="AA70" s="2"/>
    </row>
    <row r="71" spans="1:36" x14ac:dyDescent="0.25">
      <c r="A71" s="41"/>
      <c r="C71" s="2"/>
      <c r="D71" s="43"/>
      <c r="E71" s="43"/>
      <c r="F71" s="43"/>
      <c r="G71" s="43"/>
      <c r="H71" s="43"/>
      <c r="I71" s="10"/>
      <c r="J71" s="10"/>
      <c r="K71" s="10"/>
      <c r="L71" s="10"/>
      <c r="M71" s="10"/>
      <c r="W71" s="2"/>
      <c r="X71" s="14"/>
      <c r="Y71" s="2"/>
      <c r="Z71" s="2"/>
      <c r="AA71" s="2"/>
    </row>
    <row r="72" spans="1:36" x14ac:dyDescent="0.25">
      <c r="A72" s="41"/>
      <c r="C72" s="2"/>
      <c r="D72" s="43"/>
      <c r="E72" s="43"/>
      <c r="F72" s="43"/>
      <c r="G72" s="43"/>
      <c r="H72" s="43"/>
      <c r="I72" s="10"/>
      <c r="J72" s="10"/>
      <c r="K72" s="10"/>
      <c r="L72" s="10"/>
      <c r="M72" s="10"/>
      <c r="W72" s="2"/>
      <c r="X72" s="14"/>
      <c r="Y72" s="2"/>
      <c r="Z72" s="2"/>
      <c r="AA72" s="2"/>
    </row>
    <row r="73" spans="1:36" x14ac:dyDescent="0.25">
      <c r="A73" s="41"/>
      <c r="C73" s="2"/>
      <c r="D73" s="43"/>
      <c r="E73" s="43"/>
      <c r="F73" s="43"/>
      <c r="G73" s="43"/>
      <c r="H73" s="43"/>
      <c r="I73" s="10"/>
      <c r="J73" s="10"/>
      <c r="K73" s="10"/>
      <c r="L73" s="10"/>
      <c r="M73" s="10"/>
      <c r="W73" s="2"/>
      <c r="X73" s="14"/>
      <c r="Y73" s="2"/>
      <c r="Z73" s="2"/>
      <c r="AA73" s="2"/>
    </row>
    <row r="74" spans="1:36" x14ac:dyDescent="0.25">
      <c r="A74" s="41"/>
      <c r="C74" s="2"/>
      <c r="D74" s="43"/>
      <c r="E74" s="43"/>
      <c r="F74" s="43"/>
      <c r="G74" s="43"/>
      <c r="H74" s="43"/>
      <c r="I74" s="10"/>
      <c r="J74" s="10"/>
      <c r="K74" s="10"/>
      <c r="L74" s="10"/>
      <c r="M74" s="10"/>
      <c r="X74" s="14"/>
      <c r="Y74" s="2"/>
      <c r="Z74" s="2"/>
      <c r="AA74" s="2"/>
    </row>
    <row r="75" spans="1:36" x14ac:dyDescent="0.25">
      <c r="A75" s="18"/>
      <c r="C75" s="2"/>
      <c r="D75" s="43"/>
      <c r="E75" s="43"/>
      <c r="F75" s="43"/>
      <c r="G75" s="43"/>
      <c r="H75" s="43"/>
      <c r="I75" s="10"/>
      <c r="J75" s="10"/>
      <c r="K75" s="10"/>
      <c r="L75" s="10"/>
      <c r="M75" s="10"/>
      <c r="X75" s="14"/>
      <c r="Y75" s="2"/>
      <c r="Z75" s="2"/>
      <c r="AA75" s="2"/>
    </row>
    <row r="76" spans="1:36" x14ac:dyDescent="0.25">
      <c r="A76" s="18"/>
      <c r="C76" s="2"/>
      <c r="D76" s="43"/>
      <c r="E76" s="43"/>
      <c r="F76" s="43"/>
      <c r="G76" s="43"/>
      <c r="H76" s="43"/>
      <c r="I76" s="10"/>
      <c r="J76" s="10"/>
      <c r="K76" s="10"/>
      <c r="L76" s="10"/>
      <c r="M76" s="10"/>
      <c r="X76" s="14"/>
      <c r="Y76" s="2"/>
      <c r="Z76" s="2"/>
      <c r="AA76" s="2"/>
    </row>
    <row r="77" spans="1:36" x14ac:dyDescent="0.25">
      <c r="A77" s="18"/>
      <c r="C77" s="2"/>
      <c r="D77" s="43"/>
      <c r="E77" s="43"/>
      <c r="F77" s="43"/>
      <c r="G77" s="43"/>
      <c r="H77" s="43"/>
      <c r="I77" s="10"/>
      <c r="J77" s="10"/>
      <c r="K77" s="10"/>
      <c r="L77" s="10"/>
      <c r="M77" s="10"/>
      <c r="X77" s="14"/>
      <c r="Y77" s="2"/>
      <c r="Z77" s="2"/>
      <c r="AA77" s="2"/>
    </row>
    <row r="78" spans="1:36" x14ac:dyDescent="0.25">
      <c r="A78" s="18"/>
      <c r="C78" s="2"/>
      <c r="D78" s="43"/>
      <c r="E78" s="43"/>
      <c r="F78" s="43"/>
      <c r="G78" s="43"/>
      <c r="H78" s="43"/>
      <c r="I78" s="10"/>
      <c r="J78" s="10"/>
      <c r="K78" s="10"/>
      <c r="L78" s="10"/>
      <c r="M78" s="10"/>
      <c r="X78" s="14"/>
      <c r="Y78" s="2"/>
      <c r="Z78" s="2"/>
      <c r="AA78" s="2"/>
    </row>
    <row r="79" spans="1:36" x14ac:dyDescent="0.25">
      <c r="A79" s="18"/>
      <c r="C79" s="2"/>
      <c r="D79" s="43"/>
      <c r="E79" s="43"/>
      <c r="F79" s="43"/>
      <c r="G79" s="43"/>
      <c r="H79" s="43"/>
      <c r="I79" s="10"/>
      <c r="J79" s="10"/>
      <c r="K79" s="10"/>
      <c r="L79" s="10"/>
      <c r="M79" s="10"/>
      <c r="X79" s="14"/>
      <c r="Y79" s="2"/>
      <c r="Z79" s="2"/>
      <c r="AA79" s="2"/>
    </row>
    <row r="80" spans="1:36" x14ac:dyDescent="0.25">
      <c r="A80" s="18"/>
      <c r="C80" s="2"/>
      <c r="D80" s="43"/>
      <c r="E80" s="43"/>
      <c r="F80" s="43"/>
      <c r="G80" s="43"/>
      <c r="H80" s="43"/>
      <c r="I80" s="10"/>
      <c r="J80" s="10"/>
      <c r="K80" s="10"/>
      <c r="L80" s="10"/>
      <c r="M80" s="10"/>
      <c r="X80" s="14"/>
      <c r="Y80" s="2"/>
      <c r="Z80" s="2"/>
      <c r="AA80" s="2"/>
    </row>
    <row r="81" spans="1:27" x14ac:dyDescent="0.25">
      <c r="A81" s="18"/>
      <c r="C81" s="2"/>
      <c r="D81" s="43"/>
      <c r="E81" s="43"/>
      <c r="F81" s="43"/>
      <c r="G81" s="43"/>
      <c r="H81" s="43"/>
      <c r="I81" s="10"/>
      <c r="J81" s="10"/>
      <c r="K81" s="10"/>
      <c r="L81" s="10"/>
      <c r="M81" s="10"/>
      <c r="X81" s="14"/>
      <c r="Y81" s="2"/>
      <c r="Z81" s="2"/>
      <c r="AA81" s="2"/>
    </row>
    <row r="82" spans="1:27" x14ac:dyDescent="0.25">
      <c r="A82" s="18"/>
      <c r="C82" s="2"/>
      <c r="D82" s="43"/>
      <c r="E82" s="43"/>
      <c r="F82" s="43"/>
      <c r="G82" s="43"/>
      <c r="H82" s="43"/>
      <c r="I82" s="10"/>
      <c r="J82" s="10"/>
      <c r="K82" s="10"/>
      <c r="L82" s="10"/>
      <c r="M82" s="10"/>
      <c r="X82" s="14"/>
      <c r="Y82" s="2"/>
      <c r="Z82" s="2"/>
      <c r="AA82" s="2"/>
    </row>
    <row r="83" spans="1:27" x14ac:dyDescent="0.25">
      <c r="A83" s="18"/>
      <c r="C83" s="2"/>
      <c r="D83" s="43"/>
      <c r="E83" s="43"/>
      <c r="F83" s="43"/>
      <c r="G83" s="43"/>
      <c r="H83" s="43"/>
      <c r="I83" s="10"/>
      <c r="J83" s="10"/>
      <c r="K83" s="10"/>
      <c r="L83" s="10"/>
      <c r="M83" s="10"/>
      <c r="X83" s="14"/>
      <c r="Y83" s="2"/>
      <c r="Z83" s="2"/>
      <c r="AA83" s="2"/>
    </row>
    <row r="84" spans="1:27" x14ac:dyDescent="0.25">
      <c r="A84" s="18"/>
      <c r="C84" s="2"/>
      <c r="D84" s="43"/>
      <c r="E84" s="43"/>
      <c r="F84" s="43"/>
      <c r="G84" s="43"/>
      <c r="H84" s="43"/>
      <c r="I84" s="10"/>
      <c r="J84" s="10"/>
      <c r="K84" s="10"/>
      <c r="L84" s="10"/>
      <c r="M84" s="10"/>
      <c r="X84" s="14"/>
      <c r="Y84" s="2"/>
      <c r="Z84" s="2"/>
      <c r="AA84" s="2"/>
    </row>
    <row r="85" spans="1:27" x14ac:dyDescent="0.25">
      <c r="A85" s="18"/>
      <c r="C85" s="2"/>
      <c r="D85" s="43"/>
      <c r="E85" s="43"/>
      <c r="F85" s="43"/>
      <c r="G85" s="43"/>
      <c r="H85" s="43"/>
      <c r="I85" s="10"/>
      <c r="J85" s="10"/>
      <c r="K85" s="10"/>
      <c r="L85" s="10"/>
      <c r="M85" s="10"/>
      <c r="X85" s="14"/>
      <c r="Y85" s="2"/>
      <c r="Z85" s="2"/>
      <c r="AA85" s="2"/>
    </row>
  </sheetData>
  <sortState ref="AH23:AH31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4" bestFit="1" customWidth="1"/>
    <col min="4" max="4" width="11.5703125" style="34" customWidth="1"/>
    <col min="5" max="5" width="47.42578125" bestFit="1" customWidth="1"/>
    <col min="6" max="6" width="8.85546875" style="35"/>
  </cols>
  <sheetData>
    <row r="1" spans="1:8" x14ac:dyDescent="0.25">
      <c r="A1" t="s">
        <v>57</v>
      </c>
      <c r="B1" s="34" t="s">
        <v>7</v>
      </c>
      <c r="C1" s="34" t="s">
        <v>6</v>
      </c>
      <c r="D1" s="34" t="s">
        <v>58</v>
      </c>
      <c r="E1" t="s">
        <v>63</v>
      </c>
      <c r="F1" s="35" t="s">
        <v>59</v>
      </c>
      <c r="G1" s="34" t="s">
        <v>61</v>
      </c>
      <c r="H1" s="34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4">
        <f>IF(ISNUMBER(Calculations!N4),CONVERT(Calculations!N4,Units_In,Units_Out),"")</f>
        <v>3481475.9219160103</v>
      </c>
      <c r="C2" s="34">
        <f>IF(ISNUMBER(Calculations!O4),CONVERT(Calculations!O4,Units_In,Units_Out),"")</f>
        <v>1530590.1115485565</v>
      </c>
      <c r="D2" s="34" t="s">
        <v>60</v>
      </c>
      <c r="E2" s="10" t="str">
        <f>CONCATENATE("0503 ",B2,"EUSft ",C2,"NUSft")</f>
        <v>0503 3481475.92191601EUSft 1530590.11154856NUSft</v>
      </c>
      <c r="F2" s="35">
        <v>98</v>
      </c>
      <c r="G2" s="10" t="str">
        <f>IF(F2=98,"Lime",IF(F2=94,"Yellow",""))</f>
        <v>Lime</v>
      </c>
      <c r="H2" s="10" t="str">
        <f>Calculations!$A$1</f>
        <v>CSS6</v>
      </c>
    </row>
    <row r="3" spans="1:8" s="10" customFormat="1" x14ac:dyDescent="0.25">
      <c r="A3" s="10" t="str">
        <f>IF(ISNUMBER(Calculations!M5),CONCATENATE("GPS",Calculations!M5),"")</f>
        <v>GPS1</v>
      </c>
      <c r="B3" s="34">
        <f>IF(ISNUMBER(Calculations!N5),CONVERT(Calculations!N5,Units_In,Units_Out),"")</f>
        <v>3481548.2414698163</v>
      </c>
      <c r="C3" s="34">
        <f>IF(ISNUMBER(Calculations!O5),CONVERT(Calculations!O5,Units_In,Units_Out),"")</f>
        <v>1530555.1673228347</v>
      </c>
      <c r="D3" s="34" t="s">
        <v>60</v>
      </c>
      <c r="E3" s="10" t="str">
        <f t="shared" ref="E3:E4" si="0">CONCATENATE("0503 ",B3,"EUSft ",C3,"NUSft")</f>
        <v>0503 3481548.24146982EUSft 1530555.16732283NUSft</v>
      </c>
      <c r="F3" s="35">
        <v>98</v>
      </c>
      <c r="G3" s="10" t="str">
        <f t="shared" ref="G3:G65" si="1">IF(F3=98,"Lime",IF(F3=94,"Yellow",""))</f>
        <v>Lime</v>
      </c>
      <c r="H3" s="10" t="str">
        <f>Calculations!$A$1</f>
        <v>CSS6</v>
      </c>
    </row>
    <row r="4" spans="1:8" s="10" customFormat="1" x14ac:dyDescent="0.25">
      <c r="A4" s="10" t="str">
        <f>IF(ISNUMBER(Calculations!M6),CONCATENATE("GPS",Calculations!M6),"")</f>
        <v>GPS2</v>
      </c>
      <c r="B4" s="34">
        <f>IF(ISNUMBER(Calculations!N6),CONVERT(Calculations!N6,Units_In,Units_Out),"")</f>
        <v>3481422.2309711287</v>
      </c>
      <c r="C4" s="34">
        <f>IF(ISNUMBER(Calculations!O6),CONVERT(Calculations!O6,Units_In,Units_Out),"")</f>
        <v>1530599.1272965879</v>
      </c>
      <c r="D4" s="34" t="s">
        <v>60</v>
      </c>
      <c r="E4" s="10" t="str">
        <f t="shared" si="0"/>
        <v>0503 3481422.23097113EUSft 1530599.12729659NUSft</v>
      </c>
      <c r="F4" s="35">
        <v>98</v>
      </c>
      <c r="G4" s="10" t="str">
        <f t="shared" si="1"/>
        <v>Lime</v>
      </c>
      <c r="H4" s="10" t="str">
        <f>Calculations!$A$1</f>
        <v>CSS6</v>
      </c>
    </row>
    <row r="5" spans="1:8" x14ac:dyDescent="0.25">
      <c r="A5">
        <f>IF(ISNUMBER(Calculations!A21),Calculations!A21,"")</f>
        <v>1</v>
      </c>
      <c r="B5" s="34">
        <f ca="1">IF(ISNUMBER(A5),CONVERT(Calculations!T21,Units_In,Units_Out),"")</f>
        <v>3481429.9931301358</v>
      </c>
      <c r="C5" s="34">
        <f ca="1">IF(ISNUMBER(A5),CONVERT(Calculations!U21,Units_In,Units_Out),"")</f>
        <v>1530526.9745971397</v>
      </c>
      <c r="D5" s="34" t="str">
        <f>IF(ISTEXT(Calculations!F21),Calculations!F21,"")</f>
        <v>ZERO/BS</v>
      </c>
      <c r="E5" t="str">
        <f ca="1">IF(ISNUMBER(A5),CONCATENATE("0503 ",B5,"EUSft ",C5,"NUSft"),"")</f>
        <v>0503 3481429.99313014EUSft 1530526.97459714NUSft</v>
      </c>
      <c r="F5" s="35">
        <f>IF(ISNUMBER(A5),94,"")</f>
        <v>94</v>
      </c>
      <c r="G5" s="10" t="str">
        <f t="shared" si="1"/>
        <v>Yellow</v>
      </c>
      <c r="H5" s="10" t="str">
        <f>IF(ISNUMBER(A5),Calculations!$A$1,"")</f>
        <v>CSS6</v>
      </c>
    </row>
    <row r="6" spans="1:8" x14ac:dyDescent="0.25">
      <c r="A6" s="10">
        <f>IF(ISNUMBER(Calculations!A22),Calculations!A22,"")</f>
        <v>2</v>
      </c>
      <c r="B6" s="34">
        <f ca="1">IF(ISNUMBER(A6),CONVERT(Calculations!T22,Units_In,Units_Out),"")</f>
        <v>3481491.6673970106</v>
      </c>
      <c r="C6" s="34">
        <f ca="1">IF(ISNUMBER(A6),CONVERT(Calculations!U22,Units_In,Units_Out),"")</f>
        <v>1530646.6599725147</v>
      </c>
      <c r="D6" s="34" t="str">
        <f>IF(ISTEXT(Calculations!F22),Calculations!F22,"")</f>
        <v>BS</v>
      </c>
      <c r="E6" s="10" t="str">
        <f t="shared" ref="E6:E65" ca="1" si="2">IF(ISNUMBER(A6),CONCATENATE("0503 ",B6,"EUSft ",C6,"NUSft"),"")</f>
        <v>0503 3481491.66739701EUSft 1530646.65997251NUSft</v>
      </c>
      <c r="F6" s="35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CSS6</v>
      </c>
    </row>
    <row r="7" spans="1:8" x14ac:dyDescent="0.25">
      <c r="A7" s="10">
        <f>IF(ISNUMBER(Calculations!A23),Calculations!A23,"")</f>
        <v>3</v>
      </c>
      <c r="B7" s="34">
        <f ca="1">IF(ISNUMBER(A7),CONVERT(Calculations!T23,Units_In,Units_Out),"")</f>
        <v>3481491.6127437204</v>
      </c>
      <c r="C7" s="34">
        <f ca="1">IF(ISNUMBER(A7),CONVERT(Calculations!U23,Units_In,Units_Out),"")</f>
        <v>1530580.1971104494</v>
      </c>
      <c r="D7" s="34" t="str">
        <f>IF(ISTEXT(Calculations!F23),Calculations!F23,"")</f>
        <v/>
      </c>
      <c r="E7" s="10" t="str">
        <f t="shared" ca="1" si="2"/>
        <v>0503 3481491.61274372EUSft 1530580.19711045NUSft</v>
      </c>
      <c r="F7" s="35">
        <f t="shared" si="3"/>
        <v>94</v>
      </c>
      <c r="G7" s="10" t="str">
        <f t="shared" si="1"/>
        <v>Yellow</v>
      </c>
      <c r="H7" s="10" t="str">
        <f>IF(ISNUMBER(A7),Calculations!$A$1,"")</f>
        <v>CSS6</v>
      </c>
    </row>
    <row r="8" spans="1:8" x14ac:dyDescent="0.25">
      <c r="A8" s="10">
        <f>IF(ISNUMBER(Calculations!A24),Calculations!A24,"")</f>
        <v>4</v>
      </c>
      <c r="B8" s="34">
        <f ca="1">IF(ISNUMBER(A8),CONVERT(Calculations!T24,Units_In,Units_Out),"")</f>
        <v>3481496.0923834136</v>
      </c>
      <c r="C8" s="34">
        <f ca="1">IF(ISNUMBER(A8),CONVERT(Calculations!U24,Units_In,Units_Out),"")</f>
        <v>1530578.7217046204</v>
      </c>
      <c r="D8" s="34" t="str">
        <f>IF(ISTEXT(Calculations!F24),Calculations!F24,"")</f>
        <v/>
      </c>
      <c r="E8" s="10" t="str">
        <f t="shared" ca="1" si="2"/>
        <v>0503 3481496.09238341EUSft 1530578.72170462NUSft</v>
      </c>
      <c r="F8" s="35">
        <f t="shared" si="3"/>
        <v>94</v>
      </c>
      <c r="G8" s="10" t="str">
        <f t="shared" si="1"/>
        <v>Yellow</v>
      </c>
      <c r="H8" s="10" t="str">
        <f>IF(ISNUMBER(A8),Calculations!$A$1,"")</f>
        <v>CSS6</v>
      </c>
    </row>
    <row r="9" spans="1:8" x14ac:dyDescent="0.25">
      <c r="A9" s="10">
        <f>IF(ISNUMBER(Calculations!A25),Calculations!A25,"")</f>
        <v>5</v>
      </c>
      <c r="B9" s="34">
        <f ca="1">IF(ISNUMBER(A9),CONVERT(Calculations!T25,Units_In,Units_Out),"")</f>
        <v>3481499.0168900788</v>
      </c>
      <c r="C9" s="34">
        <f ca="1">IF(ISNUMBER(A9),CONVERT(Calculations!U25,Units_In,Units_Out),"")</f>
        <v>1530577.5457399334</v>
      </c>
      <c r="D9" s="34" t="str">
        <f>IF(ISTEXT(Calculations!F25),Calculations!F25,"")</f>
        <v/>
      </c>
      <c r="E9" s="10" t="str">
        <f t="shared" ca="1" si="2"/>
        <v>0503 3481499.01689008EUSft 1530577.54573993NUSft</v>
      </c>
      <c r="F9" s="35">
        <f t="shared" si="3"/>
        <v>94</v>
      </c>
      <c r="G9" s="10" t="str">
        <f t="shared" si="1"/>
        <v>Yellow</v>
      </c>
      <c r="H9" s="10" t="str">
        <f>IF(ISNUMBER(A9),Calculations!$A$1,"")</f>
        <v>CSS6</v>
      </c>
    </row>
    <row r="10" spans="1:8" x14ac:dyDescent="0.25">
      <c r="A10" s="10">
        <f>IF(ISNUMBER(Calculations!A26),Calculations!A26,"")</f>
        <v>6</v>
      </c>
      <c r="B10" s="34">
        <f ca="1">IF(ISNUMBER(A10),CONVERT(Calculations!T26,Units_In,Units_Out),"")</f>
        <v>3481501.6856403523</v>
      </c>
      <c r="C10" s="34">
        <f ca="1">IF(ISNUMBER(A10),CONVERT(Calculations!U26,Units_In,Units_Out),"")</f>
        <v>1530576.5127008834</v>
      </c>
      <c r="D10" s="34" t="str">
        <f>IF(ISTEXT(Calculations!F26),Calculations!F26,"")</f>
        <v/>
      </c>
      <c r="E10" s="10" t="str">
        <f t="shared" ca="1" si="2"/>
        <v>0503 3481501.68564035EUSft 1530576.51270088NUSft</v>
      </c>
      <c r="F10" s="35">
        <f t="shared" si="3"/>
        <v>94</v>
      </c>
      <c r="G10" s="10" t="str">
        <f t="shared" si="1"/>
        <v>Yellow</v>
      </c>
      <c r="H10" s="10" t="str">
        <f>IF(ISNUMBER(A10),Calculations!$A$1,"")</f>
        <v>CSS6</v>
      </c>
    </row>
    <row r="11" spans="1:8" x14ac:dyDescent="0.25">
      <c r="A11" s="10">
        <f>IF(ISNUMBER(Calculations!A27),Calculations!A27,"")</f>
        <v>7</v>
      </c>
      <c r="B11" s="34">
        <f ca="1">IF(ISNUMBER(A11),CONVERT(Calculations!T27,Units_In,Units_Out),"")</f>
        <v>3481502.9279667637</v>
      </c>
      <c r="C11" s="34">
        <f ca="1">IF(ISNUMBER(A11),CONVERT(Calculations!U27,Units_In,Units_Out),"")</f>
        <v>1530575.938390214</v>
      </c>
      <c r="D11" s="34" t="str">
        <f>IF(ISTEXT(Calculations!F27),Calculations!F27,"")</f>
        <v/>
      </c>
      <c r="E11" s="10" t="str">
        <f t="shared" ca="1" si="2"/>
        <v>0503 3481502.92796676EUSft 1530575.93839021NUSft</v>
      </c>
      <c r="F11" s="35">
        <f t="shared" si="3"/>
        <v>94</v>
      </c>
      <c r="G11" s="10" t="str">
        <f t="shared" si="1"/>
        <v>Yellow</v>
      </c>
      <c r="H11" s="10" t="str">
        <f>IF(ISNUMBER(A11),Calculations!$A$1,"")</f>
        <v>CSS6</v>
      </c>
    </row>
    <row r="12" spans="1:8" x14ac:dyDescent="0.25">
      <c r="A12" s="10">
        <f>IF(ISNUMBER(Calculations!A28),Calculations!A28,"")</f>
        <v>8</v>
      </c>
      <c r="B12" s="34">
        <f ca="1">IF(ISNUMBER(A12),CONVERT(Calculations!T28,Units_In,Units_Out),"")</f>
        <v>3481595.5819314034</v>
      </c>
      <c r="C12" s="34">
        <f ca="1">IF(ISNUMBER(A12),CONVERT(Calculations!U28,Units_In,Units_Out),"")</f>
        <v>1530524.9708081358</v>
      </c>
      <c r="D12" s="34" t="str">
        <f>IF(ISTEXT(Calculations!F28),Calculations!F28,"")</f>
        <v/>
      </c>
      <c r="E12" s="10" t="str">
        <f t="shared" ca="1" si="2"/>
        <v>0503 3481595.5819314EUSft 1530524.97080814NUSft</v>
      </c>
      <c r="F12" s="35">
        <f t="shared" si="3"/>
        <v>94</v>
      </c>
      <c r="G12" s="10" t="str">
        <f t="shared" si="1"/>
        <v>Yellow</v>
      </c>
      <c r="H12" s="10" t="str">
        <f>IF(ISNUMBER(A12),Calculations!$A$1,"")</f>
        <v>CSS6</v>
      </c>
    </row>
    <row r="13" spans="1:8" x14ac:dyDescent="0.25">
      <c r="A13" s="10">
        <f>IF(ISNUMBER(Calculations!A29),Calculations!A29,"")</f>
        <v>9</v>
      </c>
      <c r="B13" s="34">
        <f ca="1">IF(ISNUMBER(A13),CONVERT(Calculations!T29,Units_In,Units_Out),"")</f>
        <v>3481681.0635314533</v>
      </c>
      <c r="C13" s="34">
        <f ca="1">IF(ISNUMBER(A13),CONVERT(Calculations!U29,Units_In,Units_Out),"")</f>
        <v>1530477.5436444958</v>
      </c>
      <c r="D13" s="34" t="str">
        <f>IF(ISTEXT(Calculations!F29),Calculations!F29,"")</f>
        <v/>
      </c>
      <c r="E13" s="10" t="str">
        <f t="shared" ca="1" si="2"/>
        <v>0503 3481681.06353145EUSft 1530477.5436445NUSft</v>
      </c>
      <c r="F13" s="35">
        <f t="shared" si="3"/>
        <v>94</v>
      </c>
      <c r="G13" s="10" t="str">
        <f t="shared" si="1"/>
        <v>Yellow</v>
      </c>
      <c r="H13" s="10" t="str">
        <f>IF(ISNUMBER(A13),Calculations!$A$1,"")</f>
        <v>CSS6</v>
      </c>
    </row>
    <row r="14" spans="1:8" x14ac:dyDescent="0.25">
      <c r="A14" s="10">
        <f>IF(ISNUMBER(Calculations!A30),Calculations!A30,"")</f>
        <v>10</v>
      </c>
      <c r="B14" s="34">
        <f ca="1">IF(ISNUMBER(A14),CONVERT(Calculations!T30,Units_In,Units_Out),"")</f>
        <v>3481681.6726731686</v>
      </c>
      <c r="C14" s="34">
        <f ca="1">IF(ISNUMBER(A14),CONVERT(Calculations!U30,Units_In,Units_Out),"")</f>
        <v>1530476.8431156198</v>
      </c>
      <c r="D14" s="34" t="str">
        <f>IF(ISTEXT(Calculations!F30),Calculations!F30,"")</f>
        <v>WS</v>
      </c>
      <c r="E14" s="10" t="str">
        <f t="shared" ca="1" si="2"/>
        <v>0503 3481681.67267317EUSft 1530476.84311562NUSft</v>
      </c>
      <c r="F14" s="35">
        <f t="shared" si="3"/>
        <v>94</v>
      </c>
      <c r="G14" s="10" t="str">
        <f t="shared" si="1"/>
        <v>Yellow</v>
      </c>
      <c r="H14" s="10" t="str">
        <f>IF(ISNUMBER(A14),Calculations!$A$1,"")</f>
        <v>CSS6</v>
      </c>
    </row>
    <row r="15" spans="1:8" x14ac:dyDescent="0.25">
      <c r="A15" s="10">
        <f>IF(ISNUMBER(Calculations!A31),Calculations!A31,"")</f>
        <v>11</v>
      </c>
      <c r="B15" s="34">
        <f ca="1">IF(ISNUMBER(A15),CONVERT(Calculations!T31,Units_In,Units_Out),"")</f>
        <v>3481682.4477845901</v>
      </c>
      <c r="C15" s="34">
        <f ca="1">IF(ISNUMBER(A15),CONVERT(Calculations!U31,Units_In,Units_Out),"")</f>
        <v>1530476.4242349891</v>
      </c>
      <c r="D15" s="34" t="str">
        <f>IF(ISTEXT(Calculations!F31),Calculations!F31,"")</f>
        <v/>
      </c>
      <c r="E15" s="10" t="str">
        <f t="shared" ca="1" si="2"/>
        <v>0503 3481682.44778459EUSft 1530476.42423499NUSft</v>
      </c>
      <c r="F15" s="35">
        <f t="shared" si="3"/>
        <v>94</v>
      </c>
      <c r="G15" s="10" t="str">
        <f t="shared" si="1"/>
        <v>Yellow</v>
      </c>
      <c r="H15" s="10" t="str">
        <f>IF(ISNUMBER(A15),Calculations!$A$1,"")</f>
        <v>CSS6</v>
      </c>
    </row>
    <row r="16" spans="1:8" x14ac:dyDescent="0.25">
      <c r="A16" s="10">
        <f>IF(ISNUMBER(Calculations!A32),Calculations!A32,"")</f>
        <v>12</v>
      </c>
      <c r="B16" s="34">
        <f ca="1">IF(ISNUMBER(A16),CONVERT(Calculations!T32,Units_In,Units_Out),"")</f>
        <v>3481544.7499102964</v>
      </c>
      <c r="C16" s="34">
        <f ca="1">IF(ISNUMBER(A16),CONVERT(Calculations!U32,Units_In,Units_Out),"")</f>
        <v>1530483.9037356672</v>
      </c>
      <c r="D16" s="34" t="str">
        <f>IF(ISTEXT(Calculations!F32),Calculations!F32,"")</f>
        <v>DAM</v>
      </c>
      <c r="E16" s="10" t="str">
        <f t="shared" ca="1" si="2"/>
        <v>0503 3481544.7499103EUSft 1530483.90373567NUSft</v>
      </c>
      <c r="F16" s="35">
        <f t="shared" si="3"/>
        <v>94</v>
      </c>
      <c r="G16" s="10" t="str">
        <f t="shared" si="1"/>
        <v>Yellow</v>
      </c>
      <c r="H16" s="10" t="str">
        <f>IF(ISNUMBER(A16),Calculations!$A$1,"")</f>
        <v>CSS6</v>
      </c>
    </row>
    <row r="17" spans="1:8" x14ac:dyDescent="0.25">
      <c r="A17" s="10">
        <f>IF(ISNUMBER(Calculations!A33),Calculations!A33,"")</f>
        <v>13</v>
      </c>
      <c r="B17" s="34">
        <f ca="1">IF(ISNUMBER(A17),CONVERT(Calculations!T33,Units_In,Units_Out),"")</f>
        <v>3481491.6436066483</v>
      </c>
      <c r="C17" s="34">
        <f ca="1">IF(ISNUMBER(A17),CONVERT(Calculations!U33,Units_In,Units_Out),"")</f>
        <v>1530646.6827759168</v>
      </c>
      <c r="D17" s="34" t="str">
        <f>IF(ISTEXT(Calculations!F33),Calculations!F33,"")</f>
        <v>PT2</v>
      </c>
      <c r="E17" s="10" t="str">
        <f t="shared" ca="1" si="2"/>
        <v>0503 3481491.64360665EUSft 1530646.68277592NUSft</v>
      </c>
      <c r="F17" s="35">
        <f t="shared" si="3"/>
        <v>94</v>
      </c>
      <c r="G17" s="10" t="str">
        <f t="shared" si="1"/>
        <v>Yellow</v>
      </c>
      <c r="H17" s="10" t="str">
        <f>IF(ISNUMBER(A17),Calculations!$A$1,"")</f>
        <v>CSS6</v>
      </c>
    </row>
    <row r="18" spans="1:8" x14ac:dyDescent="0.25">
      <c r="A18" s="10">
        <f>IF(ISNUMBER(Calculations!A34),Calculations!A34,"")</f>
        <v>14</v>
      </c>
      <c r="B18" s="34">
        <f ca="1">IF(ISNUMBER(A18),CONVERT(Calculations!T34,Units_In,Units_Out),"")</f>
        <v>3481430.0447476385</v>
      </c>
      <c r="C18" s="34">
        <f ca="1">IF(ISNUMBER(A18),CONVERT(Calculations!U34,Units_In,Units_Out),"")</f>
        <v>1530527.0442687303</v>
      </c>
      <c r="D18" s="34" t="str">
        <f>IF(ISTEXT(Calculations!F34),Calculations!F34,"")</f>
        <v>PT1</v>
      </c>
      <c r="E18" s="10" t="str">
        <f t="shared" ca="1" si="2"/>
        <v>0503 3481430.04474764EUSft 1530527.04426873NUSft</v>
      </c>
      <c r="F18" s="35">
        <f t="shared" si="3"/>
        <v>94</v>
      </c>
      <c r="G18" s="10" t="str">
        <f t="shared" si="1"/>
        <v>Yellow</v>
      </c>
      <c r="H18" s="10" t="str">
        <f>IF(ISNUMBER(A18),Calculations!$A$1,"")</f>
        <v>CSS6</v>
      </c>
    </row>
    <row r="19" spans="1:8" x14ac:dyDescent="0.25">
      <c r="A19" s="10" t="str">
        <f>IF(ISNUMBER(Calculations!A35),Calculations!A35,"")</f>
        <v/>
      </c>
      <c r="B19" s="34" t="str">
        <f>IF(ISNUMBER(A19),CONVERT(Calculations!T35,Units_In,Units_Out),"")</f>
        <v/>
      </c>
      <c r="C19" s="34" t="str">
        <f>IF(ISNUMBER(A19),CONVERT(Calculations!U35,Units_In,Units_Out),"")</f>
        <v/>
      </c>
      <c r="D19" s="34" t="str">
        <f>IF(ISTEXT(Calculations!F35),Calculations!F35,"")</f>
        <v/>
      </c>
      <c r="E19" s="10" t="str">
        <f t="shared" si="2"/>
        <v/>
      </c>
      <c r="F19" s="35" t="str">
        <f t="shared" si="3"/>
        <v/>
      </c>
      <c r="G19" s="10" t="str">
        <f t="shared" si="1"/>
        <v/>
      </c>
      <c r="H19" s="10" t="str">
        <f>IF(ISNUMBER(A19),Calculations!$A$1,"")</f>
        <v/>
      </c>
    </row>
    <row r="20" spans="1:8" x14ac:dyDescent="0.25">
      <c r="A20" s="10" t="str">
        <f>IF(ISNUMBER(Calculations!A36),Calculations!A36,"")</f>
        <v/>
      </c>
      <c r="B20" s="34" t="str">
        <f>IF(ISNUMBER(A20),CONVERT(Calculations!T36,Units_In,Units_Out),"")</f>
        <v/>
      </c>
      <c r="C20" s="34" t="str">
        <f>IF(ISNUMBER(A20),CONVERT(Calculations!U36,Units_In,Units_Out),"")</f>
        <v/>
      </c>
      <c r="D20" s="34" t="str">
        <f>IF(ISTEXT(Calculations!F36),Calculations!F36,"")</f>
        <v/>
      </c>
      <c r="E20" s="10" t="str">
        <f t="shared" si="2"/>
        <v/>
      </c>
      <c r="F20" s="35" t="str">
        <f t="shared" si="3"/>
        <v/>
      </c>
      <c r="G20" s="10" t="str">
        <f t="shared" si="1"/>
        <v/>
      </c>
      <c r="H20" s="10" t="str">
        <f>IF(ISNUMBER(A20),Calculations!$A$1,"")</f>
        <v/>
      </c>
    </row>
    <row r="21" spans="1:8" x14ac:dyDescent="0.25">
      <c r="A21" s="10" t="str">
        <f>IF(ISNUMBER(Calculations!A37),Calculations!A37,"")</f>
        <v/>
      </c>
      <c r="B21" s="34" t="str">
        <f>IF(ISNUMBER(A21),CONVERT(Calculations!T37,Units_In,Units_Out),"")</f>
        <v/>
      </c>
      <c r="C21" s="34" t="str">
        <f>IF(ISNUMBER(A21),CONVERT(Calculations!U37,Units_In,Units_Out),"")</f>
        <v/>
      </c>
      <c r="D21" s="34" t="str">
        <f>IF(ISTEXT(Calculations!F37),Calculations!F37,"")</f>
        <v/>
      </c>
      <c r="E21" s="10" t="str">
        <f t="shared" si="2"/>
        <v/>
      </c>
      <c r="F21" s="35" t="str">
        <f t="shared" si="3"/>
        <v/>
      </c>
      <c r="G21" s="10" t="str">
        <f t="shared" si="1"/>
        <v/>
      </c>
      <c r="H21" s="10" t="str">
        <f>IF(ISNUMBER(A21),Calculations!$A$1,"")</f>
        <v/>
      </c>
    </row>
    <row r="22" spans="1:8" x14ac:dyDescent="0.25">
      <c r="A22" s="10" t="str">
        <f>IF(ISNUMBER(Calculations!A38),Calculations!A38,"")</f>
        <v/>
      </c>
      <c r="B22" s="34" t="str">
        <f>IF(ISNUMBER(A22),CONVERT(Calculations!T38,Units_In,Units_Out),"")</f>
        <v/>
      </c>
      <c r="C22" s="34" t="str">
        <f>IF(ISNUMBER(A22),CONVERT(Calculations!U38,Units_In,Units_Out),"")</f>
        <v/>
      </c>
      <c r="D22" s="34" t="str">
        <f>IF(ISTEXT(Calculations!F38),Calculations!F38,"")</f>
        <v/>
      </c>
      <c r="E22" s="10" t="str">
        <f t="shared" si="2"/>
        <v/>
      </c>
      <c r="F22" s="35" t="str">
        <f t="shared" si="3"/>
        <v/>
      </c>
      <c r="G22" s="10" t="str">
        <f t="shared" si="1"/>
        <v/>
      </c>
      <c r="H22" s="10" t="str">
        <f>IF(ISNUMBER(A22),Calculations!$A$1,"")</f>
        <v/>
      </c>
    </row>
    <row r="23" spans="1:8" x14ac:dyDescent="0.25">
      <c r="A23" s="10" t="str">
        <f>IF(ISNUMBER(Calculations!A39),Calculations!A39,"")</f>
        <v/>
      </c>
      <c r="B23" s="34" t="str">
        <f>IF(ISNUMBER(A23),CONVERT(Calculations!T39,Units_In,Units_Out),"")</f>
        <v/>
      </c>
      <c r="C23" s="34" t="str">
        <f>IF(ISNUMBER(A23),CONVERT(Calculations!U39,Units_In,Units_Out),"")</f>
        <v/>
      </c>
      <c r="D23" s="34" t="str">
        <f>IF(ISTEXT(Calculations!F39),Calculations!F39,"")</f>
        <v/>
      </c>
      <c r="E23" s="10" t="str">
        <f t="shared" si="2"/>
        <v/>
      </c>
      <c r="F23" s="35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IF(ISNUMBER(Calculations!A40),Calculations!A40,"")</f>
        <v/>
      </c>
      <c r="B24" s="34" t="str">
        <f>IF(ISNUMBER(A24),CONVERT(Calculations!T40,Units_In,Units_Out),"")</f>
        <v/>
      </c>
      <c r="C24" s="34" t="str">
        <f>IF(ISNUMBER(A24),CONVERT(Calculations!U40,Units_In,Units_Out),"")</f>
        <v/>
      </c>
      <c r="D24" s="34" t="str">
        <f>IF(ISTEXT(Calculations!F40),Calculations!F40,"")</f>
        <v/>
      </c>
      <c r="E24" s="10" t="str">
        <f t="shared" si="2"/>
        <v/>
      </c>
      <c r="F24" s="35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4" t="str">
        <f>IF(ISNUMBER(A25),CONVERT(Calculations!T41,Units_In,Units_Out),"")</f>
        <v/>
      </c>
      <c r="C25" s="34" t="str">
        <f>IF(ISNUMBER(A25),CONVERT(Calculations!U41,Units_In,Units_Out),"")</f>
        <v/>
      </c>
      <c r="D25" s="34" t="str">
        <f>IF(ISTEXT(Calculations!F41),Calculations!F41,"")</f>
        <v/>
      </c>
      <c r="E25" s="10" t="str">
        <f t="shared" si="2"/>
        <v/>
      </c>
      <c r="F25" s="35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4" t="str">
        <f>IF(ISNUMBER(A26),CONVERT(Calculations!T42,Units_In,Units_Out),"")</f>
        <v/>
      </c>
      <c r="C26" s="34" t="str">
        <f>IF(ISNUMBER(A26),CONVERT(Calculations!U42,Units_In,Units_Out),"")</f>
        <v/>
      </c>
      <c r="D26" s="34" t="str">
        <f>IF(ISTEXT(Calculations!F42),Calculations!F42,"")</f>
        <v/>
      </c>
      <c r="E26" s="10" t="str">
        <f t="shared" si="2"/>
        <v/>
      </c>
      <c r="F26" s="35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4" t="str">
        <f>IF(ISNUMBER(A27),CONVERT(Calculations!T43,Units_In,Units_Out),"")</f>
        <v/>
      </c>
      <c r="C27" s="34" t="str">
        <f>IF(ISNUMBER(A27),CONVERT(Calculations!U43,Units_In,Units_Out),"")</f>
        <v/>
      </c>
      <c r="D27" s="34" t="str">
        <f>IF(ISTEXT(Calculations!F43),Calculations!F43,"")</f>
        <v/>
      </c>
      <c r="E27" s="10" t="str">
        <f t="shared" si="2"/>
        <v/>
      </c>
      <c r="F27" s="35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4" t="str">
        <f>IF(ISNUMBER(A28),CONVERT(Calculations!T44,Units_In,Units_Out),"")</f>
        <v/>
      </c>
      <c r="C28" s="34" t="str">
        <f>IF(ISNUMBER(A28),CONVERT(Calculations!U44,Units_In,Units_Out),"")</f>
        <v/>
      </c>
      <c r="D28" s="34" t="str">
        <f>IF(ISTEXT(Calculations!F44),Calculations!F44,"")</f>
        <v/>
      </c>
      <c r="E28" s="10" t="str">
        <f t="shared" si="2"/>
        <v/>
      </c>
      <c r="F28" s="35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4" t="str">
        <f>IF(ISNUMBER(A29),CONVERT(Calculations!T45,Units_In,Units_Out),"")</f>
        <v/>
      </c>
      <c r="C29" s="34" t="str">
        <f>IF(ISNUMBER(A29),CONVERT(Calculations!U45,Units_In,Units_Out),"")</f>
        <v/>
      </c>
      <c r="D29" s="34" t="str">
        <f>IF(ISTEXT(Calculations!F45),Calculations!F45,"")</f>
        <v/>
      </c>
      <c r="E29" s="10" t="str">
        <f t="shared" si="2"/>
        <v/>
      </c>
      <c r="F29" s="35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4" t="str">
        <f>IF(ISNUMBER(A30),CONVERT(Calculations!T46,Units_In,Units_Out),"")</f>
        <v/>
      </c>
      <c r="C30" s="34" t="str">
        <f>IF(ISNUMBER(A30),CONVERT(Calculations!U46,Units_In,Units_Out),"")</f>
        <v/>
      </c>
      <c r="D30" s="34" t="str">
        <f>IF(ISTEXT(Calculations!F46),Calculations!F46,"")</f>
        <v/>
      </c>
      <c r="E30" s="10" t="str">
        <f t="shared" si="2"/>
        <v/>
      </c>
      <c r="F30" s="35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4" t="str">
        <f>IF(ISNUMBER(A31),CONVERT(Calculations!T47,Units_In,Units_Out),"")</f>
        <v/>
      </c>
      <c r="C31" s="34" t="str">
        <f>IF(ISNUMBER(A31),CONVERT(Calculations!U47,Units_In,Units_Out),"")</f>
        <v/>
      </c>
      <c r="D31" s="34" t="str">
        <f>IF(ISTEXT(Calculations!F47),Calculations!F47,"")</f>
        <v/>
      </c>
      <c r="E31" s="10" t="str">
        <f t="shared" si="2"/>
        <v/>
      </c>
      <c r="F31" s="35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4" t="str">
        <f>IF(ISNUMBER(A32),CONVERT(Calculations!T48,Units_In,Units_Out),"")</f>
        <v/>
      </c>
      <c r="C32" s="34" t="str">
        <f>IF(ISNUMBER(A32),CONVERT(Calculations!U48,Units_In,Units_Out),"")</f>
        <v/>
      </c>
      <c r="D32" s="34" t="str">
        <f>IF(ISTEXT(Calculations!F48),Calculations!F48,"")</f>
        <v/>
      </c>
      <c r="E32" s="10" t="str">
        <f t="shared" si="2"/>
        <v/>
      </c>
      <c r="F32" s="35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4" t="str">
        <f>IF(ISNUMBER(A33),CONVERT(Calculations!T49,Units_In,Units_Out),"")</f>
        <v/>
      </c>
      <c r="C33" s="34" t="str">
        <f>IF(ISNUMBER(A33),CONVERT(Calculations!U49,Units_In,Units_Out),"")</f>
        <v/>
      </c>
      <c r="D33" s="34" t="str">
        <f>IF(ISTEXT(Calculations!F49),Calculations!F49,"")</f>
        <v/>
      </c>
      <c r="E33" s="10" t="str">
        <f t="shared" si="2"/>
        <v/>
      </c>
      <c r="F33" s="35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4" t="str">
        <f>IF(ISNUMBER(A34),CONVERT(Calculations!T50,Units_In,Units_Out),"")</f>
        <v/>
      </c>
      <c r="C34" s="34" t="str">
        <f>IF(ISNUMBER(A34),CONVERT(Calculations!U50,Units_In,Units_Out),"")</f>
        <v/>
      </c>
      <c r="D34" s="34" t="str">
        <f>IF(ISTEXT(Calculations!F50),Calculations!F50,"")</f>
        <v/>
      </c>
      <c r="E34" s="10" t="str">
        <f t="shared" si="2"/>
        <v/>
      </c>
      <c r="F34" s="35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4" t="str">
        <f>IF(ISNUMBER(A35),CONVERT(Calculations!T51,Units_In,Units_Out),"")</f>
        <v/>
      </c>
      <c r="C35" s="34" t="str">
        <f>IF(ISNUMBER(A35),CONVERT(Calculations!U51,Units_In,Units_Out),"")</f>
        <v/>
      </c>
      <c r="D35" s="34" t="str">
        <f>IF(ISTEXT(Calculations!F51),Calculations!F51,"")</f>
        <v/>
      </c>
      <c r="E35" s="10" t="str">
        <f t="shared" si="2"/>
        <v/>
      </c>
      <c r="F35" s="35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4" t="str">
        <f>IF(ISNUMBER(A36),CONVERT(Calculations!U52,Units_In,Units_Out),"")</f>
        <v/>
      </c>
      <c r="C36" s="34" t="str">
        <f>IF(ISNUMBER(A36),CONVERT(Calculations!V52,Units_In,Units_Out),"")</f>
        <v/>
      </c>
      <c r="D36" s="34" t="str">
        <f>IF(ISTEXT(Calculations!F52),Calculations!F52,"")</f>
        <v/>
      </c>
      <c r="E36" s="10" t="str">
        <f t="shared" si="2"/>
        <v/>
      </c>
      <c r="F36" s="35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4" t="str">
        <f>IF(ISNUMBER(A37),CONVERT(Calculations!U53,Units_In,Units_Out),"")</f>
        <v/>
      </c>
      <c r="C37" s="34" t="str">
        <f>IF(ISNUMBER(A37),CONVERT(Calculations!V53,Units_In,Units_Out),"")</f>
        <v/>
      </c>
      <c r="D37" s="34" t="str">
        <f>IF(ISTEXT(Calculations!F53),Calculations!F53,"")</f>
        <v/>
      </c>
      <c r="E37" s="10" t="str">
        <f t="shared" si="2"/>
        <v/>
      </c>
      <c r="F37" s="35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4" t="str">
        <f>IF(ISNUMBER(A38),CONVERT(Calculations!#REF!,Units_In,Units_Out),"")</f>
        <v/>
      </c>
      <c r="C38" s="34" t="str">
        <f>IF(ISNUMBER(A38),CONVERT(Calculations!#REF!,Units_In,Units_Out),"")</f>
        <v/>
      </c>
      <c r="D38" s="34" t="str">
        <f>IF(ISTEXT(Calculations!#REF!),Calculations!#REF!,"")</f>
        <v/>
      </c>
      <c r="E38" s="10" t="str">
        <f t="shared" si="2"/>
        <v/>
      </c>
      <c r="F38" s="35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4" t="str">
        <f>IF(ISNUMBER(A39),CONVERT(Calculations!#REF!,Units_In,Units_Out),"")</f>
        <v/>
      </c>
      <c r="C39" s="34" t="str">
        <f>IF(ISNUMBER(A39),CONVERT(Calculations!#REF!,Units_In,Units_Out),"")</f>
        <v/>
      </c>
      <c r="D39" s="34" t="str">
        <f>IF(ISTEXT(Calculations!#REF!),Calculations!#REF!,"")</f>
        <v/>
      </c>
      <c r="E39" s="10" t="str">
        <f t="shared" si="2"/>
        <v/>
      </c>
      <c r="F39" s="35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4" t="str">
        <f>IF(ISNUMBER(A40),CONVERT(Calculations!#REF!,Units_In,Units_Out),"")</f>
        <v/>
      </c>
      <c r="C40" s="34" t="str">
        <f>IF(ISNUMBER(A40),CONVERT(Calculations!#REF!,Units_In,Units_Out),"")</f>
        <v/>
      </c>
      <c r="D40" s="34" t="str">
        <f>IF(ISTEXT(Calculations!#REF!),Calculations!#REF!,"")</f>
        <v/>
      </c>
      <c r="E40" s="10" t="str">
        <f t="shared" si="2"/>
        <v/>
      </c>
      <c r="F40" s="35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4" t="str">
        <f>IF(ISNUMBER(A41),CONVERT(Calculations!#REF!,Units_In,Units_Out),"")</f>
        <v/>
      </c>
      <c r="C41" s="34" t="str">
        <f>IF(ISNUMBER(A41),CONVERT(Calculations!#REF!,Units_In,Units_Out),"")</f>
        <v/>
      </c>
      <c r="D41" s="34" t="str">
        <f>IF(ISTEXT(Calculations!#REF!),Calculations!#REF!,"")</f>
        <v/>
      </c>
      <c r="E41" s="10" t="str">
        <f t="shared" si="2"/>
        <v/>
      </c>
      <c r="F41" s="35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4" t="str">
        <f>IF(ISNUMBER(A42),CONVERT(Calculations!#REF!,Units_In,Units_Out),"")</f>
        <v/>
      </c>
      <c r="C42" s="34" t="str">
        <f>IF(ISNUMBER(A42),CONVERT(Calculations!#REF!,Units_In,Units_Out),"")</f>
        <v/>
      </c>
      <c r="D42" s="34" t="str">
        <f>IF(ISTEXT(Calculations!#REF!),Calculations!#REF!,"")</f>
        <v/>
      </c>
      <c r="E42" s="10" t="str">
        <f t="shared" si="2"/>
        <v/>
      </c>
      <c r="F42" s="35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4" t="str">
        <f>IF(ISNUMBER(A43),CONVERT(Calculations!#REF!,Units_In,Units_Out),"")</f>
        <v/>
      </c>
      <c r="C43" s="34" t="str">
        <f>IF(ISNUMBER(A43),CONVERT(Calculations!#REF!,Units_In,Units_Out),"")</f>
        <v/>
      </c>
      <c r="D43" s="34" t="str">
        <f>IF(ISTEXT(Calculations!#REF!),Calculations!#REF!,"")</f>
        <v/>
      </c>
      <c r="E43" s="10" t="str">
        <f t="shared" si="2"/>
        <v/>
      </c>
      <c r="F43" s="35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4" t="str">
        <f>IF(ISNUMBER(A44),CONVERT(Calculations!#REF!,Units_In,Units_Out),"")</f>
        <v/>
      </c>
      <c r="C44" s="34" t="str">
        <f>IF(ISNUMBER(A44),CONVERT(Calculations!#REF!,Units_In,Units_Out),"")</f>
        <v/>
      </c>
      <c r="D44" s="34" t="str">
        <f>IF(ISTEXT(Calculations!#REF!),Calculations!#REF!,"")</f>
        <v/>
      </c>
      <c r="E44" s="10" t="str">
        <f t="shared" si="2"/>
        <v/>
      </c>
      <c r="F44" s="35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4" t="str">
        <f>IF(ISNUMBER(A45),CONVERT(Calculations!#REF!,Units_In,Units_Out),"")</f>
        <v/>
      </c>
      <c r="C45" s="34" t="str">
        <f>IF(ISNUMBER(A45),CONVERT(Calculations!#REF!,Units_In,Units_Out),"")</f>
        <v/>
      </c>
      <c r="D45" s="34" t="str">
        <f>IF(ISTEXT(Calculations!#REF!),Calculations!#REF!,"")</f>
        <v/>
      </c>
      <c r="E45" s="10" t="str">
        <f t="shared" si="2"/>
        <v/>
      </c>
      <c r="F45" s="35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4" t="str">
        <f>IF(ISNUMBER(A46),CONVERT(Calculations!#REF!,Units_In,Units_Out),"")</f>
        <v/>
      </c>
      <c r="C46" s="34" t="str">
        <f>IF(ISNUMBER(A46),CONVERT(Calculations!#REF!,Units_In,Units_Out),"")</f>
        <v/>
      </c>
      <c r="D46" s="34" t="str">
        <f>IF(ISTEXT(Calculations!#REF!),Calculations!#REF!,"")</f>
        <v/>
      </c>
      <c r="E46" s="10" t="str">
        <f t="shared" si="2"/>
        <v/>
      </c>
      <c r="F46" s="35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4" t="str">
        <f>IF(ISNUMBER(A47),CONVERT(Calculations!#REF!,Units_In,Units_Out),"")</f>
        <v/>
      </c>
      <c r="C47" s="34" t="str">
        <f>IF(ISNUMBER(A47),CONVERT(Calculations!#REF!,Units_In,Units_Out),"")</f>
        <v/>
      </c>
      <c r="D47" s="34" t="str">
        <f>IF(ISTEXT(Calculations!#REF!),Calculations!#REF!,"")</f>
        <v/>
      </c>
      <c r="E47" s="10" t="str">
        <f t="shared" si="2"/>
        <v/>
      </c>
      <c r="F47" s="35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4" t="str">
        <f>IF(ISNUMBER(A48),CONVERT(Calculations!#REF!,Units_In,Units_Out),"")</f>
        <v/>
      </c>
      <c r="C48" s="34" t="str">
        <f>IF(ISNUMBER(A48),CONVERT(Calculations!#REF!,Units_In,Units_Out),"")</f>
        <v/>
      </c>
      <c r="D48" s="34" t="str">
        <f>IF(ISTEXT(Calculations!#REF!),Calculations!#REF!,"")</f>
        <v/>
      </c>
      <c r="E48" s="10" t="str">
        <f t="shared" si="2"/>
        <v/>
      </c>
      <c r="F48" s="35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4" t="str">
        <f>IF(ISNUMBER(A49),CONVERT(Calculations!#REF!,Units_In,Units_Out),"")</f>
        <v/>
      </c>
      <c r="C49" s="34" t="str">
        <f>IF(ISNUMBER(A49),CONVERT(Calculations!#REF!,Units_In,Units_Out),"")</f>
        <v/>
      </c>
      <c r="D49" s="34" t="str">
        <f>IF(ISTEXT(Calculations!#REF!),Calculations!#REF!,"")</f>
        <v/>
      </c>
      <c r="E49" s="10" t="str">
        <f t="shared" si="2"/>
        <v/>
      </c>
      <c r="F49" s="35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4" t="str">
        <f>IF(ISNUMBER(A50),CONVERT(Calculations!#REF!,Units_In,Units_Out),"")</f>
        <v/>
      </c>
      <c r="C50" s="34" t="str">
        <f>IF(ISNUMBER(A50),CONVERT(Calculations!#REF!,Units_In,Units_Out),"")</f>
        <v/>
      </c>
      <c r="D50" s="34" t="str">
        <f>IF(ISTEXT(Calculations!#REF!),Calculations!#REF!,"")</f>
        <v/>
      </c>
      <c r="E50" s="10" t="str">
        <f t="shared" si="2"/>
        <v/>
      </c>
      <c r="F50" s="35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4" t="str">
        <f>IF(ISNUMBER(A51),CONVERT(Calculations!#REF!,Units_In,Units_Out),"")</f>
        <v/>
      </c>
      <c r="C51" s="34" t="str">
        <f>IF(ISNUMBER(A51),CONVERT(Calculations!#REF!,Units_In,Units_Out),"")</f>
        <v/>
      </c>
      <c r="D51" s="34" t="str">
        <f>IF(ISTEXT(Calculations!#REF!),Calculations!#REF!,"")</f>
        <v/>
      </c>
      <c r="E51" s="10" t="str">
        <f t="shared" si="2"/>
        <v/>
      </c>
      <c r="F51" s="35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4" t="str">
        <f>IF(ISNUMBER(A52),CONVERT(Calculations!#REF!,Units_In,Units_Out),"")</f>
        <v/>
      </c>
      <c r="C52" s="34" t="str">
        <f>IF(ISNUMBER(A52),CONVERT(Calculations!#REF!,Units_In,Units_Out),"")</f>
        <v/>
      </c>
      <c r="D52" s="34" t="str">
        <f>IF(ISTEXT(Calculations!#REF!),Calculations!#REF!,"")</f>
        <v/>
      </c>
      <c r="E52" s="10" t="str">
        <f t="shared" si="2"/>
        <v/>
      </c>
      <c r="F52" s="35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4" t="str">
        <f>IF(ISNUMBER(A53),CONVERT(Calculations!#REF!,Units_In,Units_Out),"")</f>
        <v/>
      </c>
      <c r="C53" s="34" t="str">
        <f>IF(ISNUMBER(A53),CONVERT(Calculations!#REF!,Units_In,Units_Out),"")</f>
        <v/>
      </c>
      <c r="D53" s="34" t="str">
        <f>IF(ISTEXT(Calculations!#REF!),Calculations!#REF!,"")</f>
        <v/>
      </c>
      <c r="E53" s="10" t="str">
        <f t="shared" si="2"/>
        <v/>
      </c>
      <c r="F53" s="35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4" t="str">
        <f>IF(ISNUMBER(A54),CONVERT(Calculations!#REF!,Units_In,Units_Out),"")</f>
        <v/>
      </c>
      <c r="C54" s="34" t="str">
        <f>IF(ISNUMBER(A54),CONVERT(Calculations!#REF!,Units_In,Units_Out),"")</f>
        <v/>
      </c>
      <c r="D54" s="34" t="str">
        <f>IF(ISTEXT(Calculations!#REF!),Calculations!#REF!,"")</f>
        <v/>
      </c>
      <c r="E54" s="10" t="str">
        <f t="shared" si="2"/>
        <v/>
      </c>
      <c r="F54" s="35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4" t="str">
        <f>IF(ISNUMBER(A55),CONVERT(Calculations!#REF!,Units_In,Units_Out),"")</f>
        <v/>
      </c>
      <c r="C55" s="34" t="str">
        <f>IF(ISNUMBER(A55),CONVERT(Calculations!#REF!,Units_In,Units_Out),"")</f>
        <v/>
      </c>
      <c r="D55" s="34" t="str">
        <f>IF(ISTEXT(Calculations!#REF!),Calculations!#REF!,"")</f>
        <v/>
      </c>
      <c r="E55" s="10" t="str">
        <f t="shared" si="2"/>
        <v/>
      </c>
      <c r="F55" s="35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4" t="str">
        <f>IF(ISNUMBER(A56),CONVERT(Calculations!#REF!,Units_In,Units_Out),"")</f>
        <v/>
      </c>
      <c r="C56" s="34" t="str">
        <f>IF(ISNUMBER(A56),CONVERT(Calculations!#REF!,Units_In,Units_Out),"")</f>
        <v/>
      </c>
      <c r="D56" s="34" t="str">
        <f>IF(ISTEXT(Calculations!#REF!),Calculations!#REF!,"")</f>
        <v/>
      </c>
      <c r="E56" s="10" t="str">
        <f t="shared" si="2"/>
        <v/>
      </c>
      <c r="F56" s="35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4" t="str">
        <f>IF(ISNUMBER(A57),CONVERT(Calculations!#REF!,Units_In,Units_Out),"")</f>
        <v/>
      </c>
      <c r="C57" s="34" t="str">
        <f>IF(ISNUMBER(A57),CONVERT(Calculations!#REF!,Units_In,Units_Out),"")</f>
        <v/>
      </c>
      <c r="D57" s="34" t="str">
        <f>IF(ISTEXT(Calculations!#REF!),Calculations!#REF!,"")</f>
        <v/>
      </c>
      <c r="E57" s="10" t="str">
        <f t="shared" si="2"/>
        <v/>
      </c>
      <c r="F57" s="35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4" t="str">
        <f>IF(ISNUMBER(A58),CONVERT(Calculations!#REF!,Units_In,Units_Out),"")</f>
        <v/>
      </c>
      <c r="C58" s="34" t="str">
        <f>IF(ISNUMBER(A58),CONVERT(Calculations!#REF!,Units_In,Units_Out),"")</f>
        <v/>
      </c>
      <c r="D58" s="34" t="str">
        <f>IF(ISTEXT(Calculations!#REF!),Calculations!#REF!,"")</f>
        <v/>
      </c>
      <c r="E58" s="10" t="str">
        <f t="shared" si="2"/>
        <v/>
      </c>
      <c r="F58" s="35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4" t="str">
        <f>IF(ISNUMBER(A59),CONVERT(Calculations!#REF!,Units_In,Units_Out),"")</f>
        <v/>
      </c>
      <c r="C59" s="34" t="str">
        <f>IF(ISNUMBER(A59),CONVERT(Calculations!#REF!,Units_In,Units_Out),"")</f>
        <v/>
      </c>
      <c r="D59" s="34" t="str">
        <f>IF(ISTEXT(Calculations!#REF!),Calculations!#REF!,"")</f>
        <v/>
      </c>
      <c r="E59" s="10" t="str">
        <f t="shared" si="2"/>
        <v/>
      </c>
      <c r="F59" s="35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4" t="str">
        <f>IF(ISNUMBER(A60),CONVERT(Calculations!#REF!,Units_In,Units_Out),"")</f>
        <v/>
      </c>
      <c r="C60" s="34" t="str">
        <f>IF(ISNUMBER(A60),CONVERT(Calculations!#REF!,Units_In,Units_Out),"")</f>
        <v/>
      </c>
      <c r="D60" s="34" t="str">
        <f>IF(ISTEXT(Calculations!#REF!),Calculations!#REF!,"")</f>
        <v/>
      </c>
      <c r="E60" s="10" t="str">
        <f t="shared" si="2"/>
        <v/>
      </c>
      <c r="F60" s="35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4" t="str">
        <f>IF(ISNUMBER(A61),CONVERT(Calculations!#REF!,Units_In,Units_Out),"")</f>
        <v/>
      </c>
      <c r="C61" s="34" t="str">
        <f>IF(ISNUMBER(A61),CONVERT(Calculations!#REF!,Units_In,Units_Out),"")</f>
        <v/>
      </c>
      <c r="D61" s="34" t="str">
        <f>IF(ISTEXT(Calculations!#REF!),Calculations!#REF!,"")</f>
        <v/>
      </c>
      <c r="E61" s="10" t="str">
        <f t="shared" si="2"/>
        <v/>
      </c>
      <c r="F61" s="35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4" t="str">
        <f>IF(ISNUMBER(A62),CONVERT(Calculations!#REF!,Units_In,Units_Out),"")</f>
        <v/>
      </c>
      <c r="C62" s="34" t="str">
        <f>IF(ISNUMBER(A62),CONVERT(Calculations!#REF!,Units_In,Units_Out),"")</f>
        <v/>
      </c>
      <c r="D62" s="34" t="str">
        <f>IF(ISTEXT(Calculations!#REF!),Calculations!#REF!,"")</f>
        <v/>
      </c>
      <c r="E62" s="10" t="str">
        <f t="shared" si="2"/>
        <v/>
      </c>
      <c r="F62" s="35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4" t="str">
        <f>IF(ISNUMBER(A63),CONVERT(Calculations!#REF!,Units_In,Units_Out),"")</f>
        <v/>
      </c>
      <c r="C63" s="34" t="str">
        <f>IF(ISNUMBER(A63),CONVERT(Calculations!#REF!,Units_In,Units_Out),"")</f>
        <v/>
      </c>
      <c r="D63" s="34" t="str">
        <f>IF(ISTEXT(Calculations!#REF!),Calculations!#REF!,"")</f>
        <v/>
      </c>
      <c r="E63" s="10" t="str">
        <f t="shared" si="2"/>
        <v/>
      </c>
      <c r="F63" s="35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4" t="str">
        <f>IF(ISNUMBER(A64),CONVERT(Calculations!#REF!,Units_In,Units_Out),"")</f>
        <v/>
      </c>
      <c r="C64" s="34" t="str">
        <f>IF(ISNUMBER(A64),CONVERT(Calculations!#REF!,Units_In,Units_Out),"")</f>
        <v/>
      </c>
      <c r="D64" s="34" t="str">
        <f>IF(ISTEXT(Calculations!#REF!),Calculations!#REF!,"")</f>
        <v/>
      </c>
      <c r="E64" s="10" t="str">
        <f t="shared" si="2"/>
        <v/>
      </c>
      <c r="F64" s="35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4" t="str">
        <f>IF(ISNUMBER(A65),CONVERT(Calculations!#REF!,Units_In,Units_Out),"")</f>
        <v/>
      </c>
      <c r="C65" s="34" t="str">
        <f>IF(ISNUMBER(A65),CONVERT(Calculations!#REF!,Units_In,Units_Out),"")</f>
        <v/>
      </c>
      <c r="D65" s="34" t="str">
        <f>IF(ISTEXT(Calculations!#REF!),Calculations!#REF!,"")</f>
        <v/>
      </c>
      <c r="E65" s="10" t="str">
        <f t="shared" si="2"/>
        <v/>
      </c>
      <c r="F65" s="35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2013-08-28T09:59:40Z</dcterms:modified>
</cp:coreProperties>
</file>