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4400" windowHeight="1509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R12" i="1" l="1"/>
  <c r="R11" i="1"/>
  <c r="G35" i="1"/>
  <c r="H35" i="1" s="1"/>
  <c r="I35" i="1"/>
  <c r="J35" i="1" s="1"/>
  <c r="N35" i="1"/>
  <c r="G36" i="1"/>
  <c r="H36" i="1"/>
  <c r="K36" i="1" s="1"/>
  <c r="I36" i="1"/>
  <c r="J36" i="1"/>
  <c r="L36" i="1"/>
  <c r="V36" i="1" s="1"/>
  <c r="N36" i="1"/>
  <c r="G37" i="1"/>
  <c r="H37" i="1" s="1"/>
  <c r="I37" i="1"/>
  <c r="J37" i="1" s="1"/>
  <c r="N37" i="1"/>
  <c r="X37" i="1"/>
  <c r="Y37" i="1" s="1"/>
  <c r="Z37" i="1"/>
  <c r="AA37" i="1" s="1"/>
  <c r="AB37" i="1"/>
  <c r="AD37" i="1"/>
  <c r="AF37" i="1"/>
  <c r="G38" i="1"/>
  <c r="H38" i="1"/>
  <c r="K38" i="1" s="1"/>
  <c r="I38" i="1"/>
  <c r="J38" i="1"/>
  <c r="L38" i="1"/>
  <c r="V38" i="1" s="1"/>
  <c r="N38" i="1"/>
  <c r="X38" i="1"/>
  <c r="Y38" i="1"/>
  <c r="Z38" i="1"/>
  <c r="AA38" i="1"/>
  <c r="AB38" i="1"/>
  <c r="AC38" i="1"/>
  <c r="AE38" i="1" s="1"/>
  <c r="AD38" i="1"/>
  <c r="AF38" i="1"/>
  <c r="G39" i="1"/>
  <c r="H39" i="1" s="1"/>
  <c r="I39" i="1"/>
  <c r="J39" i="1" s="1"/>
  <c r="N39" i="1"/>
  <c r="X39" i="1"/>
  <c r="Z39" i="1" s="1"/>
  <c r="L39" i="1" l="1"/>
  <c r="V39" i="1" s="1"/>
  <c r="K39" i="1"/>
  <c r="K37" i="1"/>
  <c r="L37" i="1"/>
  <c r="V37" i="1" s="1"/>
  <c r="AA39" i="1"/>
  <c r="AC39" i="1"/>
  <c r="AE39" i="1" s="1"/>
  <c r="K35" i="1"/>
  <c r="L35" i="1"/>
  <c r="V35" i="1" s="1"/>
  <c r="Y39" i="1"/>
  <c r="AC37" i="1"/>
  <c r="AE37" i="1" s="1"/>
  <c r="AD39" i="1"/>
  <c r="AF39" i="1" s="1"/>
  <c r="AB39" i="1"/>
  <c r="X22" i="1" l="1"/>
  <c r="Y22" i="1" s="1"/>
  <c r="X21" i="1"/>
  <c r="P5" i="1" l="1"/>
  <c r="P6" i="1"/>
  <c r="P4" i="1"/>
  <c r="O5" i="1"/>
  <c r="O6" i="1"/>
  <c r="O4" i="1"/>
  <c r="N5" i="1"/>
  <c r="N6" i="1"/>
  <c r="N4" i="1"/>
  <c r="Q5" i="1" l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34" i="1"/>
  <c r="H34" i="1" s="1"/>
  <c r="K34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34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4" i="1"/>
  <c r="V34" i="1" s="1"/>
  <c r="L30" i="1"/>
  <c r="V30" i="1" s="1"/>
  <c r="K26" i="1"/>
  <c r="J33" i="1"/>
  <c r="N34" i="1"/>
  <c r="N33" i="1"/>
  <c r="N25" i="1"/>
  <c r="N21" i="1"/>
  <c r="N28" i="1"/>
  <c r="N27" i="1"/>
  <c r="N26" i="1"/>
  <c r="J24" i="1"/>
  <c r="N29" i="1"/>
  <c r="J32" i="1"/>
  <c r="J28" i="1"/>
  <c r="N32" i="1"/>
  <c r="N24" i="1"/>
  <c r="J27" i="1"/>
  <c r="N31" i="1"/>
  <c r="N23" i="1"/>
  <c r="J25" i="1"/>
  <c r="N30" i="1"/>
  <c r="N22" i="1"/>
  <c r="J34" i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O17" i="1"/>
  <c r="H3" i="2"/>
  <c r="H4" i="2"/>
  <c r="H2" i="2"/>
  <c r="O36" i="1" l="1"/>
  <c r="P36" i="1" s="1"/>
  <c r="Q36" i="1" s="1"/>
  <c r="O38" i="1"/>
  <c r="P38" i="1" s="1"/>
  <c r="Q38" i="1" s="1"/>
  <c r="O35" i="1"/>
  <c r="P35" i="1" s="1"/>
  <c r="Q35" i="1" s="1"/>
  <c r="O37" i="1"/>
  <c r="P37" i="1" s="1"/>
  <c r="Q37" i="1" s="1"/>
  <c r="O39" i="1"/>
  <c r="P39" i="1" s="1"/>
  <c r="Q39" i="1" s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S37" i="1" l="1"/>
  <c r="U37" i="1" s="1"/>
  <c r="R37" i="1"/>
  <c r="T37" i="1" s="1"/>
  <c r="S38" i="1"/>
  <c r="U38" i="1" s="1"/>
  <c r="R38" i="1"/>
  <c r="T38" i="1" s="1"/>
  <c r="R39" i="1"/>
  <c r="T39" i="1" s="1"/>
  <c r="S39" i="1"/>
  <c r="U39" i="1" s="1"/>
  <c r="S35" i="1"/>
  <c r="U35" i="1" s="1"/>
  <c r="R35" i="1"/>
  <c r="T35" i="1" s="1"/>
  <c r="S36" i="1"/>
  <c r="U36" i="1" s="1"/>
  <c r="R36" i="1"/>
  <c r="T36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X36" i="1" l="1"/>
  <c r="X35" i="1"/>
  <c r="E36" i="2"/>
  <c r="E37" i="2"/>
  <c r="X4" i="1"/>
  <c r="Y4" i="1"/>
  <c r="Y35" i="1" l="1"/>
  <c r="Y36" i="1"/>
  <c r="Y5" i="1"/>
  <c r="Y8" i="1" s="1"/>
  <c r="X9" i="1"/>
  <c r="Y9" i="1"/>
  <c r="O21" i="1" l="1"/>
  <c r="P21" i="1" l="1"/>
  <c r="Q21" i="1" s="1"/>
  <c r="O22" i="1"/>
  <c r="O24" i="1"/>
  <c r="O26" i="1"/>
  <c r="O28" i="1"/>
  <c r="O30" i="1"/>
  <c r="O32" i="1"/>
  <c r="O34" i="1"/>
  <c r="O23" i="1"/>
  <c r="O25" i="1"/>
  <c r="O27" i="1"/>
  <c r="O29" i="1"/>
  <c r="O31" i="1"/>
  <c r="O33" i="1"/>
  <c r="P23" i="1" l="1"/>
  <c r="P34" i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36" i="1" l="1"/>
  <c r="W38" i="1"/>
  <c r="W35" i="1"/>
  <c r="W37" i="1"/>
  <c r="W39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Q34" i="1"/>
  <c r="R34" i="1" s="1"/>
  <c r="T34" i="1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Q28" i="1"/>
  <c r="R28" i="1" s="1"/>
  <c r="T28" i="1" s="1"/>
  <c r="Q32" i="1"/>
  <c r="R32" i="1" s="1"/>
  <c r="T32" i="1" s="1"/>
  <c r="Q23" i="1"/>
  <c r="R23" i="1" s="1"/>
  <c r="T23" i="1" s="1"/>
  <c r="B24" i="2"/>
  <c r="B28" i="2"/>
  <c r="B32" i="2"/>
  <c r="C5" i="2"/>
  <c r="B5" i="2"/>
  <c r="W21" i="1"/>
  <c r="B7" i="2" l="1"/>
  <c r="X23" i="1"/>
  <c r="B16" i="2"/>
  <c r="X32" i="1"/>
  <c r="B8" i="2"/>
  <c r="X24" i="1"/>
  <c r="W34" i="1"/>
  <c r="X34" i="1"/>
  <c r="B12" i="2"/>
  <c r="X28" i="1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E19" i="2" s="1"/>
  <c r="C23" i="2"/>
  <c r="C24" i="2"/>
  <c r="E24" i="2" s="1"/>
  <c r="S34" i="1"/>
  <c r="U34" i="1" s="1"/>
  <c r="C18" i="2" s="1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Y21" i="1"/>
  <c r="Z21" i="1"/>
  <c r="AB21" i="1"/>
  <c r="AD22" i="1"/>
  <c r="E20" i="2" l="1"/>
  <c r="E12" i="2"/>
  <c r="E16" i="2"/>
  <c r="Y27" i="1"/>
  <c r="Y31" i="1"/>
  <c r="Y29" i="1"/>
  <c r="B17" i="2"/>
  <c r="E17" i="2" s="1"/>
  <c r="X33" i="1"/>
  <c r="Y28" i="1"/>
  <c r="Y34" i="1"/>
  <c r="Y24" i="1"/>
  <c r="Y32" i="1"/>
  <c r="Y23" i="1"/>
  <c r="Y26" i="1"/>
  <c r="Y30" i="1"/>
  <c r="Y25" i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C21" i="1"/>
  <c r="AA21" i="1"/>
  <c r="AB22" i="1"/>
  <c r="Y33" i="1" l="1"/>
  <c r="X13" i="1"/>
  <c r="AD35" i="1" l="1"/>
  <c r="AF35" i="1" s="1"/>
  <c r="AD36" i="1"/>
  <c r="AF36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4" i="1"/>
  <c r="AF34" i="1" s="1"/>
  <c r="AD30" i="1"/>
  <c r="AF30" i="1" s="1"/>
  <c r="AD29" i="1"/>
  <c r="AF29" i="1" s="1"/>
  <c r="AD31" i="1"/>
  <c r="AF31" i="1" s="1"/>
  <c r="AD23" i="1"/>
  <c r="AF23" i="1" s="1"/>
  <c r="Z22" i="1" l="1"/>
  <c r="AA22" i="1" s="1"/>
  <c r="AC22" i="1" l="1"/>
  <c r="AC4" i="1"/>
  <c r="AC3" i="1"/>
  <c r="AC6" i="1" s="1"/>
  <c r="Z36" i="1" l="1"/>
  <c r="Z35" i="1"/>
  <c r="Z25" i="1"/>
  <c r="Z27" i="1"/>
  <c r="Z31" i="1"/>
  <c r="Z29" i="1"/>
  <c r="Z26" i="1"/>
  <c r="Z30" i="1"/>
  <c r="Z28" i="1"/>
  <c r="Z34" i="1"/>
  <c r="Z24" i="1"/>
  <c r="Z32" i="1"/>
  <c r="Z33" i="1"/>
  <c r="Z23" i="1"/>
  <c r="AA23" i="1" s="1"/>
  <c r="AA35" i="1" l="1"/>
  <c r="AC35" i="1" s="1"/>
  <c r="AE35" i="1" s="1"/>
  <c r="AA36" i="1"/>
  <c r="AC36" i="1" s="1"/>
  <c r="AE36" i="1" s="1"/>
  <c r="AB36" i="1"/>
  <c r="AA33" i="1"/>
  <c r="AC33" i="1" s="1"/>
  <c r="AE33" i="1" s="1"/>
  <c r="AA24" i="1"/>
  <c r="AC24" i="1" s="1"/>
  <c r="AE24" i="1" s="1"/>
  <c r="AA28" i="1"/>
  <c r="AC28" i="1" s="1"/>
  <c r="AE28" i="1" s="1"/>
  <c r="AA30" i="1"/>
  <c r="AC30" i="1" s="1"/>
  <c r="AE30" i="1" s="1"/>
  <c r="AA26" i="1"/>
  <c r="AC26" i="1" s="1"/>
  <c r="AE26" i="1" s="1"/>
  <c r="AA29" i="1"/>
  <c r="AC29" i="1" s="1"/>
  <c r="AE29" i="1" s="1"/>
  <c r="AA25" i="1"/>
  <c r="AC25" i="1" s="1"/>
  <c r="AE25" i="1" s="1"/>
  <c r="AA32" i="1"/>
  <c r="AC32" i="1" s="1"/>
  <c r="AE32" i="1" s="1"/>
  <c r="AA34" i="1"/>
  <c r="AC34" i="1" s="1"/>
  <c r="AE34" i="1" s="1"/>
  <c r="AA31" i="1"/>
  <c r="AC31" i="1" s="1"/>
  <c r="AE31" i="1" s="1"/>
  <c r="AA27" i="1"/>
  <c r="AC27" i="1" s="1"/>
  <c r="AE27" i="1" s="1"/>
  <c r="AC23" i="1"/>
  <c r="AE23" i="1" s="1"/>
  <c r="AB23" i="1"/>
  <c r="AI33" i="1" l="1"/>
  <c r="AJ33" i="1" s="1"/>
  <c r="AI35" i="1"/>
  <c r="AJ35" i="1" s="1"/>
  <c r="AI32" i="1"/>
  <c r="AJ32" i="1" s="1"/>
  <c r="AI34" i="1"/>
  <c r="AJ34" i="1" s="1"/>
  <c r="AI36" i="1"/>
  <c r="AJ36" i="1" s="1"/>
  <c r="AB32" i="1"/>
  <c r="AB35" i="1"/>
  <c r="AB33" i="1"/>
  <c r="AB28" i="1"/>
  <c r="AB27" i="1"/>
  <c r="AB29" i="1"/>
  <c r="AB26" i="1"/>
  <c r="AB24" i="1"/>
  <c r="AB31" i="1"/>
  <c r="AB34" i="1"/>
  <c r="AB25" i="1"/>
  <c r="AB30" i="1"/>
  <c r="AI23" i="1"/>
  <c r="AI26" i="1" l="1"/>
  <c r="AJ26" i="1" s="1"/>
  <c r="AI25" i="1"/>
  <c r="AJ25" i="1" s="1"/>
  <c r="AI24" i="1"/>
  <c r="AJ24" i="1" s="1"/>
  <c r="AI28" i="1"/>
  <c r="AJ28" i="1" s="1"/>
  <c r="AI29" i="1"/>
  <c r="AJ29" i="1" s="1"/>
  <c r="AI30" i="1"/>
  <c r="AJ30" i="1" s="1"/>
  <c r="AI31" i="1"/>
  <c r="AJ31" i="1" s="1"/>
  <c r="AI27" i="1"/>
  <c r="AJ27" i="1" s="1"/>
  <c r="AC9" i="1"/>
  <c r="AJ23" i="1"/>
  <c r="AC10" i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<sst xmlns="http://schemas.openxmlformats.org/spreadsheetml/2006/main" count="102" uniqueCount="91">
  <si>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</si>
  <si>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</si>
  <si>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</si>
  <si>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</si>
  <si>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</si>
  <si>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</si>
  <si>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</si>
  <si>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</si>
  <si>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</si>
  <si>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</si>
  <si>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</si>
  <si>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</si>
  <si>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</si>
  <si>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</si>
  <si>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</si>
  <si>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</si>
  <si>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</si>
  <si>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</si>
  <si>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</si>
  <si>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</si>
  <si>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</si>
  <si>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</si>
  <si>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</si>
  <si>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</si>
  <si>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</si>
  <si>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</si>
  <si>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</si>
  <si>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</si>
  <si>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</si>
  <si>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</si>
  <si>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</si>
  <si>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</si>
  <si>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</si>
  <si>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</si>
  <si>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</si>
  <si>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</si>
  <si>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</si>
  <si>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</si>
  <si>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</si>
  <si>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</si>
  <si>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</si>
  <si>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</si>
  <si>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</si>
  <si>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</si>
  <si>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</si>
  <si>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</si>
  <si>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</si>
  <si>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</si>
  <si>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</si>
  <si>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</si>
  <si>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</si>
  <si>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</si>
  <si>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</si>
  <si>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</si>
  <si>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</si>
  <si>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</si>
  <si>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</si>
  <si>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</si>
  <si>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</si>
  <si>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</si>
  <si>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</si>
  <si>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</si>
  <si>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</si>
  <si>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</si>
  <si>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</si>
  <si>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</si>
  <si>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</si>
  <si>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</si>
  <si>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</si>
  <si>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BS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</si>
  <si>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</si>
  <si>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</si>
  <si>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</si>
  <si>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</si>
  <si>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</si>
  <si>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</si>
  <si>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</si>
  <si>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</si>
  <si>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</si>
  <si>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</si>
  <si>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</si>
  <si>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</si>
  <si>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</si>
  <si>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</si>
  <si>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</si>
  <si>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ZERO/BS</t>
  </si>
  <si>
    <t>DAM</t>
  </si>
  <si>
    <t>CSS7</t>
  </si>
  <si>
    <t>1,466523.753,1061195.569,1263.703,</t>
  </si>
  <si>
    <t>2,466508.135,1061207.981,1263.080,</t>
  </si>
  <si>
    <t>3,466512.319,1061175.841,1264.688,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</si>
</sst>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4.5599999999999996</c:v>
                </c:pt>
                <c:pt idx="2">
                  <c:v>5.73</c:v>
                </c:pt>
                <c:pt idx="3">
                  <c:v>9.6199999999999992</c:v>
                </c:pt>
                <c:pt idx="4">
                  <c:v>11.7</c:v>
                </c:pt>
                <c:pt idx="5">
                  <c:v>67.319999999999993</c:v>
                </c:pt>
                <c:pt idx="6">
                  <c:v>86.21</c:v>
                </c:pt>
                <c:pt idx="7">
                  <c:v>100.89</c:v>
                </c:pt>
                <c:pt idx="8">
                  <c:v>108.84</c:v>
                </c:pt>
                <c:pt idx="9">
                  <c:v>114.78</c:v>
                </c:pt>
                <c:pt idx="10">
                  <c:v>136.16999999999999</c:v>
                </c:pt>
                <c:pt idx="11">
                  <c:v>158</c:v>
                </c:pt>
                <c:pt idx="12">
                  <c:v>195.67</c:v>
                </c:pt>
                <c:pt idx="13">
                  <c:v>222.29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11.54</c:v>
                </c:pt>
                <c:pt idx="1">
                  <c:v>7.16</c:v>
                </c:pt>
                <c:pt idx="2">
                  <c:v>3.36</c:v>
                </c:pt>
                <c:pt idx="3">
                  <c:v>0.95</c:v>
                </c:pt>
                <c:pt idx="4">
                  <c:v>0</c:v>
                </c:pt>
                <c:pt idx="5">
                  <c:v>1.1100000000000001</c:v>
                </c:pt>
                <c:pt idx="6">
                  <c:v>1.42</c:v>
                </c:pt>
                <c:pt idx="7">
                  <c:v>3.58</c:v>
                </c:pt>
                <c:pt idx="8">
                  <c:v>2.85</c:v>
                </c:pt>
                <c:pt idx="9">
                  <c:v>1.27</c:v>
                </c:pt>
                <c:pt idx="10">
                  <c:v>1.67</c:v>
                </c:pt>
                <c:pt idx="11">
                  <c:v>2.44</c:v>
                </c:pt>
                <c:pt idx="12">
                  <c:v>3.63</c:v>
                </c:pt>
                <c:pt idx="13">
                  <c:v>5.31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1760"/>
        <c:axId val="90826624"/>
      </c:scatterChart>
      <c:valAx>
        <c:axId val="9082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26624"/>
        <c:crosses val="autoZero"/>
        <c:crossBetween val="midCat"/>
      </c:valAx>
      <c:valAx>
        <c:axId val="9082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Calculations!$R$23:$R$36</c:f>
              <c:numCache>
                <c:formatCode>0.00</c:formatCode>
                <c:ptCount val="14"/>
                <c:pt idx="0">
                  <c:v>-3.0185749769370736</c:v>
                </c:pt>
                <c:pt idx="1">
                  <c:v>-3.6957209660877615</c:v>
                </c:pt>
                <c:pt idx="2">
                  <c:v>-3.7804418980047232</c:v>
                </c:pt>
                <c:pt idx="3">
                  <c:v>-4.5398283117502016</c:v>
                </c:pt>
                <c:pt idx="4">
                  <c:v>-5.1808664614333368</c:v>
                </c:pt>
                <c:pt idx="5">
                  <c:v>-15.140730083537033</c:v>
                </c:pt>
                <c:pt idx="6">
                  <c:v>-18.453338406635925</c:v>
                </c:pt>
                <c:pt idx="7">
                  <c:v>-20.825945727624994</c:v>
                </c:pt>
                <c:pt idx="8">
                  <c:v>-22.476029622800795</c:v>
                </c:pt>
                <c:pt idx="9">
                  <c:v>-23.2952222350375</c:v>
                </c:pt>
                <c:pt idx="10">
                  <c:v>-27.296939848612858</c:v>
                </c:pt>
                <c:pt idx="11">
                  <c:v>-31.579684570286897</c:v>
                </c:pt>
                <c:pt idx="12">
                  <c:v>-39.693437238490056</c:v>
                </c:pt>
                <c:pt idx="13">
                  <c:v>-44.64036834711429</c:v>
                </c:pt>
              </c:numCache>
            </c:numRef>
          </c:xVal>
          <c:yVal>
            <c:numRef>
              <c:f>Calculations!$S$23:$S$36</c:f>
              <c:numCache>
                <c:formatCode>0.00</c:formatCode>
                <c:ptCount val="14"/>
                <c:pt idx="0">
                  <c:v>4.0794718953185347</c:v>
                </c:pt>
                <c:pt idx="1">
                  <c:v>5.3123585541622127</c:v>
                </c:pt>
                <c:pt idx="2">
                  <c:v>5.6974182990090023</c:v>
                </c:pt>
                <c:pt idx="3">
                  <c:v>6.6090232108917863</c:v>
                </c:pt>
                <c:pt idx="4">
                  <c:v>6.9152993236526363</c:v>
                </c:pt>
                <c:pt idx="5">
                  <c:v>20.641472154175208</c:v>
                </c:pt>
                <c:pt idx="6">
                  <c:v>25.3573155114121</c:v>
                </c:pt>
                <c:pt idx="7">
                  <c:v>29.1793797569077</c:v>
                </c:pt>
                <c:pt idx="8">
                  <c:v>30.967624085065911</c:v>
                </c:pt>
                <c:pt idx="9">
                  <c:v>32.619698586079572</c:v>
                </c:pt>
                <c:pt idx="10">
                  <c:v>37.766443517052366</c:v>
                </c:pt>
                <c:pt idx="11">
                  <c:v>42.867338610191496</c:v>
                </c:pt>
                <c:pt idx="12">
                  <c:v>51.113839106913474</c:v>
                </c:pt>
                <c:pt idx="13">
                  <c:v>57.544522862037105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4736"/>
        <c:axId val="91379200"/>
      </c:scatterChart>
      <c:valAx>
        <c:axId val="91364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379200"/>
        <c:crosses val="autoZero"/>
        <c:crossBetween val="midCat"/>
      </c:valAx>
      <c:valAx>
        <c:axId val="91379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6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7712"/>
        <c:axId val="91513600"/>
      </c:scatterChart>
      <c:valAx>
        <c:axId val="915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13600"/>
        <c:crosses val="autoZero"/>
        <c:crossBetween val="midCat"/>
      </c:valAx>
      <c:valAx>
        <c:axId val="91513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507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588055</xdr:colOff>
      <xdr:row>40</xdr:row>
      <xdr:rowOff>179779</xdr:rowOff>
    </xdr:from>
    <xdr:to>
      <xdr:col>25</xdr:col>
      <xdr:colOff>100597</xdr:colOff>
      <xdr:row>55</xdr:row>
      <xdr:rowOff>65479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459441</xdr:colOff>
      <xdr:row>40</xdr:row>
      <xdr:rowOff>143458</xdr:rowOff>
    </xdr:from>
    <xdr:to>
      <xdr:col>18</xdr:col>
      <xdr:colOff>407570</xdr:colOff>
      <xdr:row>55</xdr:row>
      <xdr:rowOff>29158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zoomScale="85" zoomScaleNormal="85" workbookViewId="0">
      <selection sqref="A1:B1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55" t="s">
        <v>87</v>
      </c>
      <c r="B1" s="56"/>
      <c r="C1" s="51">
        <v>40823</v>
      </c>
      <c r="M1" s="61" t="s">
        <v>21</v>
      </c>
      <c r="N1" s="61"/>
      <c r="O1" s="61"/>
      <c r="P1" s="61"/>
      <c r="Q1" s="61"/>
      <c r="R1" s="22"/>
      <c r="W1" s="58" t="s">
        <v>34</v>
      </c>
      <c r="X1" s="58"/>
      <c r="Y1" s="58"/>
      <c r="Z1" s="2"/>
      <c r="AA1" s="58" t="s">
        <v>56</v>
      </c>
      <c r="AB1" s="58"/>
      <c r="AC1" s="58"/>
    </row>
    <row r="2" spans="1:29" x14ac:dyDescent="0.25">
      <c r="A2" s="55" t="s">
        <v>16</v>
      </c>
      <c r="B2" s="56"/>
      <c r="C2" s="38">
        <v>1.4139999999999999</v>
      </c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55" t="s">
        <v>66</v>
      </c>
      <c r="B3" s="56"/>
      <c r="C3" s="38" t="s">
        <v>73</v>
      </c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-1.3008600708976641</v>
      </c>
    </row>
    <row r="4" spans="1:29" ht="18" x14ac:dyDescent="0.35">
      <c r="A4" s="55" t="s">
        <v>67</v>
      </c>
      <c r="B4" s="56"/>
      <c r="C4" s="38" t="s">
        <v>72</v>
      </c>
      <c r="M4" s="22">
        <v>0</v>
      </c>
      <c r="N4" s="20">
        <f>VALUE(MID(C10,FIND(",",C10,3)+1,FIND(",",C10,15)-FIND(",",C10,3)-1))</f>
        <v>1061195.5689999999</v>
      </c>
      <c r="O4" s="20">
        <f>VALUE(MID(C10,FIND(",",C10,1)+1,FIND(",",C10,5)-FIND(",",C10,1)-1))</f>
        <v>466523.75300000003</v>
      </c>
      <c r="P4" s="20">
        <f>VALUE(MID(C10,FIND(",",C10,17)+1,FIND(",",C10,27)-FIND(",",C10,17)-1))</f>
        <v>1263.703</v>
      </c>
      <c r="Q4" s="23"/>
      <c r="R4" s="22"/>
      <c r="W4" s="27"/>
      <c r="X4" s="20">
        <f ca="1">VALUE(OFFSET($P$3,MATCH($O$10,$M$4:$M$6,0),0))</f>
        <v>1263.08</v>
      </c>
      <c r="Y4" s="20">
        <f ca="1">OFFSET($P$3,MATCH($Q$10,$M$4:$M$6,0),0)</f>
        <v>1264.6880000000001</v>
      </c>
      <c r="Z4" s="2"/>
      <c r="AA4" s="26" t="s">
        <v>41</v>
      </c>
      <c r="AB4" s="26" t="s">
        <v>54</v>
      </c>
      <c r="AC4" s="28">
        <f ca="1">INTERCEPT(yB,xB)</f>
        <v>1846991.6777119662</v>
      </c>
    </row>
    <row r="5" spans="1:29" x14ac:dyDescent="0.25">
      <c r="A5" s="52"/>
      <c r="B5" s="46"/>
      <c r="C5" s="46"/>
      <c r="D5" s="4"/>
      <c r="M5" s="22">
        <v>1</v>
      </c>
      <c r="N5" s="20">
        <f t="shared" ref="N5:N6" si="0">VALUE(MID(C11,FIND(",",C11,3)+1,FIND(",",C11,15)-FIND(",",C11,3)-1))</f>
        <v>1061207.9809999999</v>
      </c>
      <c r="O5" s="20">
        <f t="shared" ref="O5:O6" si="1">VALUE(MID(C11,FIND(",",C11,1)+1,FIND(",",C11,5)-FIND(",",C11,1)-1))</f>
        <v>466508.13500000001</v>
      </c>
      <c r="P5" s="20">
        <f t="shared" ref="P5:P6" si="2">VALUE(MID(C11,FIND(",",C11,17)+1,FIND(",",C11,27)-FIND(",",C11,17)-1))</f>
        <v>1263.08</v>
      </c>
      <c r="Q5" s="24">
        <f>DEGREES(ATAN2(Old_Y1-Old_Y0,Old_X1-Old_X0))+IF(Old_X1-Old_X0&lt;0,360)</f>
        <v>141.52499015596868</v>
      </c>
      <c r="R5" s="22"/>
      <c r="W5" s="21"/>
      <c r="X5" s="20">
        <f ca="1">VALUE(OFFSET($V$20,MATCH($O11,$A$21:$A$51,0),0))</f>
        <v>1263.5571316666701</v>
      </c>
      <c r="Y5" s="20">
        <f ca="1">OFFSET($V$20,MATCH($Q11,$A$21:$A$51,0),0)</f>
        <v>1267.1994773333543</v>
      </c>
      <c r="Z5" s="2"/>
      <c r="AA5" s="26"/>
      <c r="AB5" s="26"/>
      <c r="AC5" s="20"/>
    </row>
    <row r="6" spans="1:29" ht="18" x14ac:dyDescent="0.35">
      <c r="A6" s="57" t="s">
        <v>17</v>
      </c>
      <c r="B6" s="57"/>
      <c r="C6" s="38">
        <v>3</v>
      </c>
      <c r="D6" s="4"/>
      <c r="M6" s="22">
        <v>2</v>
      </c>
      <c r="N6" s="20">
        <f t="shared" si="0"/>
        <v>1061175.841</v>
      </c>
      <c r="O6" s="20">
        <f t="shared" si="1"/>
        <v>466512.31900000002</v>
      </c>
      <c r="P6" s="20">
        <f t="shared" si="2"/>
        <v>1264.6880000000001</v>
      </c>
      <c r="Q6" s="24">
        <f>DEGREES(ATAN2(Old_Y2-Old_Y0,Old_X2-Old_X0))+IF(Old_X2-Old_X0&lt;0,360)</f>
        <v>239.9041774035893</v>
      </c>
      <c r="R6" s="22"/>
      <c r="W6" s="21"/>
      <c r="X6" s="20">
        <f ca="1">VALUE(OFFSET($V$20,MATCH($O12,$A$21:$A$61,0),0))</f>
        <v>1267.2722400250318</v>
      </c>
      <c r="Y6" s="20">
        <f ca="1">VALUE(OFFSET($V$20,MATCH($O12,$A$21:$A$61,0),0))</f>
        <v>1267.2722400250318</v>
      </c>
      <c r="Z6" s="5"/>
      <c r="AA6" s="26" t="s">
        <v>42</v>
      </c>
      <c r="AB6" s="21" t="s">
        <v>55</v>
      </c>
      <c r="AC6" s="20">
        <f ca="1">-1/mA</f>
        <v>0.76872218801361603</v>
      </c>
    </row>
    <row r="7" spans="1:29" x14ac:dyDescent="0.25">
      <c r="A7" s="57" t="s">
        <v>18</v>
      </c>
      <c r="B7" s="57"/>
      <c r="C7" s="38">
        <v>17</v>
      </c>
      <c r="D7" s="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M8" s="22"/>
      <c r="N8" s="20"/>
      <c r="O8" s="58" t="s">
        <v>24</v>
      </c>
      <c r="P8" s="58"/>
      <c r="Q8" s="58" t="s">
        <v>25</v>
      </c>
      <c r="R8" s="58"/>
      <c r="W8" s="21" t="s">
        <v>35</v>
      </c>
      <c r="X8" s="20">
        <f ca="1">X5-X4</f>
        <v>0.47713166667017504</v>
      </c>
      <c r="Y8" s="20">
        <f ca="1">Y5-Y4</f>
        <v>2.5114773333541507</v>
      </c>
      <c r="AA8" s="20"/>
      <c r="AB8" s="22"/>
      <c r="AC8" s="22"/>
    </row>
    <row r="9" spans="1:29" x14ac:dyDescent="0.25">
      <c r="A9" s="6"/>
      <c r="B9" s="48"/>
      <c r="C9" s="9" t="s">
        <v>11</v>
      </c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4.1922400250318788</v>
      </c>
      <c r="Y9" s="20">
        <f ca="1">Y6-Y4</f>
        <v>2.5842400250317041</v>
      </c>
      <c r="AA9" s="31" t="s">
        <v>49</v>
      </c>
      <c r="AB9" s="31"/>
      <c r="AC9" s="20">
        <f ca="1">AVERAGE(DfromL)</f>
        <v>0.4909776650161502</v>
      </c>
    </row>
    <row r="10" spans="1:29" s="16" customFormat="1" x14ac:dyDescent="0.25">
      <c r="A10" s="53"/>
      <c r="B10" s="48"/>
      <c r="C10" s="35" t="s">
        <v>88</v>
      </c>
      <c r="D10" s="36"/>
      <c r="E10" s="37"/>
      <c r="M10" s="62" t="s">
        <v>22</v>
      </c>
      <c r="N10" s="62"/>
      <c r="O10" s="32">
        <v>1</v>
      </c>
      <c r="P10" s="20">
        <f ca="1">OFFSET($Q$3,MATCH($O$10,$M$4:$M$6,0),0)</f>
        <v>141.52499015596868</v>
      </c>
      <c r="Q10" s="32">
        <v>2</v>
      </c>
      <c r="R10" s="20">
        <f ca="1">OFFSET($Q$3,MATCH($O$10,$M$4:$M$6,0),0)</f>
        <v>141.52499015596868</v>
      </c>
      <c r="W10" s="22"/>
      <c r="X10" s="22"/>
      <c r="Y10" s="22"/>
      <c r="AA10" s="31" t="s">
        <v>50</v>
      </c>
      <c r="AB10" s="31"/>
      <c r="AC10" s="20">
        <f ca="1">_xlfn.STDEV.P(DfromL)</f>
        <v>0.28708804192693738</v>
      </c>
    </row>
    <row r="11" spans="1:29" s="16" customFormat="1" x14ac:dyDescent="0.25">
      <c r="A11" s="14"/>
      <c r="B11" s="48"/>
      <c r="C11" s="35" t="s">
        <v>89</v>
      </c>
      <c r="D11" s="36"/>
      <c r="E11" s="37"/>
      <c r="M11" s="58" t="s">
        <v>31</v>
      </c>
      <c r="N11" s="58"/>
      <c r="O11" s="32">
        <v>1</v>
      </c>
      <c r="P11" s="20">
        <f ca="1">OFFSET($N$20,MATCH($O11,$A$21:$A$51,0),0)</f>
        <v>0</v>
      </c>
      <c r="Q11" s="32">
        <v>2</v>
      </c>
      <c r="R11" s="20">
        <f ca="1">OFFSET($N$20,MATCH($Q11,$A$21:$A$51,0),0)</f>
        <v>97.843055555555551</v>
      </c>
      <c r="W11" s="21" t="s">
        <v>37</v>
      </c>
      <c r="X11" s="20">
        <f ca="1">AVERAGE(X8:Y9)</f>
        <v>2.4412722625219772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90</v>
      </c>
      <c r="D12" s="36"/>
      <c r="E12" s="37"/>
      <c r="M12" s="58" t="s">
        <v>30</v>
      </c>
      <c r="N12" s="58"/>
      <c r="O12" s="32">
        <v>18</v>
      </c>
      <c r="P12" s="20">
        <f ca="1">OFFSET($N$20,MATCH($O12,$A$21:$A$61,0),0)</f>
        <v>2.7777777777777778E-4</v>
      </c>
      <c r="Q12" s="32">
        <v>19</v>
      </c>
      <c r="R12" s="20">
        <f ca="1">OFFSET($N$20,MATCH($Q12,$A$21:$A$51,0),0)</f>
        <v>97.939444444444433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17"/>
      <c r="C13" s="17"/>
      <c r="D13" s="18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1265.6684884195695</v>
      </c>
      <c r="Y13" s="20"/>
      <c r="AA13" s="20"/>
      <c r="AB13" s="20"/>
      <c r="AC13" s="20"/>
    </row>
    <row r="14" spans="1:29" s="16" customFormat="1" x14ac:dyDescent="0.25">
      <c r="A14" s="8"/>
      <c r="B14" s="17"/>
      <c r="C14" s="17"/>
      <c r="D14" s="18"/>
      <c r="M14" s="58" t="s">
        <v>32</v>
      </c>
      <c r="N14" s="58"/>
      <c r="O14" s="22"/>
      <c r="P14" s="20">
        <f ca="1">P10-P11+IF(P11&gt;P10,360)</f>
        <v>141.52499015596868</v>
      </c>
      <c r="Q14" s="20"/>
      <c r="R14" s="20">
        <f ca="1">R10-R11+IF(R11&gt;R10,360)</f>
        <v>43.681934600413129</v>
      </c>
      <c r="W14" s="20"/>
      <c r="X14" s="20"/>
      <c r="Y14" s="20"/>
      <c r="AA14" s="20"/>
      <c r="AB14" s="20"/>
      <c r="AC14" s="20"/>
    </row>
    <row r="15" spans="1:29" x14ac:dyDescent="0.25">
      <c r="A15" s="1"/>
      <c r="D15" s="4"/>
      <c r="M15" s="58" t="s">
        <v>33</v>
      </c>
      <c r="N15" s="58"/>
      <c r="O15" s="22"/>
      <c r="P15" s="20">
        <f ca="1">P10-P12+IF(P12&gt;P10,360)</f>
        <v>141.52471237819091</v>
      </c>
      <c r="Q15" s="20"/>
      <c r="R15" s="20">
        <f ca="1">R10-R12+IF(R12&gt;R10,360)</f>
        <v>43.585545711524247</v>
      </c>
      <c r="W15" s="20"/>
      <c r="X15" s="20"/>
      <c r="Y15" s="20"/>
      <c r="AA15" s="22"/>
      <c r="AB15" s="22"/>
      <c r="AC15" s="22"/>
    </row>
    <row r="16" spans="1:29" x14ac:dyDescent="0.25">
      <c r="A16" s="1"/>
      <c r="B16" s="17" t="s">
        <v>68</v>
      </c>
      <c r="D16" s="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1"/>
      <c r="D17" s="4"/>
      <c r="M17" s="58" t="s">
        <v>39</v>
      </c>
      <c r="N17" s="58"/>
      <c r="O17" s="20">
        <f ca="1">AVERAGE(P14:P15,R14:R15)</f>
        <v>92.579295711524225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1"/>
      <c r="D18" s="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9" t="s">
        <v>20</v>
      </c>
      <c r="U19" s="59"/>
      <c r="X19" s="60" t="s">
        <v>45</v>
      </c>
      <c r="Y19" s="60"/>
      <c r="Z19" s="60" t="s">
        <v>46</v>
      </c>
      <c r="AA19" s="60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84</v>
      </c>
      <c r="H20" s="12" t="s">
        <v>78</v>
      </c>
      <c r="I20" s="12" t="s">
        <v>83</v>
      </c>
      <c r="J20" s="12" t="s">
        <v>82</v>
      </c>
      <c r="K20" s="3" t="s">
        <v>76</v>
      </c>
      <c r="L20" s="3" t="s">
        <v>77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81</v>
      </c>
      <c r="R20" s="19" t="s">
        <v>79</v>
      </c>
      <c r="S20" s="19" t="s">
        <v>80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74</v>
      </c>
      <c r="AF20" s="19" t="s">
        <v>75</v>
      </c>
      <c r="AG20" s="19"/>
      <c r="AH20" s="19"/>
      <c r="AI20" s="19"/>
    </row>
    <row r="21" spans="1:36" x14ac:dyDescent="0.25">
      <c r="A21" s="44">
        <v>1</v>
      </c>
      <c r="B21" s="48">
        <v>0</v>
      </c>
      <c r="C21" s="48">
        <v>3.5073148148148152</v>
      </c>
      <c r="D21" s="44">
        <v>21.227</v>
      </c>
      <c r="E21" s="44">
        <v>3.714</v>
      </c>
      <c r="F21" s="49" t="s">
        <v>85</v>
      </c>
      <c r="G21" s="43">
        <f>C21*24</f>
        <v>84.175555555555562</v>
      </c>
      <c r="H21" s="43">
        <f>RADIANS(G21)</f>
        <v>1.4691405941398492</v>
      </c>
      <c r="I21" s="43">
        <f t="shared" ref="I21:I34" si="3">B21*24</f>
        <v>0</v>
      </c>
      <c r="J21" s="39">
        <f>RADIANS(I21)</f>
        <v>0</v>
      </c>
      <c r="K21" s="39">
        <f>D21*SIN(H21)</f>
        <v>21.117415698012135</v>
      </c>
      <c r="L21" s="15">
        <f>D21*COS(H21)</f>
        <v>2.1541316666700507</v>
      </c>
      <c r="M21" s="13"/>
      <c r="N21" s="16">
        <f t="shared" ref="N21:N34" si="4">I21+M21</f>
        <v>0</v>
      </c>
      <c r="O21" s="16">
        <f ca="1">$O$17</f>
        <v>92.579295711524225</v>
      </c>
      <c r="P21" s="16">
        <f ca="1">SUM(N21,O21)</f>
        <v>92.579295711524225</v>
      </c>
      <c r="Q21" s="16">
        <f ca="1">RADIANS(P21)</f>
        <v>1.6158135293435643</v>
      </c>
      <c r="R21" s="16">
        <f t="shared" ref="R21:R34" ca="1" si="5">K21*SIN(Q21)</f>
        <v>21.096021577576305</v>
      </c>
      <c r="S21" s="16">
        <f t="shared" ref="S21:S34" ca="1" si="6">K21*COS(Q21)</f>
        <v>-0.95032592360952073</v>
      </c>
      <c r="T21" s="13">
        <f t="shared" ref="T21:T34" ca="1" si="7">Old_X0+R21</f>
        <v>1061216.6650215774</v>
      </c>
      <c r="U21" s="13">
        <f t="shared" ref="U21:U34" ca="1" si="8">Old_Y0+S21</f>
        <v>466522.8026740764</v>
      </c>
      <c r="V21" s="16">
        <f t="shared" ref="V21:V34" si="9">Old_Z0+HI+L21-E21</f>
        <v>1263.5571316666701</v>
      </c>
      <c r="W21" s="16">
        <f t="shared" ref="W21:W34" ca="1" si="10">IF(ISNUMBER(T21),V21+dZ,"")</f>
        <v>1265.9984039291921</v>
      </c>
      <c r="X21" s="16" t="str">
        <f t="shared" ref="X21:X34" si="11">IF(AND(A21&gt;=CS_Start,A21&lt;=CS_End),IF(OR(LEFT(UPPER(F21))="D"),"",T21),"")</f>
        <v/>
      </c>
      <c r="Y21" s="16" t="str">
        <f t="shared" ref="Y21" si="12">IF(ISNUMBER(X21),U21,"")</f>
        <v/>
      </c>
      <c r="Z21" s="16" t="str">
        <f t="shared" ref="Z21:Z23" si="13">IF(X21="","",VALUE((-mB*X21+Y21-bA)/(mA-mB)))</f>
        <v/>
      </c>
      <c r="AA21" s="16" t="str">
        <f t="shared" ref="AA21:AA23" si="14">IF(Z21="","",VALUE(mA*Z21+bA))</f>
        <v/>
      </c>
      <c r="AB21" s="16" t="str">
        <f>IF(ISNUMBER(X21),SQRT((X21-Z21)^2+(Y21-AA21)^2),"")</f>
        <v/>
      </c>
      <c r="AC21" s="16" t="str">
        <f t="shared" ref="AC21:AC23" ca="1" si="15">IF(ISNUMBER(Z21),SQRT(($Z21-OFFSET($Z$20,MATCH(CS_Start,$A$21:$A$51,0),0))^2+($AA21-OFFSET($AA$20,MATCH(CS_Start,$A$21:$A$51,0),0))^2),"")</f>
        <v/>
      </c>
      <c r="AD21" s="16" t="str">
        <f t="shared" ref="AD21:AD23" si="16">IF(ISNUMBER(X21),W21-Min_Z,"")</f>
        <v/>
      </c>
    </row>
    <row r="22" spans="1:36" x14ac:dyDescent="0.25">
      <c r="A22" s="44">
        <v>2</v>
      </c>
      <c r="B22" s="48">
        <v>4.0767939814814813</v>
      </c>
      <c r="C22" s="48">
        <v>3.5376504629629628</v>
      </c>
      <c r="D22" s="44">
        <v>23.443000000000001</v>
      </c>
      <c r="E22" s="44"/>
      <c r="F22" s="49" t="s">
        <v>69</v>
      </c>
      <c r="G22" s="43">
        <f t="shared" ref="G22:G34" si="17">C22*24</f>
        <v>84.903611111111104</v>
      </c>
      <c r="H22" s="43">
        <f t="shared" ref="H22:H34" si="18">RADIANS(G22)</f>
        <v>1.4818475607217299</v>
      </c>
      <c r="I22" s="43">
        <f t="shared" si="3"/>
        <v>97.843055555555551</v>
      </c>
      <c r="J22" s="39">
        <f t="shared" ref="J22:J34" si="19">RADIANS(I22)</f>
        <v>1.707683469656174</v>
      </c>
      <c r="K22" s="39">
        <f t="shared" ref="K22:K34" si="20">D22*SIN(H22)</f>
        <v>23.350321992556463</v>
      </c>
      <c r="L22" s="15">
        <f t="shared" ref="L22:L34" si="21">D22*COS(H22)</f>
        <v>2.0824773333541873</v>
      </c>
      <c r="M22" s="13"/>
      <c r="N22" s="16">
        <f t="shared" si="4"/>
        <v>97.843055555555551</v>
      </c>
      <c r="O22" s="16">
        <f t="shared" ref="O22:O39" ca="1" si="22">$O$17</f>
        <v>92.579295711524225</v>
      </c>
      <c r="P22" s="16">
        <f t="shared" ref="P22:P34" ca="1" si="23">SUM(N22,O22)</f>
        <v>190.42235126707976</v>
      </c>
      <c r="Q22" s="16">
        <f t="shared" ref="Q22:Q34" ca="1" si="24">RADIANS(P22)</f>
        <v>3.3234969989997381</v>
      </c>
      <c r="R22" s="16">
        <f t="shared" ca="1" si="5"/>
        <v>-4.224139233796028</v>
      </c>
      <c r="S22" s="16">
        <f t="shared" ca="1" si="6"/>
        <v>-22.965064443401221</v>
      </c>
      <c r="T22" s="13">
        <f t="shared" ca="1" si="7"/>
        <v>1061191.3448607661</v>
      </c>
      <c r="U22" s="13">
        <f t="shared" ca="1" si="8"/>
        <v>466500.78793555661</v>
      </c>
      <c r="V22" s="16">
        <f t="shared" si="9"/>
        <v>1267.1994773333543</v>
      </c>
      <c r="W22" s="16">
        <f t="shared" ca="1" si="10"/>
        <v>1269.6407495958763</v>
      </c>
      <c r="X22" s="47" t="str">
        <f t="shared" si="11"/>
        <v/>
      </c>
      <c r="Y22" s="47" t="str">
        <f t="shared" ref="Y22:Y34" si="25">IF(ISNUMBER(X22),U22,"")</f>
        <v/>
      </c>
      <c r="Z22" s="16" t="str">
        <f t="shared" si="13"/>
        <v/>
      </c>
      <c r="AA22" s="16" t="str">
        <f t="shared" si="14"/>
        <v/>
      </c>
      <c r="AB22" s="16" t="str">
        <f t="shared" ref="AB22:AB23" si="26">IF(ISNUMBER(X22),SQRT((X22-Z22)^2+(Y22-AA22)^2),"")</f>
        <v/>
      </c>
      <c r="AC22" s="16" t="str">
        <f t="shared" ca="1" si="15"/>
        <v/>
      </c>
      <c r="AD22" s="16" t="str">
        <f t="shared" si="16"/>
        <v/>
      </c>
    </row>
    <row r="23" spans="1:36" x14ac:dyDescent="0.25">
      <c r="A23" s="44">
        <v>3</v>
      </c>
      <c r="B23" s="48">
        <v>9.6217245370370375</v>
      </c>
      <c r="C23" s="48">
        <v>3.0096990740740743</v>
      </c>
      <c r="D23" s="44">
        <v>5.3289999999999997</v>
      </c>
      <c r="E23" s="44"/>
      <c r="F23" s="44"/>
      <c r="G23" s="43">
        <f t="shared" si="17"/>
        <v>72.232777777777784</v>
      </c>
      <c r="H23" s="43">
        <f t="shared" si="18"/>
        <v>1.2606998000836154</v>
      </c>
      <c r="I23" s="43">
        <f t="shared" si="3"/>
        <v>230.92138888888888</v>
      </c>
      <c r="J23" s="39">
        <f t="shared" si="19"/>
        <v>4.0303385493893611</v>
      </c>
      <c r="K23" s="39">
        <f t="shared" si="20"/>
        <v>5.0748286509087626</v>
      </c>
      <c r="L23" s="15">
        <f t="shared" si="21"/>
        <v>1.626147337702075</v>
      </c>
      <c r="M23" s="13"/>
      <c r="N23" s="16">
        <f t="shared" si="4"/>
        <v>230.92138888888888</v>
      </c>
      <c r="O23" s="16">
        <f t="shared" ca="1" si="22"/>
        <v>92.579295711524225</v>
      </c>
      <c r="P23" s="16">
        <f t="shared" ca="1" si="23"/>
        <v>323.50068460041314</v>
      </c>
      <c r="Q23" s="16">
        <f t="shared" ca="1" si="24"/>
        <v>5.6461520787329258</v>
      </c>
      <c r="R23" s="16">
        <f t="shared" ca="1" si="5"/>
        <v>-3.0185749769370736</v>
      </c>
      <c r="S23" s="16">
        <f t="shared" ca="1" si="6"/>
        <v>4.0794718953185347</v>
      </c>
      <c r="T23" s="13">
        <f t="shared" ca="1" si="7"/>
        <v>1061192.5504250231</v>
      </c>
      <c r="U23" s="13">
        <f t="shared" ca="1" si="8"/>
        <v>466527.83247189532</v>
      </c>
      <c r="V23" s="16">
        <f t="shared" si="9"/>
        <v>1266.7431473377021</v>
      </c>
      <c r="W23" s="16">
        <f t="shared" ca="1" si="10"/>
        <v>1269.1844196002241</v>
      </c>
      <c r="X23" s="47">
        <f t="shared" ca="1" si="11"/>
        <v>1061192.5504250231</v>
      </c>
      <c r="Y23" s="47">
        <f t="shared" ca="1" si="25"/>
        <v>466527.83247189532</v>
      </c>
      <c r="Z23" s="16">
        <f t="shared" ca="1" si="13"/>
        <v>1061192.9509203883</v>
      </c>
      <c r="AA23" s="16">
        <f t="shared" ca="1" si="14"/>
        <v>466528.14034156851</v>
      </c>
      <c r="AB23" s="16">
        <f t="shared" ca="1" si="26"/>
        <v>0.50515371250937491</v>
      </c>
      <c r="AC23" s="16">
        <f t="shared" ca="1" si="15"/>
        <v>0</v>
      </c>
      <c r="AD23" s="16">
        <f t="shared" ca="1" si="16"/>
        <v>3.5159311806546611</v>
      </c>
      <c r="AE23" s="2">
        <f ca="1">ROUND(CONVERT(AC23,"m","ft"),2)</f>
        <v>0</v>
      </c>
      <c r="AF23" s="2">
        <f ca="1">ROUND(CONVERT(AD23,"m","ft"),2)</f>
        <v>11.54</v>
      </c>
      <c r="AH23" s="44">
        <v>0</v>
      </c>
      <c r="AI23" s="2">
        <f ca="1">OFFSET($AF$22,MATCH(AH23,$AE$23:$AE$59,0),0)</f>
        <v>11.54</v>
      </c>
      <c r="AJ23" s="2" t="str">
        <f t="shared" ref="AJ23:AJ31" ca="1" si="27">CONCATENATE(AH23,",",AI23)</f>
        <v>0,11.54</v>
      </c>
    </row>
    <row r="24" spans="1:36" x14ac:dyDescent="0.25">
      <c r="A24" s="44">
        <v>4</v>
      </c>
      <c r="B24" s="48">
        <v>9.6914583333333333</v>
      </c>
      <c r="C24" s="48">
        <v>3.6425347222222224</v>
      </c>
      <c r="D24" s="44">
        <v>6.4779999999999998</v>
      </c>
      <c r="E24" s="44"/>
      <c r="F24" s="44"/>
      <c r="G24" s="43">
        <f t="shared" si="17"/>
        <v>87.420833333333334</v>
      </c>
      <c r="H24" s="43">
        <f t="shared" si="18"/>
        <v>1.5257813765038761</v>
      </c>
      <c r="I24" s="43">
        <f t="shared" si="3"/>
        <v>232.595</v>
      </c>
      <c r="J24" s="39">
        <f t="shared" si="19"/>
        <v>4.0595485736762109</v>
      </c>
      <c r="K24" s="39">
        <f t="shared" si="20"/>
        <v>6.4714377743404974</v>
      </c>
      <c r="L24" s="15">
        <f t="shared" si="21"/>
        <v>0.29150837524658446</v>
      </c>
      <c r="M24" s="13"/>
      <c r="N24" s="16">
        <f t="shared" si="4"/>
        <v>232.595</v>
      </c>
      <c r="O24" s="16">
        <f t="shared" ca="1" si="22"/>
        <v>92.579295711524225</v>
      </c>
      <c r="P24" s="16">
        <f t="shared" ca="1" si="23"/>
        <v>325.17429571152422</v>
      </c>
      <c r="Q24" s="16">
        <f t="shared" ca="1" si="24"/>
        <v>5.6753621030197747</v>
      </c>
      <c r="R24" s="16">
        <f t="shared" ca="1" si="5"/>
        <v>-3.6957209660877615</v>
      </c>
      <c r="S24" s="16">
        <f t="shared" ca="1" si="6"/>
        <v>5.3123585541622127</v>
      </c>
      <c r="T24" s="13">
        <f t="shared" ca="1" si="7"/>
        <v>1061191.8732790339</v>
      </c>
      <c r="U24" s="13">
        <f t="shared" ca="1" si="8"/>
        <v>466529.06535855419</v>
      </c>
      <c r="V24" s="16">
        <f t="shared" si="9"/>
        <v>1265.4085083752466</v>
      </c>
      <c r="W24" s="16">
        <f t="shared" ca="1" si="10"/>
        <v>1267.8497806377686</v>
      </c>
      <c r="X24" s="47">
        <f t="shared" ca="1" si="11"/>
        <v>1061191.8732790339</v>
      </c>
      <c r="Y24" s="47">
        <f t="shared" ca="1" si="25"/>
        <v>466529.06535855419</v>
      </c>
      <c r="Z24" s="47">
        <f t="shared" ref="Z24:Z34" ca="1" si="28">IF(X24="","",VALUE((-mB*X24+Y24-bA)/(mA-mB)))</f>
        <v>1061192.1036847697</v>
      </c>
      <c r="AA24" s="47">
        <f t="shared" ref="AA24:AA34" ca="1" si="29">IF(Z24="","",VALUE(mA*Z24+bA))</f>
        <v>466529.24247655529</v>
      </c>
      <c r="AB24" s="47">
        <f t="shared" ref="AB24:AB34" ca="1" si="30">IF(ISNUMBER(X24),SQRT((X24-Z24)^2+(Y24-AA24)^2),"")</f>
        <v>0.29061587946098899</v>
      </c>
      <c r="AC24" s="47">
        <f t="shared" ref="AC24:AC34" ca="1" si="31">IF(ISNUMBER(Z24),SQRT(($Z24-OFFSET($Z$20,MATCH(CS_Start,$A$21:$A$51,0),0))^2+($AA24-OFFSET($AA$20,MATCH(CS_Start,$A$21:$A$51,0),0))^2),"")</f>
        <v>1.3901473744004436</v>
      </c>
      <c r="AD24" s="47">
        <f t="shared" ref="AD24:AD34" ca="1" si="32">IF(ISNUMBER(X24),W24-Min_Z,"")</f>
        <v>2.1812922181991325</v>
      </c>
      <c r="AE24" s="44">
        <f t="shared" ref="AE24:AE34" ca="1" si="33">ROUND(CONVERT(AC24,"m","ft"),2)</f>
        <v>4.5599999999999996</v>
      </c>
      <c r="AF24" s="44">
        <f t="shared" ref="AF24:AF34" ca="1" si="34">ROUND(CONVERT(AD24,"m","ft"),2)</f>
        <v>7.16</v>
      </c>
      <c r="AH24" s="44">
        <v>4.5599999999999996</v>
      </c>
      <c r="AI24" s="44">
        <f t="shared" ref="AI24:AI31" ca="1" si="35">OFFSET($AF$22,MATCH(AH24,$AE$23:$AE$59,0),0)</f>
        <v>7.16</v>
      </c>
      <c r="AJ24" s="2" t="str">
        <f t="shared" ca="1" si="27"/>
        <v>4.56,7.16</v>
      </c>
    </row>
    <row r="25" spans="1:36" x14ac:dyDescent="0.25">
      <c r="A25" s="44">
        <v>5</v>
      </c>
      <c r="B25" s="48">
        <v>9.7439583333333335</v>
      </c>
      <c r="C25" s="48">
        <v>4.0502430555555557</v>
      </c>
      <c r="D25" s="44">
        <v>6.8920000000000003</v>
      </c>
      <c r="E25" s="44"/>
      <c r="F25" s="44"/>
      <c r="G25" s="43">
        <f t="shared" si="17"/>
        <v>97.205833333333345</v>
      </c>
      <c r="H25" s="43">
        <f t="shared" si="18"/>
        <v>1.6965618438115215</v>
      </c>
      <c r="I25" s="43">
        <f t="shared" si="3"/>
        <v>233.85500000000002</v>
      </c>
      <c r="J25" s="39">
        <f t="shared" si="19"/>
        <v>4.0815397222513399</v>
      </c>
      <c r="K25" s="39">
        <f t="shared" si="20"/>
        <v>6.8375665421312126</v>
      </c>
      <c r="L25" s="15">
        <f t="shared" si="21"/>
        <v>-0.86449278882348923</v>
      </c>
      <c r="M25" s="13"/>
      <c r="N25" s="16">
        <f t="shared" si="4"/>
        <v>233.85500000000002</v>
      </c>
      <c r="O25" s="16">
        <f t="shared" ca="1" si="22"/>
        <v>92.579295711524225</v>
      </c>
      <c r="P25" s="16">
        <f t="shared" ca="1" si="23"/>
        <v>326.43429571152421</v>
      </c>
      <c r="Q25" s="16">
        <f t="shared" ca="1" si="24"/>
        <v>5.6973532515949037</v>
      </c>
      <c r="R25" s="16">
        <f t="shared" ca="1" si="5"/>
        <v>-3.7804418980047232</v>
      </c>
      <c r="S25" s="16">
        <f t="shared" ca="1" si="6"/>
        <v>5.6974182990090023</v>
      </c>
      <c r="T25" s="13">
        <f t="shared" ca="1" si="7"/>
        <v>1061191.788558102</v>
      </c>
      <c r="U25" s="13">
        <f t="shared" ca="1" si="8"/>
        <v>466529.45041829906</v>
      </c>
      <c r="V25" s="16">
        <f t="shared" si="9"/>
        <v>1264.2525072111764</v>
      </c>
      <c r="W25" s="16">
        <f t="shared" ca="1" si="10"/>
        <v>1266.6937794736984</v>
      </c>
      <c r="X25" s="47">
        <f t="shared" ca="1" si="11"/>
        <v>1061191.788558102</v>
      </c>
      <c r="Y25" s="47">
        <f t="shared" ca="1" si="25"/>
        <v>466529.45041829906</v>
      </c>
      <c r="Z25" s="47">
        <f t="shared" ca="1" si="28"/>
        <v>1061191.8861594198</v>
      </c>
      <c r="AA25" s="47">
        <f t="shared" ca="1" si="29"/>
        <v>466529.52544659749</v>
      </c>
      <c r="AB25" s="47">
        <f t="shared" ca="1" si="30"/>
        <v>0.12310671306072206</v>
      </c>
      <c r="AC25" s="47">
        <f t="shared" ca="1" si="31"/>
        <v>1.7470637828846112</v>
      </c>
      <c r="AD25" s="47">
        <f t="shared" ca="1" si="32"/>
        <v>1.0252910541289566</v>
      </c>
      <c r="AE25" s="44">
        <f t="shared" ca="1" si="33"/>
        <v>5.73</v>
      </c>
      <c r="AF25" s="44">
        <f t="shared" ca="1" si="34"/>
        <v>3.36</v>
      </c>
      <c r="AH25" s="44">
        <v>5.73</v>
      </c>
      <c r="AI25" s="44">
        <f t="shared" ca="1" si="35"/>
        <v>3.36</v>
      </c>
      <c r="AJ25" s="2" t="str">
        <f t="shared" ca="1" si="27"/>
        <v>5.73,3.36</v>
      </c>
    </row>
    <row r="26" spans="1:36" x14ac:dyDescent="0.25">
      <c r="A26" s="44">
        <v>6</v>
      </c>
      <c r="B26" s="48">
        <v>9.7056249999999995</v>
      </c>
      <c r="C26" s="48">
        <v>4.220011574074074</v>
      </c>
      <c r="D26" s="44">
        <v>8.1760000000000002</v>
      </c>
      <c r="E26" s="44"/>
      <c r="F26" s="44"/>
      <c r="G26" s="43">
        <f t="shared" si="17"/>
        <v>101.28027777777777</v>
      </c>
      <c r="H26" s="43">
        <f t="shared" si="18"/>
        <v>1.767674314556668</v>
      </c>
      <c r="I26" s="43">
        <f t="shared" si="3"/>
        <v>232.935</v>
      </c>
      <c r="J26" s="39">
        <f t="shared" si="19"/>
        <v>4.0654826931329913</v>
      </c>
      <c r="K26" s="39">
        <f t="shared" si="20"/>
        <v>8.0180564292274141</v>
      </c>
      <c r="L26" s="15">
        <f t="shared" si="21"/>
        <v>-1.5992958130767887</v>
      </c>
      <c r="M26" s="13"/>
      <c r="N26" s="16">
        <f t="shared" si="4"/>
        <v>232.935</v>
      </c>
      <c r="O26" s="16">
        <f t="shared" ca="1" si="22"/>
        <v>92.579295711524225</v>
      </c>
      <c r="P26" s="16">
        <f t="shared" ca="1" si="23"/>
        <v>325.51429571152426</v>
      </c>
      <c r="Q26" s="16">
        <f t="shared" ca="1" si="24"/>
        <v>5.681296222476556</v>
      </c>
      <c r="R26" s="16">
        <f t="shared" ca="1" si="5"/>
        <v>-4.5398283117502016</v>
      </c>
      <c r="S26" s="16">
        <f t="shared" ca="1" si="6"/>
        <v>6.6090232108917863</v>
      </c>
      <c r="T26" s="13">
        <f t="shared" ca="1" si="7"/>
        <v>1061191.0291716882</v>
      </c>
      <c r="U26" s="13">
        <f t="shared" ca="1" si="8"/>
        <v>466530.36202321091</v>
      </c>
      <c r="V26" s="16">
        <f t="shared" si="9"/>
        <v>1263.5177041869231</v>
      </c>
      <c r="W26" s="16">
        <f t="shared" ca="1" si="10"/>
        <v>1265.9589764494451</v>
      </c>
      <c r="X26" s="47">
        <f t="shared" ca="1" si="11"/>
        <v>1061191.0291716882</v>
      </c>
      <c r="Y26" s="47">
        <f t="shared" ca="1" si="25"/>
        <v>466530.36202321091</v>
      </c>
      <c r="Z26" s="47">
        <f t="shared" ca="1" si="28"/>
        <v>1061191.1636164568</v>
      </c>
      <c r="AA26" s="47">
        <f t="shared" ca="1" si="29"/>
        <v>466530.46537388768</v>
      </c>
      <c r="AB26" s="47">
        <f t="shared" ca="1" si="30"/>
        <v>0.16957817718357782</v>
      </c>
      <c r="AC26" s="47">
        <f t="shared" ca="1" si="31"/>
        <v>2.9326149813650151</v>
      </c>
      <c r="AD26" s="47">
        <f t="shared" ca="1" si="32"/>
        <v>0.29048802987563249</v>
      </c>
      <c r="AE26" s="44">
        <f t="shared" ca="1" si="33"/>
        <v>9.6199999999999992</v>
      </c>
      <c r="AF26" s="44">
        <f t="shared" ca="1" si="34"/>
        <v>0.95</v>
      </c>
      <c r="AH26" s="44">
        <v>9.6199999999999992</v>
      </c>
      <c r="AI26" s="44">
        <f t="shared" ca="1" si="35"/>
        <v>0.95</v>
      </c>
      <c r="AJ26" s="2" t="str">
        <f t="shared" ca="1" si="27"/>
        <v>9.62,0.95</v>
      </c>
    </row>
    <row r="27" spans="1:36" x14ac:dyDescent="0.25">
      <c r="A27" s="44">
        <v>7</v>
      </c>
      <c r="B27" s="48">
        <v>9.6075231481481485</v>
      </c>
      <c r="C27" s="48">
        <v>4.2640277777777778</v>
      </c>
      <c r="D27" s="44">
        <v>8.8450000000000006</v>
      </c>
      <c r="E27" s="44"/>
      <c r="F27" s="44"/>
      <c r="G27" s="43">
        <f t="shared" si="17"/>
        <v>102.33666666666667</v>
      </c>
      <c r="H27" s="43">
        <f t="shared" si="18"/>
        <v>1.7861117788492638</v>
      </c>
      <c r="I27" s="43">
        <f t="shared" si="3"/>
        <v>230.58055555555558</v>
      </c>
      <c r="J27" s="39">
        <f t="shared" si="19"/>
        <v>4.0243898855221474</v>
      </c>
      <c r="K27" s="39">
        <f t="shared" si="20"/>
        <v>8.6407605004950447</v>
      </c>
      <c r="L27" s="15">
        <f t="shared" si="21"/>
        <v>-1.8897838429525817</v>
      </c>
      <c r="M27" s="13"/>
      <c r="N27" s="16">
        <f t="shared" si="4"/>
        <v>230.58055555555558</v>
      </c>
      <c r="O27" s="16">
        <f t="shared" ca="1" si="22"/>
        <v>92.579295711524225</v>
      </c>
      <c r="P27" s="16">
        <f t="shared" ca="1" si="23"/>
        <v>323.15985126707983</v>
      </c>
      <c r="Q27" s="16">
        <f t="shared" ca="1" si="24"/>
        <v>5.6402034148657121</v>
      </c>
      <c r="R27" s="16">
        <f t="shared" ca="1" si="5"/>
        <v>-5.1808664614333368</v>
      </c>
      <c r="S27" s="16">
        <f t="shared" ca="1" si="6"/>
        <v>6.9152993236526363</v>
      </c>
      <c r="T27" s="13">
        <f t="shared" ca="1" si="7"/>
        <v>1061190.3881335384</v>
      </c>
      <c r="U27" s="13">
        <f t="shared" ca="1" si="8"/>
        <v>466530.6682993237</v>
      </c>
      <c r="V27" s="16">
        <f t="shared" si="9"/>
        <v>1263.2272161570475</v>
      </c>
      <c r="W27" s="16">
        <f t="shared" ca="1" si="10"/>
        <v>1265.6684884195695</v>
      </c>
      <c r="X27" s="47">
        <f t="shared" ca="1" si="11"/>
        <v>1061190.3881335384</v>
      </c>
      <c r="Y27" s="47">
        <f t="shared" ca="1" si="25"/>
        <v>466530.6682993237</v>
      </c>
      <c r="Z27" s="47">
        <f t="shared" ca="1" si="28"/>
        <v>1061190.7775209737</v>
      </c>
      <c r="AA27" s="47">
        <f t="shared" ca="1" si="29"/>
        <v>466530.96763008507</v>
      </c>
      <c r="AB27" s="47">
        <f t="shared" ca="1" si="30"/>
        <v>0.49114303359937467</v>
      </c>
      <c r="AC27" s="47">
        <f t="shared" ca="1" si="31"/>
        <v>3.5661218952006095</v>
      </c>
      <c r="AD27" s="47">
        <f t="shared" ca="1" si="32"/>
        <v>0</v>
      </c>
      <c r="AE27" s="44">
        <f t="shared" ca="1" si="33"/>
        <v>11.7</v>
      </c>
      <c r="AF27" s="44">
        <f t="shared" ca="1" si="34"/>
        <v>0</v>
      </c>
      <c r="AH27" s="44">
        <v>11.7</v>
      </c>
      <c r="AI27" s="44">
        <f t="shared" ca="1" si="35"/>
        <v>0</v>
      </c>
      <c r="AJ27" s="2" t="str">
        <f t="shared" ca="1" si="27"/>
        <v>11.7,0</v>
      </c>
    </row>
    <row r="28" spans="1:36" x14ac:dyDescent="0.25">
      <c r="A28" s="44">
        <v>8</v>
      </c>
      <c r="B28" s="48">
        <v>9.6316782407407402</v>
      </c>
      <c r="C28" s="48">
        <v>3.8944560185185186</v>
      </c>
      <c r="D28" s="44">
        <v>25.646000000000001</v>
      </c>
      <c r="E28" s="44"/>
      <c r="F28" s="44"/>
      <c r="G28" s="43">
        <f t="shared" si="17"/>
        <v>93.466944444444451</v>
      </c>
      <c r="H28" s="43">
        <f t="shared" si="18"/>
        <v>1.6313059223341779</v>
      </c>
      <c r="I28" s="43">
        <f t="shared" si="3"/>
        <v>231.16027777777776</v>
      </c>
      <c r="J28" s="39">
        <f t="shared" si="19"/>
        <v>4.0345079470469027</v>
      </c>
      <c r="K28" s="39">
        <f t="shared" si="20"/>
        <v>25.599064048400557</v>
      </c>
      <c r="L28" s="15">
        <f t="shared" si="21"/>
        <v>-1.5508822798285209</v>
      </c>
      <c r="M28" s="13"/>
      <c r="N28" s="16">
        <f t="shared" si="4"/>
        <v>231.16027777777776</v>
      </c>
      <c r="O28" s="16">
        <f t="shared" ca="1" si="22"/>
        <v>92.579295711524225</v>
      </c>
      <c r="P28" s="16">
        <f t="shared" ca="1" si="23"/>
        <v>323.73957348930196</v>
      </c>
      <c r="Q28" s="16">
        <f t="shared" ca="1" si="24"/>
        <v>5.6503214763904666</v>
      </c>
      <c r="R28" s="16">
        <f t="shared" ca="1" si="5"/>
        <v>-15.140730083537033</v>
      </c>
      <c r="S28" s="16">
        <f t="shared" ca="1" si="6"/>
        <v>20.641472154175208</v>
      </c>
      <c r="T28" s="13">
        <f t="shared" ca="1" si="7"/>
        <v>1061180.4282699164</v>
      </c>
      <c r="U28" s="13">
        <f t="shared" ca="1" si="8"/>
        <v>466544.39447215421</v>
      </c>
      <c r="V28" s="16">
        <f t="shared" si="9"/>
        <v>1263.5661177201714</v>
      </c>
      <c r="W28" s="16">
        <f t="shared" ca="1" si="10"/>
        <v>1266.0073899826934</v>
      </c>
      <c r="X28" s="47">
        <f t="shared" ca="1" si="11"/>
        <v>1061180.4282699164</v>
      </c>
      <c r="Y28" s="47">
        <f t="shared" ca="1" si="25"/>
        <v>466544.39447215421</v>
      </c>
      <c r="Z28" s="47">
        <f t="shared" ca="1" si="28"/>
        <v>1061180.4457059931</v>
      </c>
      <c r="AA28" s="47">
        <f t="shared" ca="1" si="29"/>
        <v>466544.40787565336</v>
      </c>
      <c r="AB28" s="47">
        <f t="shared" ca="1" si="30"/>
        <v>2.1992511419682562E-2</v>
      </c>
      <c r="AC28" s="47">
        <f t="shared" ca="1" si="31"/>
        <v>20.518602590638654</v>
      </c>
      <c r="AD28" s="47">
        <f t="shared" ca="1" si="32"/>
        <v>0.33890156312395447</v>
      </c>
      <c r="AE28" s="44">
        <f t="shared" ca="1" si="33"/>
        <v>67.319999999999993</v>
      </c>
      <c r="AF28" s="44">
        <f t="shared" ca="1" si="34"/>
        <v>1.1100000000000001</v>
      </c>
      <c r="AH28" s="44">
        <v>67.319999999999993</v>
      </c>
      <c r="AI28" s="44">
        <f t="shared" ca="1" si="35"/>
        <v>1.1100000000000001</v>
      </c>
      <c r="AJ28" s="2" t="str">
        <f t="shared" ca="1" si="27"/>
        <v>67.32,1.11</v>
      </c>
    </row>
    <row r="29" spans="1:36" x14ac:dyDescent="0.25">
      <c r="A29" s="44">
        <v>9</v>
      </c>
      <c r="B29" s="48">
        <v>9.6406712962962953</v>
      </c>
      <c r="C29" s="48">
        <v>3.8609374999999999</v>
      </c>
      <c r="D29" s="44">
        <v>31.395</v>
      </c>
      <c r="E29" s="44"/>
      <c r="F29" s="44"/>
      <c r="G29" s="43">
        <f t="shared" si="17"/>
        <v>92.662499999999994</v>
      </c>
      <c r="H29" s="43">
        <f t="shared" si="18"/>
        <v>1.6172657181292456</v>
      </c>
      <c r="I29" s="43">
        <f t="shared" si="3"/>
        <v>231.37611111111107</v>
      </c>
      <c r="J29" s="39">
        <f t="shared" si="19"/>
        <v>4.0382749493491241</v>
      </c>
      <c r="K29" s="39">
        <f t="shared" si="20"/>
        <v>31.361108849897594</v>
      </c>
      <c r="L29" s="15">
        <f t="shared" si="21"/>
        <v>-1.4583815361128079</v>
      </c>
      <c r="M29" s="13"/>
      <c r="N29" s="16">
        <f t="shared" si="4"/>
        <v>231.37611111111107</v>
      </c>
      <c r="O29" s="16">
        <f t="shared" ca="1" si="22"/>
        <v>92.579295711524225</v>
      </c>
      <c r="P29" s="16">
        <f t="shared" ca="1" si="23"/>
        <v>323.95540682263527</v>
      </c>
      <c r="Q29" s="16">
        <f t="shared" ca="1" si="24"/>
        <v>5.654088478692687</v>
      </c>
      <c r="R29" s="16">
        <f t="shared" ca="1" si="5"/>
        <v>-18.453338406635925</v>
      </c>
      <c r="S29" s="16">
        <f t="shared" ca="1" si="6"/>
        <v>25.3573155114121</v>
      </c>
      <c r="T29" s="13">
        <f t="shared" ca="1" si="7"/>
        <v>1061177.1156615932</v>
      </c>
      <c r="U29" s="13">
        <f t="shared" ca="1" si="8"/>
        <v>466549.11031551141</v>
      </c>
      <c r="V29" s="16">
        <f t="shared" si="9"/>
        <v>1263.6586184638873</v>
      </c>
      <c r="W29" s="16">
        <f t="shared" ca="1" si="10"/>
        <v>1266.0998907264093</v>
      </c>
      <c r="X29" s="47">
        <f t="shared" ca="1" si="11"/>
        <v>1061177.1156615932</v>
      </c>
      <c r="Y29" s="47">
        <f t="shared" ca="1" si="25"/>
        <v>466549.11031551141</v>
      </c>
      <c r="Z29" s="47">
        <f t="shared" ca="1" si="28"/>
        <v>1061176.9366312299</v>
      </c>
      <c r="AA29" s="47">
        <f t="shared" ca="1" si="29"/>
        <v>466548.97269089846</v>
      </c>
      <c r="AB29" s="47">
        <f t="shared" ca="1" si="30"/>
        <v>0.22581497966898981</v>
      </c>
      <c r="AC29" s="47">
        <f t="shared" ca="1" si="31"/>
        <v>26.27630559751444</v>
      </c>
      <c r="AD29" s="47">
        <f t="shared" ca="1" si="32"/>
        <v>0.43140230683980008</v>
      </c>
      <c r="AE29" s="44">
        <f t="shared" ca="1" si="33"/>
        <v>86.21</v>
      </c>
      <c r="AF29" s="44">
        <f t="shared" ca="1" si="34"/>
        <v>1.42</v>
      </c>
      <c r="AH29" s="44">
        <v>86.21</v>
      </c>
      <c r="AI29" s="44">
        <f t="shared" ca="1" si="35"/>
        <v>1.42</v>
      </c>
      <c r="AJ29" s="2" t="str">
        <f t="shared" ca="1" si="27"/>
        <v>86.21,1.42</v>
      </c>
    </row>
    <row r="30" spans="1:36" x14ac:dyDescent="0.25">
      <c r="A30" s="44">
        <v>10</v>
      </c>
      <c r="B30" s="48">
        <v>9.6626851851851843</v>
      </c>
      <c r="C30" s="48">
        <v>3.803263888888889</v>
      </c>
      <c r="D30" s="44">
        <v>35.857999999999997</v>
      </c>
      <c r="E30" s="44"/>
      <c r="F30" s="44"/>
      <c r="G30" s="43">
        <f t="shared" si="17"/>
        <v>91.278333333333336</v>
      </c>
      <c r="H30" s="43">
        <f t="shared" si="18"/>
        <v>1.5931074523995574</v>
      </c>
      <c r="I30" s="43">
        <f t="shared" si="3"/>
        <v>231.90444444444444</v>
      </c>
      <c r="J30" s="39">
        <f t="shared" si="19"/>
        <v>4.0474961055638277</v>
      </c>
      <c r="K30" s="39">
        <f t="shared" si="20"/>
        <v>35.849075559180278</v>
      </c>
      <c r="L30" s="15">
        <f t="shared" si="21"/>
        <v>-0.79996596939058762</v>
      </c>
      <c r="M30" s="13"/>
      <c r="N30" s="16">
        <f t="shared" si="4"/>
        <v>231.90444444444444</v>
      </c>
      <c r="O30" s="16">
        <f t="shared" ca="1" si="22"/>
        <v>92.579295711524225</v>
      </c>
      <c r="P30" s="16">
        <f t="shared" ca="1" si="23"/>
        <v>324.48374015596869</v>
      </c>
      <c r="Q30" s="16">
        <f t="shared" ca="1" si="24"/>
        <v>5.6633096349073924</v>
      </c>
      <c r="R30" s="16">
        <f t="shared" ca="1" si="5"/>
        <v>-20.825945727624994</v>
      </c>
      <c r="S30" s="16">
        <f t="shared" ca="1" si="6"/>
        <v>29.1793797569077</v>
      </c>
      <c r="T30" s="13">
        <f t="shared" ca="1" si="7"/>
        <v>1061174.7430542724</v>
      </c>
      <c r="U30" s="13">
        <f t="shared" ca="1" si="8"/>
        <v>466552.93237975694</v>
      </c>
      <c r="V30" s="16">
        <f t="shared" si="9"/>
        <v>1264.3170340306094</v>
      </c>
      <c r="W30" s="16">
        <f t="shared" ca="1" si="10"/>
        <v>1266.7583062931315</v>
      </c>
      <c r="X30" s="47">
        <f t="shared" ca="1" si="11"/>
        <v>1061174.7430542724</v>
      </c>
      <c r="Y30" s="47">
        <f t="shared" ca="1" si="25"/>
        <v>466552.93237975694</v>
      </c>
      <c r="Z30" s="47">
        <f t="shared" ca="1" si="28"/>
        <v>1061174.2085733756</v>
      </c>
      <c r="AA30" s="47">
        <f t="shared" ca="1" si="29"/>
        <v>466552.52151243226</v>
      </c>
      <c r="AB30" s="47">
        <f t="shared" ca="1" si="30"/>
        <v>0.67415264407371978</v>
      </c>
      <c r="AC30" s="47">
        <f t="shared" ca="1" si="31"/>
        <v>30.752513136870398</v>
      </c>
      <c r="AD30" s="47">
        <f t="shared" ca="1" si="32"/>
        <v>1.0898178735619695</v>
      </c>
      <c r="AE30" s="44">
        <f t="shared" ca="1" si="33"/>
        <v>100.89</v>
      </c>
      <c r="AF30" s="44">
        <f t="shared" ca="1" si="34"/>
        <v>3.58</v>
      </c>
      <c r="AH30" s="44">
        <v>100.89</v>
      </c>
      <c r="AI30" s="44">
        <f t="shared" ca="1" si="35"/>
        <v>3.58</v>
      </c>
      <c r="AJ30" s="2" t="str">
        <f t="shared" ca="1" si="27"/>
        <v>100.89,3.58</v>
      </c>
    </row>
    <row r="31" spans="1:36" x14ac:dyDescent="0.25">
      <c r="A31" s="44">
        <v>11</v>
      </c>
      <c r="B31" s="48">
        <v>9.6437037037037037</v>
      </c>
      <c r="C31" s="48">
        <v>3.813599537037037</v>
      </c>
      <c r="D31" s="44">
        <v>38.277999999999999</v>
      </c>
      <c r="E31" s="44"/>
      <c r="F31" s="44"/>
      <c r="G31" s="43">
        <f t="shared" si="17"/>
        <v>91.526388888888889</v>
      </c>
      <c r="H31" s="43">
        <f t="shared" si="18"/>
        <v>1.5974368385718656</v>
      </c>
      <c r="I31" s="43">
        <f t="shared" si="3"/>
        <v>231.44888888888889</v>
      </c>
      <c r="J31" s="39">
        <f t="shared" si="19"/>
        <v>4.0395451611936313</v>
      </c>
      <c r="K31" s="39">
        <f t="shared" si="20"/>
        <v>38.264417532205727</v>
      </c>
      <c r="L31" s="15">
        <f t="shared" si="21"/>
        <v>-1.0196248923142597</v>
      </c>
      <c r="M31" s="13"/>
      <c r="N31" s="16">
        <f t="shared" si="4"/>
        <v>231.44888888888889</v>
      </c>
      <c r="O31" s="16">
        <f t="shared" ca="1" si="22"/>
        <v>92.579295711524225</v>
      </c>
      <c r="P31" s="16">
        <f t="shared" ca="1" si="23"/>
        <v>324.02818460041311</v>
      </c>
      <c r="Q31" s="16">
        <f t="shared" ca="1" si="24"/>
        <v>5.6553586905371951</v>
      </c>
      <c r="R31" s="16">
        <f t="shared" ca="1" si="5"/>
        <v>-22.476029622800795</v>
      </c>
      <c r="S31" s="16">
        <f t="shared" ca="1" si="6"/>
        <v>30.967624085065911</v>
      </c>
      <c r="T31" s="13">
        <f t="shared" ca="1" si="7"/>
        <v>1061173.0929703771</v>
      </c>
      <c r="U31" s="13">
        <f t="shared" ca="1" si="8"/>
        <v>466554.72062408511</v>
      </c>
      <c r="V31" s="16">
        <f t="shared" si="9"/>
        <v>1264.0973751076856</v>
      </c>
      <c r="W31" s="16">
        <f t="shared" ca="1" si="10"/>
        <v>1266.5386473702076</v>
      </c>
      <c r="X31" s="47">
        <f t="shared" ca="1" si="11"/>
        <v>1061173.0929703771</v>
      </c>
      <c r="Y31" s="47">
        <f t="shared" ca="1" si="25"/>
        <v>466554.72062408511</v>
      </c>
      <c r="Z31" s="47">
        <f t="shared" ca="1" si="28"/>
        <v>1061172.7316084385</v>
      </c>
      <c r="AA31" s="47">
        <f t="shared" ca="1" si="29"/>
        <v>466554.44283714495</v>
      </c>
      <c r="AB31" s="47">
        <f t="shared" ca="1" si="30"/>
        <v>0.45579385114498716</v>
      </c>
      <c r="AC31" s="47">
        <f t="shared" ca="1" si="31"/>
        <v>33.175922734295064</v>
      </c>
      <c r="AD31" s="47">
        <f t="shared" ca="1" si="32"/>
        <v>0.87015895063814241</v>
      </c>
      <c r="AE31" s="44">
        <f t="shared" ca="1" si="33"/>
        <v>108.84</v>
      </c>
      <c r="AF31" s="44">
        <f t="shared" ca="1" si="34"/>
        <v>2.85</v>
      </c>
      <c r="AH31" s="44">
        <v>108.84</v>
      </c>
      <c r="AI31" s="44">
        <f t="shared" ca="1" si="35"/>
        <v>2.85</v>
      </c>
      <c r="AJ31" s="2" t="str">
        <f t="shared" ca="1" si="27"/>
        <v>108.84,2.85</v>
      </c>
    </row>
    <row r="32" spans="1:36" x14ac:dyDescent="0.25">
      <c r="A32" s="44">
        <v>12</v>
      </c>
      <c r="B32" s="48">
        <v>9.6620138888888878</v>
      </c>
      <c r="C32" s="48">
        <v>3.8395023148148151</v>
      </c>
      <c r="D32" s="44">
        <v>40.112000000000002</v>
      </c>
      <c r="E32" s="44"/>
      <c r="F32" s="44"/>
      <c r="G32" s="43">
        <f t="shared" si="17"/>
        <v>92.148055555555558</v>
      </c>
      <c r="H32" s="43">
        <f t="shared" si="18"/>
        <v>1.6082869687550971</v>
      </c>
      <c r="I32" s="43">
        <f t="shared" si="3"/>
        <v>231.88833333333332</v>
      </c>
      <c r="J32" s="39">
        <f t="shared" si="19"/>
        <v>4.0472149136287836</v>
      </c>
      <c r="K32" s="39">
        <f t="shared" si="20"/>
        <v>40.083813626281454</v>
      </c>
      <c r="L32" s="15">
        <f t="shared" si="21"/>
        <v>-1.5034723720552297</v>
      </c>
      <c r="M32" s="13"/>
      <c r="N32" s="16">
        <f t="shared" si="4"/>
        <v>231.88833333333332</v>
      </c>
      <c r="O32" s="16">
        <f t="shared" ca="1" si="22"/>
        <v>92.579295711524225</v>
      </c>
      <c r="P32" s="16">
        <f t="shared" ca="1" si="23"/>
        <v>324.46762904485752</v>
      </c>
      <c r="Q32" s="16">
        <f t="shared" ca="1" si="24"/>
        <v>5.6630284429723474</v>
      </c>
      <c r="R32" s="16">
        <f t="shared" ca="1" si="5"/>
        <v>-23.2952222350375</v>
      </c>
      <c r="S32" s="16">
        <f t="shared" ca="1" si="6"/>
        <v>32.619698586079572</v>
      </c>
      <c r="T32" s="13">
        <f t="shared" ca="1" si="7"/>
        <v>1061172.2737777648</v>
      </c>
      <c r="U32" s="13">
        <f t="shared" ca="1" si="8"/>
        <v>466556.37269858608</v>
      </c>
      <c r="V32" s="16">
        <f t="shared" si="9"/>
        <v>1263.6135276279447</v>
      </c>
      <c r="W32" s="16">
        <f t="shared" ca="1" si="10"/>
        <v>1266.0547998904667</v>
      </c>
      <c r="X32" s="47">
        <f t="shared" ca="1" si="11"/>
        <v>1061172.2737777648</v>
      </c>
      <c r="Y32" s="47">
        <f t="shared" ca="1" si="25"/>
        <v>466556.37269858608</v>
      </c>
      <c r="Z32" s="47">
        <f t="shared" ca="1" si="28"/>
        <v>1061171.6290641795</v>
      </c>
      <c r="AA32" s="47">
        <f t="shared" ca="1" si="29"/>
        <v>466555.87709294795</v>
      </c>
      <c r="AB32" s="47">
        <f t="shared" ca="1" si="30"/>
        <v>0.81319158602123132</v>
      </c>
      <c r="AC32" s="47">
        <f t="shared" ca="1" si="31"/>
        <v>34.98498148171268</v>
      </c>
      <c r="AD32" s="47">
        <f t="shared" ca="1" si="32"/>
        <v>0.38631147089722617</v>
      </c>
      <c r="AE32" s="44">
        <f t="shared" ca="1" si="33"/>
        <v>114.78</v>
      </c>
      <c r="AF32" s="44">
        <f t="shared" ca="1" si="34"/>
        <v>1.27</v>
      </c>
      <c r="AH32" s="44">
        <v>114.78</v>
      </c>
      <c r="AI32" s="44">
        <f t="shared" ref="AI32:AI36" ca="1" si="36">OFFSET($AF$22,MATCH(AH32,$AE$23:$AE$59,0),0)</f>
        <v>1.27</v>
      </c>
      <c r="AJ32" s="44" t="str">
        <f t="shared" ref="AJ32:AJ36" ca="1" si="37">CONCATENATE(AH32,",",AI32)</f>
        <v>114.78,1.27</v>
      </c>
    </row>
    <row r="33" spans="1:36" x14ac:dyDescent="0.25">
      <c r="A33" s="44">
        <v>13</v>
      </c>
      <c r="B33" s="48">
        <v>9.6484143518518515</v>
      </c>
      <c r="C33" s="48">
        <v>3.8206712962962963</v>
      </c>
      <c r="D33" s="44">
        <v>46.619</v>
      </c>
      <c r="E33" s="44"/>
      <c r="F33" s="44"/>
      <c r="G33" s="43">
        <f t="shared" si="17"/>
        <v>91.696111111111108</v>
      </c>
      <c r="H33" s="43">
        <f t="shared" si="18"/>
        <v>1.6003990501634449</v>
      </c>
      <c r="I33" s="43">
        <f t="shared" si="3"/>
        <v>231.56194444444444</v>
      </c>
      <c r="J33" s="39">
        <f t="shared" si="19"/>
        <v>4.0415183528757472</v>
      </c>
      <c r="K33" s="39">
        <f t="shared" si="20"/>
        <v>46.598574881915596</v>
      </c>
      <c r="L33" s="15">
        <f t="shared" si="21"/>
        <v>-1.3798478084573798</v>
      </c>
      <c r="M33" s="13"/>
      <c r="N33" s="16">
        <f t="shared" si="4"/>
        <v>231.56194444444444</v>
      </c>
      <c r="O33" s="16">
        <f t="shared" ca="1" si="22"/>
        <v>92.579295711524225</v>
      </c>
      <c r="P33" s="16">
        <f t="shared" ca="1" si="23"/>
        <v>324.14124015596866</v>
      </c>
      <c r="Q33" s="16">
        <f t="shared" ca="1" si="24"/>
        <v>5.657331882219311</v>
      </c>
      <c r="R33" s="16">
        <f t="shared" ca="1" si="5"/>
        <v>-27.296939848612858</v>
      </c>
      <c r="S33" s="16">
        <f t="shared" ca="1" si="6"/>
        <v>37.766443517052366</v>
      </c>
      <c r="T33" s="13">
        <f t="shared" ca="1" si="7"/>
        <v>1061168.2720601512</v>
      </c>
      <c r="U33" s="13">
        <f t="shared" ca="1" si="8"/>
        <v>466561.51944351709</v>
      </c>
      <c r="V33" s="16">
        <f t="shared" si="9"/>
        <v>1263.7371521915427</v>
      </c>
      <c r="W33" s="16">
        <f t="shared" ca="1" si="10"/>
        <v>1266.1784244540647</v>
      </c>
      <c r="X33" s="47">
        <f t="shared" ca="1" si="11"/>
        <v>1061168.2720601512</v>
      </c>
      <c r="Y33" s="47">
        <f t="shared" ca="1" si="25"/>
        <v>466561.51944351709</v>
      </c>
      <c r="Z33" s="47">
        <f t="shared" ca="1" si="28"/>
        <v>1061167.6558207795</v>
      </c>
      <c r="AA33" s="47">
        <f t="shared" ca="1" si="29"/>
        <v>466561.04572663899</v>
      </c>
      <c r="AB33" s="47">
        <f t="shared" ca="1" si="30"/>
        <v>0.7772764269171949</v>
      </c>
      <c r="AC33" s="47">
        <f t="shared" ca="1" si="31"/>
        <v>41.504294125516424</v>
      </c>
      <c r="AD33" s="47">
        <f t="shared" ca="1" si="32"/>
        <v>0.50993603449524016</v>
      </c>
      <c r="AE33" s="44">
        <f t="shared" ca="1" si="33"/>
        <v>136.16999999999999</v>
      </c>
      <c r="AF33" s="44">
        <f t="shared" ca="1" si="34"/>
        <v>1.67</v>
      </c>
      <c r="AH33" s="44">
        <v>136.16999999999999</v>
      </c>
      <c r="AI33" s="44">
        <f t="shared" ca="1" si="36"/>
        <v>1.67</v>
      </c>
      <c r="AJ33" s="44" t="str">
        <f t="shared" ca="1" si="37"/>
        <v>136.17,1.67</v>
      </c>
    </row>
    <row r="34" spans="1:36" x14ac:dyDescent="0.25">
      <c r="A34" s="44">
        <v>14</v>
      </c>
      <c r="B34" s="48">
        <v>9.6267592592592592</v>
      </c>
      <c r="C34" s="48">
        <v>3.8014351851851855</v>
      </c>
      <c r="D34" s="44">
        <v>53.256</v>
      </c>
      <c r="E34" s="44"/>
      <c r="F34" s="44"/>
      <c r="G34" s="43">
        <f t="shared" si="17"/>
        <v>91.234444444444449</v>
      </c>
      <c r="H34" s="43">
        <f t="shared" si="18"/>
        <v>1.5923414467834045</v>
      </c>
      <c r="I34" s="43">
        <f t="shared" si="3"/>
        <v>231.04222222222222</v>
      </c>
      <c r="J34" s="39">
        <f t="shared" si="19"/>
        <v>4.0324474889021875</v>
      </c>
      <c r="K34" s="39">
        <f t="shared" si="20"/>
        <v>53.243639968353321</v>
      </c>
      <c r="L34" s="15">
        <f t="shared" si="21"/>
        <v>-1.1473181426128385</v>
      </c>
      <c r="M34" s="13"/>
      <c r="N34" s="16">
        <f t="shared" si="4"/>
        <v>231.04222222222222</v>
      </c>
      <c r="O34" s="16">
        <f t="shared" ca="1" si="22"/>
        <v>92.579295711524225</v>
      </c>
      <c r="P34" s="16">
        <f t="shared" ca="1" si="23"/>
        <v>323.62151793374642</v>
      </c>
      <c r="Q34" s="16">
        <f t="shared" ca="1" si="24"/>
        <v>5.6482610182457513</v>
      </c>
      <c r="R34" s="16">
        <f t="shared" ca="1" si="5"/>
        <v>-31.579684570286897</v>
      </c>
      <c r="S34" s="16">
        <f t="shared" ca="1" si="6"/>
        <v>42.867338610191496</v>
      </c>
      <c r="T34" s="13">
        <f t="shared" ca="1" si="7"/>
        <v>1061163.9893154297</v>
      </c>
      <c r="U34" s="13">
        <f t="shared" ca="1" si="8"/>
        <v>466566.6203386102</v>
      </c>
      <c r="V34" s="16">
        <f t="shared" si="9"/>
        <v>1263.9696818573871</v>
      </c>
      <c r="W34" s="16">
        <f t="shared" ca="1" si="10"/>
        <v>1266.4109541199091</v>
      </c>
      <c r="X34" s="47">
        <f t="shared" ca="1" si="11"/>
        <v>1061163.9893154297</v>
      </c>
      <c r="Y34" s="47">
        <f t="shared" ca="1" si="25"/>
        <v>466566.6203386102</v>
      </c>
      <c r="Z34" s="47">
        <f t="shared" ca="1" si="28"/>
        <v>1061163.6003472896</v>
      </c>
      <c r="AA34" s="47">
        <f t="shared" ca="1" si="29"/>
        <v>466566.32133017061</v>
      </c>
      <c r="AB34" s="47">
        <f t="shared" ca="1" si="30"/>
        <v>0.49061416711285671</v>
      </c>
      <c r="AC34" s="47">
        <f t="shared" ca="1" si="31"/>
        <v>48.158530208671003</v>
      </c>
      <c r="AD34" s="47">
        <f t="shared" ca="1" si="32"/>
        <v>0.74246570033960779</v>
      </c>
      <c r="AE34" s="44">
        <f t="shared" ca="1" si="33"/>
        <v>158</v>
      </c>
      <c r="AF34" s="44">
        <f t="shared" ca="1" si="34"/>
        <v>2.44</v>
      </c>
      <c r="AH34" s="44">
        <v>158</v>
      </c>
      <c r="AI34" s="44">
        <f t="shared" ca="1" si="36"/>
        <v>2.44</v>
      </c>
      <c r="AJ34" s="44" t="str">
        <f t="shared" ca="1" si="37"/>
        <v>158,2.44</v>
      </c>
    </row>
    <row r="35" spans="1:36" x14ac:dyDescent="0.25">
      <c r="A35" s="44">
        <v>15</v>
      </c>
      <c r="B35" s="48">
        <v>9.5662037037037049</v>
      </c>
      <c r="C35" s="48">
        <v>3.778912037037037</v>
      </c>
      <c r="D35" s="44">
        <v>64.721000000000004</v>
      </c>
      <c r="E35" s="44"/>
      <c r="F35" s="44"/>
      <c r="G35" s="43">
        <f t="shared" ref="G35:G39" si="38">C35*24</f>
        <v>90.693888888888893</v>
      </c>
      <c r="H35" s="43">
        <f t="shared" ref="H35:H39" si="39">RADIANS(G35)</f>
        <v>1.5829069725490128</v>
      </c>
      <c r="I35" s="43">
        <f t="shared" ref="I35:I39" si="40">B35*24</f>
        <v>229.5888888888889</v>
      </c>
      <c r="J35" s="49">
        <f t="shared" ref="J35:J39" si="41">RADIANS(I35)</f>
        <v>4.007082037106537</v>
      </c>
      <c r="K35" s="49">
        <f t="shared" ref="K35:K39" si="42">D35*SIN(H35)</f>
        <v>64.716253816590665</v>
      </c>
      <c r="L35" s="46">
        <f t="shared" ref="L35:L39" si="43">D35*COS(H35)</f>
        <v>-0.78379394397649749</v>
      </c>
      <c r="M35" s="45"/>
      <c r="N35" s="47">
        <f t="shared" ref="N35:N39" si="44">I35+M35</f>
        <v>229.5888888888889</v>
      </c>
      <c r="O35" s="47">
        <f t="shared" ca="1" si="22"/>
        <v>92.579295711524225</v>
      </c>
      <c r="P35" s="47">
        <f t="shared" ref="P35:P39" ca="1" si="45">SUM(N35,O35)</f>
        <v>322.16818460041316</v>
      </c>
      <c r="Q35" s="47">
        <f t="shared" ref="Q35:Q39" ca="1" si="46">RADIANS(P35)</f>
        <v>5.6228955664501017</v>
      </c>
      <c r="R35" s="47">
        <f t="shared" ref="R35:R39" ca="1" si="47">K35*SIN(Q35)</f>
        <v>-39.693437238490056</v>
      </c>
      <c r="S35" s="47">
        <f t="shared" ref="S35:S39" ca="1" si="48">K35*COS(Q35)</f>
        <v>51.113839106913474</v>
      </c>
      <c r="T35" s="45">
        <f t="shared" ref="T35:T39" ca="1" si="49">Old_X0+R35</f>
        <v>1061155.8755627614</v>
      </c>
      <c r="U35" s="45">
        <f t="shared" ref="U35:U39" ca="1" si="50">Old_Y0+S35</f>
        <v>466574.86683910695</v>
      </c>
      <c r="V35" s="47">
        <f t="shared" ref="V35:V39" si="51">Old_Z0+HI+L35-E35</f>
        <v>1264.3332060560235</v>
      </c>
      <c r="W35" s="47">
        <f t="shared" ref="W35:W39" ca="1" si="52">IF(ISNUMBER(T35),V35+dZ,"")</f>
        <v>1266.7744783185456</v>
      </c>
      <c r="X35" s="47">
        <f t="shared" ref="X35:X39" ca="1" si="53">IF(AND(A35&gt;=CS_Start,A35&lt;=CS_End),IF(OR(LEFT(UPPER(F35))="D"),"",T35),"")</f>
        <v>1061155.8755627614</v>
      </c>
      <c r="Y35" s="47">
        <f t="shared" ref="Y35:Y39" ca="1" si="54">IF(ISNUMBER(X35),U35,"")</f>
        <v>466574.86683910695</v>
      </c>
      <c r="Z35" s="47">
        <f t="shared" ref="Z35:Z39" ca="1" si="55">IF(X35="","",VALUE((-mB*X35+Y35-bA)/(mA-mB)))</f>
        <v>1061156.6019677189</v>
      </c>
      <c r="AA35" s="47">
        <f t="shared" ref="AA35:AA39" ca="1" si="56">IF(Z35="","",VALUE(mA*Z35+bA))</f>
        <v>466575.42524271505</v>
      </c>
      <c r="AB35" s="47">
        <f t="shared" ref="AB35:AB39" ca="1" si="57">IF(ISNUMBER(X35),SQRT((X35-Z35)^2+(Y35-AA35)^2),"")</f>
        <v>0.91623073064528826</v>
      </c>
      <c r="AC35" s="47">
        <f t="shared" ref="AC35:AC39" ca="1" si="58">IF(ISNUMBER(Z35),SQRT(($Z35-OFFSET($Z$20,MATCH(CS_Start,$A$21:$A$51,0),0))^2+($AA35-OFFSET($AA$20,MATCH(CS_Start,$A$21:$A$51,0),0))^2),"")</f>
        <v>59.641497605291605</v>
      </c>
      <c r="AD35" s="47">
        <f t="shared" ref="AD35:AD39" ca="1" si="59">IF(ISNUMBER(X35),W35-Min_Z,"")</f>
        <v>1.1059898989760768</v>
      </c>
      <c r="AE35" s="44">
        <f t="shared" ref="AE35:AE39" ca="1" si="60">ROUND(CONVERT(AC35,"m","ft"),2)</f>
        <v>195.67</v>
      </c>
      <c r="AF35" s="44">
        <f t="shared" ref="AF35:AF39" ca="1" si="61">ROUND(CONVERT(AD35,"m","ft"),2)</f>
        <v>3.63</v>
      </c>
      <c r="AH35" s="44">
        <v>195.67</v>
      </c>
      <c r="AI35" s="44">
        <f t="shared" ca="1" si="36"/>
        <v>3.63</v>
      </c>
      <c r="AJ35" s="44" t="str">
        <f t="shared" ca="1" si="37"/>
        <v>195.67,3.63</v>
      </c>
    </row>
    <row r="36" spans="1:36" x14ac:dyDescent="0.25">
      <c r="A36" s="44">
        <v>16</v>
      </c>
      <c r="B36" s="48">
        <v>9.567418981481481</v>
      </c>
      <c r="C36" s="48">
        <v>3.7589351851851851</v>
      </c>
      <c r="D36" s="44">
        <v>72.83</v>
      </c>
      <c r="E36" s="44"/>
      <c r="F36" s="44"/>
      <c r="G36" s="43">
        <f t="shared" si="38"/>
        <v>90.214444444444439</v>
      </c>
      <c r="H36" s="43">
        <f t="shared" si="39"/>
        <v>1.5745390884130621</v>
      </c>
      <c r="I36" s="43">
        <f t="shared" si="40"/>
        <v>229.61805555555554</v>
      </c>
      <c r="J36" s="49">
        <f t="shared" si="41"/>
        <v>4.0075910914717019</v>
      </c>
      <c r="K36" s="49">
        <f t="shared" si="42"/>
        <v>72.829489889642602</v>
      </c>
      <c r="L36" s="46">
        <f t="shared" si="43"/>
        <v>-0.27258469224354037</v>
      </c>
      <c r="M36" s="45"/>
      <c r="N36" s="47">
        <f t="shared" si="44"/>
        <v>229.61805555555554</v>
      </c>
      <c r="O36" s="47">
        <f t="shared" ca="1" si="22"/>
        <v>92.579295711524225</v>
      </c>
      <c r="P36" s="47">
        <f t="shared" ca="1" si="45"/>
        <v>322.19735126707974</v>
      </c>
      <c r="Q36" s="47">
        <f t="shared" ca="1" si="46"/>
        <v>5.6234046208152657</v>
      </c>
      <c r="R36" s="47">
        <f t="shared" ca="1" si="47"/>
        <v>-44.64036834711429</v>
      </c>
      <c r="S36" s="47">
        <f t="shared" ca="1" si="48"/>
        <v>57.544522862037105</v>
      </c>
      <c r="T36" s="45">
        <f t="shared" ca="1" si="49"/>
        <v>1061150.9286316528</v>
      </c>
      <c r="U36" s="45">
        <f t="shared" ca="1" si="50"/>
        <v>466581.29752286203</v>
      </c>
      <c r="V36" s="47">
        <f t="shared" si="51"/>
        <v>1264.8444153077564</v>
      </c>
      <c r="W36" s="47">
        <f t="shared" ca="1" si="52"/>
        <v>1267.2856875702785</v>
      </c>
      <c r="X36" s="47">
        <f t="shared" ca="1" si="53"/>
        <v>1061150.9286316528</v>
      </c>
      <c r="Y36" s="47">
        <f t="shared" ca="1" si="54"/>
        <v>466581.29752286203</v>
      </c>
      <c r="Z36" s="47">
        <f t="shared" ca="1" si="55"/>
        <v>1061151.6572502926</v>
      </c>
      <c r="AA36" s="47">
        <f t="shared" ca="1" si="56"/>
        <v>466581.85762817692</v>
      </c>
      <c r="AB36" s="47">
        <f t="shared" ca="1" si="57"/>
        <v>0.91902289740811438</v>
      </c>
      <c r="AC36" s="47">
        <f t="shared" ca="1" si="58"/>
        <v>67.754808468078977</v>
      </c>
      <c r="AD36" s="47">
        <f t="shared" ca="1" si="59"/>
        <v>1.6171991507089842</v>
      </c>
      <c r="AE36" s="44">
        <f t="shared" ca="1" si="60"/>
        <v>222.29</v>
      </c>
      <c r="AF36" s="44">
        <f t="shared" ca="1" si="61"/>
        <v>5.31</v>
      </c>
      <c r="AH36" s="44">
        <v>222.29</v>
      </c>
      <c r="AI36" s="44">
        <f t="shared" ca="1" si="36"/>
        <v>5.31</v>
      </c>
      <c r="AJ36" s="44" t="str">
        <f t="shared" ca="1" si="37"/>
        <v>222.29,5.31</v>
      </c>
    </row>
    <row r="37" spans="1:36" x14ac:dyDescent="0.25">
      <c r="A37" s="44">
        <v>17</v>
      </c>
      <c r="B37" s="48">
        <v>8.8428703703703704</v>
      </c>
      <c r="C37" s="48">
        <v>3.7520949074074075</v>
      </c>
      <c r="D37" s="44">
        <v>64.837000000000003</v>
      </c>
      <c r="E37" s="44"/>
      <c r="F37" s="49" t="s">
        <v>86</v>
      </c>
      <c r="G37" s="43">
        <f t="shared" si="38"/>
        <v>90.050277777777779</v>
      </c>
      <c r="H37" s="43">
        <f t="shared" si="39"/>
        <v>1.5716738395577048</v>
      </c>
      <c r="I37" s="43">
        <f t="shared" si="40"/>
        <v>212.22888888888889</v>
      </c>
      <c r="J37" s="49">
        <f t="shared" si="41"/>
        <v>3.7040928789603211</v>
      </c>
      <c r="K37" s="49">
        <f t="shared" si="42"/>
        <v>64.836975036827852</v>
      </c>
      <c r="L37" s="46">
        <f t="shared" si="43"/>
        <v>-5.689528770035901E-2</v>
      </c>
      <c r="M37" s="45"/>
      <c r="N37" s="47">
        <f t="shared" si="44"/>
        <v>212.22888888888889</v>
      </c>
      <c r="O37" s="47">
        <f t="shared" ca="1" si="22"/>
        <v>92.579295711524225</v>
      </c>
      <c r="P37" s="47">
        <f t="shared" ca="1" si="45"/>
        <v>304.80818460041314</v>
      </c>
      <c r="Q37" s="47">
        <f t="shared" ca="1" si="46"/>
        <v>5.3199064083038863</v>
      </c>
      <c r="R37" s="47">
        <f t="shared" ca="1" si="47"/>
        <v>-53.235544369288988</v>
      </c>
      <c r="S37" s="47">
        <f t="shared" ca="1" si="48"/>
        <v>37.010946321753259</v>
      </c>
      <c r="T37" s="45">
        <f t="shared" ca="1" si="49"/>
        <v>1061142.3334556306</v>
      </c>
      <c r="U37" s="45">
        <f t="shared" ca="1" si="50"/>
        <v>466560.76394632179</v>
      </c>
      <c r="V37" s="47">
        <f t="shared" si="51"/>
        <v>1265.0601047122996</v>
      </c>
      <c r="W37" s="47">
        <f t="shared" ca="1" si="52"/>
        <v>1267.5013769748216</v>
      </c>
      <c r="X37" s="47" t="str">
        <f t="shared" si="53"/>
        <v/>
      </c>
      <c r="Y37" s="47" t="str">
        <f t="shared" si="54"/>
        <v/>
      </c>
      <c r="Z37" s="47" t="str">
        <f t="shared" si="55"/>
        <v/>
      </c>
      <c r="AA37" s="47" t="str">
        <f t="shared" si="56"/>
        <v/>
      </c>
      <c r="AB37" s="47" t="str">
        <f t="shared" si="57"/>
        <v/>
      </c>
      <c r="AC37" s="47" t="str">
        <f t="shared" ca="1" si="58"/>
        <v/>
      </c>
      <c r="AD37" s="47" t="str">
        <f t="shared" si="59"/>
        <v/>
      </c>
      <c r="AE37" s="44" t="e">
        <f t="shared" ca="1" si="60"/>
        <v>#VALUE!</v>
      </c>
      <c r="AF37" s="44" t="e">
        <f t="shared" si="61"/>
        <v>#VALUE!</v>
      </c>
      <c r="AH37" s="44"/>
      <c r="AI37" s="44"/>
      <c r="AJ37" s="44"/>
    </row>
    <row r="38" spans="1:36" x14ac:dyDescent="0.25">
      <c r="A38" s="44">
        <v>18</v>
      </c>
      <c r="B38" s="48">
        <v>1.1574074074074073E-5</v>
      </c>
      <c r="C38" s="48">
        <v>3.5074074074074075</v>
      </c>
      <c r="D38" s="44">
        <v>21.245999999999999</v>
      </c>
      <c r="E38" s="44"/>
      <c r="F38" s="49" t="s">
        <v>70</v>
      </c>
      <c r="G38" s="43">
        <f t="shared" si="38"/>
        <v>84.177777777777777</v>
      </c>
      <c r="H38" s="43">
        <f t="shared" si="39"/>
        <v>1.4691793792343379</v>
      </c>
      <c r="I38" s="43">
        <f t="shared" si="40"/>
        <v>2.7777777777777778E-4</v>
      </c>
      <c r="J38" s="49">
        <f t="shared" si="41"/>
        <v>4.8481368110953598E-6</v>
      </c>
      <c r="K38" s="49">
        <f t="shared" si="42"/>
        <v>21.136401217674241</v>
      </c>
      <c r="L38" s="46">
        <f t="shared" si="43"/>
        <v>2.1552400250317501</v>
      </c>
      <c r="M38" s="45"/>
      <c r="N38" s="47">
        <f t="shared" si="44"/>
        <v>2.7777777777777778E-4</v>
      </c>
      <c r="O38" s="47">
        <f t="shared" ca="1" si="22"/>
        <v>92.579295711524225</v>
      </c>
      <c r="P38" s="47">
        <f t="shared" ca="1" si="45"/>
        <v>92.579573489302007</v>
      </c>
      <c r="Q38" s="47">
        <f t="shared" ca="1" si="46"/>
        <v>1.6158183774803754</v>
      </c>
      <c r="R38" s="47">
        <f t="shared" ca="1" si="47"/>
        <v>21.114983251248148</v>
      </c>
      <c r="S38" s="47">
        <f t="shared" ca="1" si="48"/>
        <v>-0.95128267828824831</v>
      </c>
      <c r="T38" s="45">
        <f t="shared" ca="1" si="49"/>
        <v>1061216.6839832512</v>
      </c>
      <c r="U38" s="45">
        <f t="shared" ca="1" si="50"/>
        <v>466522.80171732174</v>
      </c>
      <c r="V38" s="47">
        <f t="shared" si="51"/>
        <v>1267.2722400250318</v>
      </c>
      <c r="W38" s="47">
        <f t="shared" ca="1" si="52"/>
        <v>1269.7135122875538</v>
      </c>
      <c r="X38" s="47" t="str">
        <f t="shared" si="53"/>
        <v/>
      </c>
      <c r="Y38" s="47" t="str">
        <f t="shared" si="54"/>
        <v/>
      </c>
      <c r="Z38" s="47" t="str">
        <f t="shared" si="55"/>
        <v/>
      </c>
      <c r="AA38" s="47" t="str">
        <f t="shared" si="56"/>
        <v/>
      </c>
      <c r="AB38" s="47" t="str">
        <f t="shared" si="57"/>
        <v/>
      </c>
      <c r="AC38" s="47" t="str">
        <f t="shared" ca="1" si="58"/>
        <v/>
      </c>
      <c r="AD38" s="47" t="str">
        <f t="shared" si="59"/>
        <v/>
      </c>
      <c r="AE38" s="44" t="e">
        <f t="shared" ca="1" si="60"/>
        <v>#VALUE!</v>
      </c>
      <c r="AF38" s="44" t="e">
        <f t="shared" si="61"/>
        <v>#VALUE!</v>
      </c>
      <c r="AH38" s="44"/>
      <c r="AI38" s="44"/>
      <c r="AJ38" s="44"/>
    </row>
    <row r="39" spans="1:36" x14ac:dyDescent="0.25">
      <c r="A39" s="44">
        <v>19</v>
      </c>
      <c r="B39" s="48">
        <v>4.080810185185185</v>
      </c>
      <c r="C39" s="48">
        <v>3.536539351851852</v>
      </c>
      <c r="D39" s="44">
        <v>23.387</v>
      </c>
      <c r="E39" s="44"/>
      <c r="F39" s="49" t="s">
        <v>71</v>
      </c>
      <c r="G39" s="43">
        <f t="shared" si="38"/>
        <v>84.876944444444447</v>
      </c>
      <c r="H39" s="43">
        <f t="shared" si="39"/>
        <v>1.481382139587865</v>
      </c>
      <c r="I39" s="43">
        <f t="shared" si="40"/>
        <v>97.939444444444433</v>
      </c>
      <c r="J39" s="49">
        <f t="shared" si="41"/>
        <v>1.7093657731296239</v>
      </c>
      <c r="K39" s="49">
        <f t="shared" si="42"/>
        <v>23.293573942602709</v>
      </c>
      <c r="L39" s="46">
        <f t="shared" si="43"/>
        <v>2.0883443156003021</v>
      </c>
      <c r="M39" s="45"/>
      <c r="N39" s="47">
        <f t="shared" si="44"/>
        <v>97.939444444444433</v>
      </c>
      <c r="O39" s="47">
        <f t="shared" ca="1" si="22"/>
        <v>92.579295711524225</v>
      </c>
      <c r="P39" s="47">
        <f t="shared" ca="1" si="45"/>
        <v>190.51874015596866</v>
      </c>
      <c r="Q39" s="47">
        <f t="shared" ca="1" si="46"/>
        <v>3.3251793024731882</v>
      </c>
      <c r="R39" s="47">
        <f t="shared" ca="1" si="47"/>
        <v>-4.2524076854412414</v>
      </c>
      <c r="S39" s="47">
        <f t="shared" ca="1" si="48"/>
        <v>-22.902131252272138</v>
      </c>
      <c r="T39" s="45">
        <f t="shared" ca="1" si="49"/>
        <v>1061191.3165923145</v>
      </c>
      <c r="U39" s="45">
        <f t="shared" ca="1" si="50"/>
        <v>466500.85086874774</v>
      </c>
      <c r="V39" s="47">
        <f t="shared" si="51"/>
        <v>1267.2053443156003</v>
      </c>
      <c r="W39" s="47">
        <f t="shared" ca="1" si="52"/>
        <v>1269.6466165781223</v>
      </c>
      <c r="X39" s="47" t="str">
        <f t="shared" si="53"/>
        <v/>
      </c>
      <c r="Y39" s="47" t="str">
        <f t="shared" si="54"/>
        <v/>
      </c>
      <c r="Z39" s="47" t="str">
        <f t="shared" si="55"/>
        <v/>
      </c>
      <c r="AA39" s="47" t="str">
        <f t="shared" si="56"/>
        <v/>
      </c>
      <c r="AB39" s="47" t="str">
        <f t="shared" si="57"/>
        <v/>
      </c>
      <c r="AC39" s="47" t="str">
        <f t="shared" ca="1" si="58"/>
        <v/>
      </c>
      <c r="AD39" s="47" t="str">
        <f t="shared" si="59"/>
        <v/>
      </c>
      <c r="AE39" s="44" t="e">
        <f t="shared" ca="1" si="60"/>
        <v>#VALUE!</v>
      </c>
      <c r="AF39" s="44" t="e">
        <f t="shared" si="61"/>
        <v>#VALUE!</v>
      </c>
      <c r="AH39" s="44"/>
      <c r="AI39" s="44"/>
      <c r="AJ39" s="44"/>
    </row>
    <row r="40" spans="1:36" x14ac:dyDescent="0.25">
      <c r="A40" s="44"/>
      <c r="B40" s="48"/>
      <c r="C40" s="48"/>
      <c r="D40" s="44"/>
      <c r="E40" s="44"/>
      <c r="F40" s="44"/>
      <c r="G40" s="43"/>
      <c r="H40" s="43"/>
      <c r="I40" s="43"/>
      <c r="J40" s="49"/>
      <c r="K40" s="49"/>
      <c r="L40" s="46"/>
      <c r="M40" s="45"/>
      <c r="N40" s="47"/>
      <c r="O40" s="47"/>
      <c r="P40" s="47"/>
      <c r="Q40" s="47"/>
      <c r="R40" s="47"/>
      <c r="S40" s="47"/>
      <c r="T40" s="45"/>
      <c r="U40" s="45"/>
      <c r="V40" s="47"/>
      <c r="W40" s="47"/>
      <c r="X40" s="47"/>
      <c r="Y40" s="47"/>
      <c r="Z40" s="47"/>
      <c r="AA40" s="47"/>
      <c r="AB40" s="47"/>
      <c r="AC40" s="47"/>
      <c r="AD40" s="47"/>
      <c r="AE40" s="44"/>
      <c r="AF40" s="44"/>
      <c r="AH40" s="44"/>
      <c r="AI40" s="44"/>
      <c r="AJ40" s="44"/>
    </row>
    <row r="41" spans="1:36" x14ac:dyDescent="0.25">
      <c r="A41" s="44"/>
      <c r="B41" s="48"/>
      <c r="C41" s="48"/>
      <c r="D41" s="44"/>
      <c r="E41" s="44"/>
      <c r="F41" s="44"/>
      <c r="G41" s="43"/>
      <c r="H41" s="43"/>
      <c r="I41" s="43"/>
      <c r="J41" s="49"/>
      <c r="K41" s="49"/>
      <c r="L41" s="46"/>
      <c r="M41" s="45"/>
      <c r="N41" s="47"/>
      <c r="O41" s="47"/>
      <c r="P41" s="47"/>
      <c r="Q41" s="47"/>
      <c r="R41" s="47"/>
      <c r="S41" s="47"/>
      <c r="T41" s="45"/>
      <c r="U41" s="45"/>
      <c r="V41" s="47"/>
      <c r="W41" s="47"/>
      <c r="X41" s="47"/>
      <c r="Y41" s="47"/>
      <c r="Z41" s="47"/>
      <c r="AA41" s="47"/>
      <c r="AB41" s="47"/>
      <c r="AC41" s="47"/>
      <c r="AD41" s="47"/>
      <c r="AE41" s="44"/>
      <c r="AF41" s="44"/>
    </row>
    <row r="42" spans="1:36" x14ac:dyDescent="0.25">
      <c r="A42" s="44"/>
      <c r="B42" s="48"/>
      <c r="C42" s="48"/>
      <c r="D42" s="44"/>
      <c r="E42" s="44"/>
      <c r="F42" s="44"/>
      <c r="G42" s="43"/>
      <c r="H42" s="43"/>
      <c r="I42" s="43"/>
      <c r="J42" s="49"/>
      <c r="K42" s="49"/>
      <c r="L42" s="46"/>
      <c r="M42" s="45"/>
      <c r="N42" s="47"/>
      <c r="O42" s="47"/>
      <c r="P42" s="47"/>
      <c r="Q42" s="47"/>
      <c r="R42" s="47"/>
      <c r="S42" s="47"/>
      <c r="T42" s="45"/>
      <c r="U42" s="45"/>
      <c r="V42" s="47"/>
      <c r="W42" s="47"/>
      <c r="X42" s="47"/>
      <c r="Y42" s="47"/>
      <c r="Z42" s="47"/>
      <c r="AA42" s="47"/>
      <c r="AB42" s="47"/>
      <c r="AC42" s="47"/>
      <c r="AD42" s="47"/>
      <c r="AE42" s="44"/>
      <c r="AF42" s="44"/>
    </row>
    <row r="43" spans="1:36" x14ac:dyDescent="0.25">
      <c r="A43" s="44"/>
      <c r="B43" s="48"/>
      <c r="C43" s="48"/>
      <c r="D43" s="44"/>
      <c r="E43" s="44"/>
      <c r="F43" s="44"/>
      <c r="G43" s="43"/>
      <c r="H43" s="43"/>
      <c r="I43" s="43"/>
      <c r="J43" s="49"/>
      <c r="K43" s="49"/>
      <c r="L43" s="46"/>
      <c r="M43" s="45"/>
      <c r="N43" s="47"/>
      <c r="O43" s="47"/>
      <c r="P43" s="47"/>
      <c r="Q43" s="47"/>
      <c r="R43" s="47"/>
      <c r="S43" s="47"/>
      <c r="T43" s="45"/>
      <c r="U43" s="45"/>
      <c r="V43" s="47"/>
      <c r="W43" s="47"/>
      <c r="X43" s="47"/>
      <c r="Y43" s="47"/>
      <c r="Z43" s="47"/>
      <c r="AA43" s="47"/>
      <c r="AB43" s="47"/>
      <c r="AC43" s="47"/>
      <c r="AD43" s="47"/>
      <c r="AE43" s="44"/>
      <c r="AF43" s="44"/>
    </row>
    <row r="44" spans="1:36" x14ac:dyDescent="0.25">
      <c r="A44" s="44"/>
      <c r="B44" s="48"/>
      <c r="C44" s="48"/>
      <c r="D44" s="44"/>
      <c r="E44" s="44"/>
      <c r="F44" s="49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</row>
    <row r="45" spans="1:36" x14ac:dyDescent="0.25">
      <c r="A45" s="44"/>
      <c r="B45" s="48"/>
      <c r="C45" s="48"/>
      <c r="D45" s="44"/>
      <c r="E45" s="44"/>
      <c r="F45" s="49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9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4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9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4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</row>
    <row r="55" spans="1:36" x14ac:dyDescent="0.25">
      <c r="A55" s="44"/>
      <c r="B55" s="48"/>
      <c r="C55" s="48"/>
      <c r="D55" s="44"/>
      <c r="E55" s="44"/>
      <c r="F55" s="44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</row>
    <row r="56" spans="1:36" x14ac:dyDescent="0.25">
      <c r="A56" s="44"/>
      <c r="B56" s="48"/>
      <c r="C56" s="50"/>
      <c r="D56" s="44"/>
      <c r="E56" s="44"/>
      <c r="F56" s="50"/>
      <c r="G56" s="43"/>
      <c r="H56" s="43"/>
      <c r="I56" s="43"/>
      <c r="J56" s="49"/>
      <c r="K56" s="49"/>
      <c r="L56" s="46"/>
      <c r="M56" s="45"/>
      <c r="N56" s="47"/>
      <c r="O56" s="47"/>
      <c r="P56" s="47"/>
      <c r="Q56" s="47"/>
      <c r="R56" s="47"/>
      <c r="S56" s="47"/>
      <c r="T56" s="45"/>
      <c r="U56" s="45"/>
      <c r="V56" s="47"/>
      <c r="W56" s="47"/>
      <c r="X56" s="47"/>
      <c r="Y56" s="47"/>
      <c r="Z56" s="47"/>
      <c r="AA56" s="47"/>
      <c r="AB56" s="47"/>
      <c r="AC56" s="47"/>
      <c r="AD56" s="47"/>
      <c r="AE56" s="44"/>
      <c r="AF56" s="44"/>
    </row>
    <row r="57" spans="1:36" x14ac:dyDescent="0.25">
      <c r="A57" s="44"/>
      <c r="B57" s="48"/>
      <c r="C57" s="48"/>
      <c r="D57" s="44"/>
      <c r="E57" s="44"/>
      <c r="F57" s="44"/>
      <c r="G57" s="43"/>
      <c r="H57" s="43"/>
      <c r="I57" s="43"/>
      <c r="J57" s="49"/>
      <c r="K57" s="49"/>
      <c r="L57" s="46"/>
      <c r="M57" s="45"/>
      <c r="N57" s="47"/>
      <c r="O57" s="47"/>
      <c r="P57" s="47"/>
      <c r="Q57" s="47"/>
      <c r="R57" s="47"/>
      <c r="S57" s="47"/>
      <c r="T57" s="45"/>
      <c r="U57" s="45"/>
      <c r="V57" s="47"/>
      <c r="W57" s="47"/>
      <c r="X57" s="47"/>
      <c r="Y57" s="47"/>
      <c r="Z57" s="47"/>
      <c r="AA57" s="47"/>
      <c r="AB57" s="47"/>
      <c r="AC57" s="47"/>
      <c r="AD57" s="47"/>
      <c r="AE57" s="44"/>
      <c r="AF57" s="44"/>
    </row>
    <row r="58" spans="1:36" x14ac:dyDescent="0.25">
      <c r="A58" s="44"/>
      <c r="B58" s="48"/>
      <c r="C58" s="48"/>
      <c r="D58" s="44"/>
      <c r="E58" s="44"/>
      <c r="F58" s="44"/>
      <c r="G58" s="43"/>
      <c r="H58" s="43"/>
      <c r="I58" s="43"/>
      <c r="J58" s="49"/>
      <c r="K58" s="49"/>
      <c r="L58" s="46"/>
      <c r="M58" s="45"/>
      <c r="N58" s="47"/>
      <c r="O58" s="47"/>
      <c r="P58" s="47"/>
      <c r="Q58" s="47"/>
      <c r="R58" s="47"/>
      <c r="S58" s="47"/>
      <c r="T58" s="45"/>
      <c r="U58" s="45"/>
      <c r="V58" s="47"/>
      <c r="W58" s="47"/>
      <c r="X58" s="47"/>
      <c r="Y58" s="47"/>
      <c r="Z58" s="47"/>
      <c r="AA58" s="47"/>
      <c r="AB58" s="47"/>
      <c r="AC58" s="47"/>
      <c r="AD58" s="47"/>
      <c r="AE58" s="44"/>
      <c r="AF58" s="44"/>
    </row>
    <row r="59" spans="1:36" x14ac:dyDescent="0.25">
      <c r="A59" s="44"/>
      <c r="B59" s="48"/>
      <c r="C59" s="48"/>
      <c r="D59" s="44"/>
      <c r="E59" s="44"/>
      <c r="F59" s="44"/>
      <c r="G59" s="43"/>
      <c r="H59" s="43"/>
      <c r="I59" s="43"/>
      <c r="J59" s="49"/>
      <c r="K59" s="49"/>
      <c r="L59" s="46"/>
      <c r="M59" s="45"/>
      <c r="N59" s="47"/>
      <c r="O59" s="47"/>
      <c r="P59" s="47"/>
      <c r="Q59" s="47"/>
      <c r="R59" s="47"/>
      <c r="S59" s="47"/>
      <c r="T59" s="45"/>
      <c r="U59" s="45"/>
      <c r="V59" s="47"/>
      <c r="W59" s="47"/>
      <c r="X59" s="47"/>
      <c r="Y59" s="47"/>
      <c r="Z59" s="47"/>
      <c r="AA59" s="47"/>
      <c r="AB59" s="47"/>
      <c r="AC59" s="47"/>
      <c r="AD59" s="47"/>
      <c r="AE59" s="44"/>
      <c r="AF59" s="44"/>
    </row>
    <row r="60" spans="1:36" x14ac:dyDescent="0.25">
      <c r="A60" s="44"/>
      <c r="B60" s="48"/>
      <c r="C60" s="48"/>
      <c r="D60" s="44"/>
      <c r="E60" s="44"/>
      <c r="F60" s="49"/>
      <c r="G60" s="43"/>
      <c r="H60" s="43"/>
      <c r="I60" s="43"/>
      <c r="J60" s="49"/>
      <c r="K60" s="49"/>
      <c r="L60" s="46"/>
      <c r="M60" s="45"/>
      <c r="N60" s="47"/>
      <c r="O60" s="47"/>
      <c r="P60" s="47"/>
      <c r="Q60" s="47"/>
      <c r="R60" s="47"/>
      <c r="S60" s="47"/>
      <c r="T60" s="45"/>
      <c r="U60" s="45"/>
      <c r="V60" s="47"/>
      <c r="W60" s="47"/>
      <c r="X60" s="47"/>
      <c r="Y60" s="47"/>
      <c r="Z60" s="47"/>
      <c r="AA60" s="47"/>
      <c r="AB60" s="47"/>
      <c r="AC60" s="47"/>
      <c r="AD60" s="47"/>
      <c r="AE60" s="44"/>
      <c r="AF60" s="44"/>
      <c r="AH60" s="44"/>
      <c r="AI60" s="44"/>
      <c r="AJ60" s="44"/>
    </row>
    <row r="61" spans="1:36" x14ac:dyDescent="0.25">
      <c r="A61" s="44"/>
      <c r="B61" s="48"/>
      <c r="C61" s="48"/>
      <c r="D61" s="44"/>
      <c r="E61" s="44"/>
      <c r="F61" s="49"/>
      <c r="G61" s="43"/>
      <c r="H61" s="43"/>
      <c r="I61" s="43"/>
      <c r="J61" s="49"/>
      <c r="K61" s="49"/>
      <c r="L61" s="46"/>
      <c r="M61" s="45"/>
      <c r="N61" s="47"/>
      <c r="O61" s="47"/>
      <c r="P61" s="47"/>
      <c r="Q61" s="47"/>
      <c r="R61" s="47"/>
      <c r="S61" s="47"/>
      <c r="T61" s="45"/>
      <c r="U61" s="45"/>
      <c r="V61" s="47"/>
      <c r="W61" s="47"/>
      <c r="X61" s="47"/>
      <c r="Y61" s="47"/>
      <c r="Z61" s="47"/>
      <c r="AA61" s="47"/>
      <c r="AB61" s="47"/>
      <c r="AC61" s="47"/>
      <c r="AD61" s="47"/>
      <c r="AE61" s="44"/>
      <c r="AF61" s="44"/>
      <c r="AH61" s="44"/>
      <c r="AI61" s="44"/>
      <c r="AJ61" s="44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4"/>
      <c r="AI62" s="44"/>
      <c r="AJ62" s="44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4"/>
      <c r="AI63" s="44"/>
      <c r="AJ63" s="44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  <c r="AH64" s="44"/>
      <c r="AI64" s="44"/>
      <c r="AJ64" s="44"/>
    </row>
    <row r="65" spans="1:36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V65" s="2"/>
      <c r="W65" s="13"/>
      <c r="X65" s="2"/>
      <c r="Y65" s="2"/>
      <c r="Z65" s="2"/>
      <c r="AH65" s="44"/>
      <c r="AI65" s="44"/>
      <c r="AJ65" s="44"/>
    </row>
    <row r="66" spans="1:36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V66" s="2"/>
      <c r="W66" s="13"/>
      <c r="X66" s="2"/>
      <c r="Y66" s="2"/>
      <c r="Z66" s="2"/>
      <c r="AH66" s="44"/>
      <c r="AI66" s="44"/>
      <c r="AJ66" s="44"/>
    </row>
    <row r="67" spans="1:36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V67" s="2"/>
      <c r="W67" s="13"/>
      <c r="X67" s="2"/>
      <c r="Y67" s="2"/>
      <c r="Z67" s="2"/>
    </row>
    <row r="68" spans="1:36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V68" s="2"/>
      <c r="W68" s="13"/>
      <c r="X68" s="2"/>
      <c r="Y68" s="2"/>
      <c r="Z68" s="2"/>
      <c r="AA68" s="2"/>
    </row>
    <row r="69" spans="1:36" x14ac:dyDescent="0.25">
      <c r="A69" s="40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V69" s="2"/>
      <c r="W69" s="13"/>
      <c r="X69" s="2"/>
      <c r="Y69" s="2"/>
      <c r="Z69" s="2"/>
      <c r="AA69" s="2"/>
    </row>
    <row r="70" spans="1:36" x14ac:dyDescent="0.25">
      <c r="A70" s="40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V70" s="2"/>
      <c r="W70" s="13"/>
      <c r="X70" s="2"/>
      <c r="Y70" s="2"/>
      <c r="Z70" s="2"/>
      <c r="AA70" s="2"/>
    </row>
    <row r="71" spans="1:36" x14ac:dyDescent="0.25">
      <c r="A71" s="40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W71" s="2"/>
      <c r="X71" s="13"/>
      <c r="Y71" s="2"/>
      <c r="Z71" s="2"/>
      <c r="AA71" s="2"/>
    </row>
    <row r="72" spans="1:36" x14ac:dyDescent="0.25">
      <c r="A72" s="40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W72" s="2"/>
      <c r="X72" s="13"/>
      <c r="Y72" s="2"/>
      <c r="Z72" s="2"/>
      <c r="AA72" s="2"/>
    </row>
    <row r="73" spans="1:36" x14ac:dyDescent="0.25">
      <c r="A73" s="40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W73" s="2"/>
      <c r="X73" s="13"/>
      <c r="Y73" s="2"/>
      <c r="Z73" s="2"/>
      <c r="AA73" s="2"/>
    </row>
    <row r="74" spans="1:36" x14ac:dyDescent="0.25">
      <c r="A74" s="40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36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36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36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36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36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  <row r="80" spans="1:36" x14ac:dyDescent="0.25">
      <c r="A80" s="17"/>
      <c r="C80" s="2"/>
      <c r="D80" s="42"/>
      <c r="E80" s="42"/>
      <c r="F80" s="42"/>
      <c r="G80" s="42"/>
      <c r="H80" s="42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7"/>
      <c r="C81" s="2"/>
      <c r="D81" s="42"/>
      <c r="E81" s="42"/>
      <c r="F81" s="42"/>
      <c r="G81" s="42"/>
      <c r="H81" s="42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7"/>
      <c r="C82" s="2"/>
      <c r="D82" s="42"/>
      <c r="E82" s="42"/>
      <c r="F82" s="42"/>
      <c r="G82" s="42"/>
      <c r="H82" s="42"/>
      <c r="I82" s="10"/>
      <c r="J82" s="10"/>
      <c r="K82" s="10"/>
      <c r="L82" s="10"/>
      <c r="M82" s="10"/>
      <c r="X82" s="13"/>
      <c r="Y82" s="2"/>
      <c r="Z82" s="2"/>
      <c r="AA82" s="2"/>
    </row>
    <row r="83" spans="1:27" x14ac:dyDescent="0.25">
      <c r="A83" s="17"/>
      <c r="C83" s="2"/>
      <c r="D83" s="42"/>
      <c r="E83" s="42"/>
      <c r="F83" s="42"/>
      <c r="G83" s="42"/>
      <c r="H83" s="42"/>
      <c r="I83" s="10"/>
      <c r="J83" s="10"/>
      <c r="K83" s="10"/>
      <c r="L83" s="10"/>
      <c r="M83" s="10"/>
      <c r="X83" s="13"/>
      <c r="Y83" s="2"/>
      <c r="Z83" s="2"/>
      <c r="AA83" s="2"/>
    </row>
    <row r="84" spans="1:27" x14ac:dyDescent="0.25">
      <c r="A84" s="17"/>
      <c r="C84" s="2"/>
      <c r="D84" s="42"/>
      <c r="E84" s="42"/>
      <c r="F84" s="42"/>
      <c r="G84" s="42"/>
      <c r="H84" s="42"/>
      <c r="I84" s="10"/>
      <c r="J84" s="10"/>
      <c r="K84" s="10"/>
      <c r="L84" s="10"/>
      <c r="M84" s="10"/>
      <c r="X84" s="13"/>
      <c r="Y84" s="2"/>
      <c r="Z84" s="2"/>
      <c r="AA84" s="2"/>
    </row>
    <row r="85" spans="1:27" x14ac:dyDescent="0.25">
      <c r="A85" s="17"/>
      <c r="C85" s="2"/>
      <c r="D85" s="42"/>
      <c r="E85" s="42"/>
      <c r="F85" s="42"/>
      <c r="G85" s="42"/>
      <c r="H85" s="42"/>
      <c r="I85" s="10"/>
      <c r="J85" s="10"/>
      <c r="K85" s="10"/>
      <c r="L85" s="10"/>
      <c r="M85" s="10"/>
      <c r="X85" s="13"/>
      <c r="Y85" s="2"/>
      <c r="Z85" s="2"/>
      <c r="AA85" s="2"/>
    </row>
  </sheetData>
  <sortState ref="AH23:AH36">
    <sortCondition ref="AH23"/>
  </sortState>
  <mergeCells count="20"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  <mergeCell ref="A1:B1"/>
    <mergeCell ref="A6:B6"/>
    <mergeCell ref="A7:B7"/>
    <mergeCell ref="A4:B4"/>
    <mergeCell ref="A3:B3"/>
    <mergeCell ref="A2:B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3481612.7591863517</v>
      </c>
      <c r="C2" s="33">
        <f>IF(ISNUMBER(Calculations!O4),CONVERT(Calculations!O4,Units_In,Units_Out),"")</f>
        <v>1530589.7408136483</v>
      </c>
      <c r="D2" s="33" t="s">
        <v>60</v>
      </c>
      <c r="E2" s="10" t="str">
        <f>CONCATENATE("0503 ",B2,"EUSft ",C2,"NUSft")</f>
        <v>0503 3481612.75918635EUSft 1530589.74081365NUSft</v>
      </c>
      <c r="F2" s="34">
        <v>98</v>
      </c>
      <c r="G2" s="10" t="str">
        <f>IF(F2=98,"Lime",IF(F2=94,"Yellow",""))</f>
        <v>Lime</v>
      </c>
      <c r="H2" s="10" t="str">
        <f>Calculations!$A$1</f>
        <v>CSS7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3481653.4809711287</v>
      </c>
      <c r="C3" s="33">
        <f>IF(ISNUMBER(Calculations!O5),CONVERT(Calculations!O5,Units_In,Units_Out),"")</f>
        <v>1530538.500656168</v>
      </c>
      <c r="D3" s="33" t="s">
        <v>60</v>
      </c>
      <c r="E3" s="10" t="str">
        <f t="shared" ref="E3:E4" si="0">CONCATENATE("0503 ",B3,"EUSft ",C3,"NUSft")</f>
        <v>0503 3481653.48097113EUSft 1530538.50065617NUSft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CSS7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3481548.0347769028</v>
      </c>
      <c r="C4" s="33">
        <f>IF(ISNUMBER(Calculations!O6),CONVERT(Calculations!O6,Units_In,Units_Out),"")</f>
        <v>1530552.2276902888</v>
      </c>
      <c r="D4" s="33" t="s">
        <v>60</v>
      </c>
      <c r="E4" s="10" t="str">
        <f t="shared" si="0"/>
        <v>0503 3481548.0347769EUSft 1530552.22769029NUSft</v>
      </c>
      <c r="F4" s="34">
        <v>98</v>
      </c>
      <c r="G4" s="10" t="str">
        <f t="shared" si="1"/>
        <v>Lime</v>
      </c>
      <c r="H4" s="10" t="str">
        <f>Calculations!$A$1</f>
        <v>CSS7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3481681.9718555687</v>
      </c>
      <c r="C5" s="33">
        <f ca="1">IF(ISNUMBER(A5),CONVERT(Calculations!U21,Units_In,Units_Out),"")</f>
        <v>1530586.6229464449</v>
      </c>
      <c r="D5" s="33" t="str">
        <f>IF(ISTEXT(Calculations!F21),Calculations!F21,"")</f>
        <v>ZERO/BS</v>
      </c>
      <c r="E5" t="str">
        <f ca="1">IF(ISNUMBER(A5),CONCATENATE("0503 ",B5,"EUSft ",C5,"NUSft"),"")</f>
        <v>0503 3481681.97185557EUSft 1530586.62294644NUSft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CSS7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3481598.9004618307</v>
      </c>
      <c r="C6" s="33">
        <f ca="1">IF(ISNUMBER(A6),CONVERT(Calculations!U22,Units_In,Units_Out),"")</f>
        <v>1530514.3961140309</v>
      </c>
      <c r="D6" s="33" t="str">
        <f>IF(ISTEXT(Calculations!F22),Calculations!F22,"")</f>
        <v>BS</v>
      </c>
      <c r="E6" s="10" t="str">
        <f t="shared" ref="E6:E65" ca="1" si="2">IF(ISNUMBER(A6),CONCATENATE("0503 ",B6,"EUSft ",C6,"NUSft"),"")</f>
        <v>0503 3481598.90046183EUSft 1530514.39611403NUSft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CSS7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3481602.8557251412</v>
      </c>
      <c r="C7" s="33">
        <f ca="1">IF(ISNUMBER(A7),CONVERT(Calculations!U23,Units_In,Units_Out),"")</f>
        <v>1530603.124907793</v>
      </c>
      <c r="D7" s="33" t="str">
        <f>IF(ISTEXT(Calculations!F23),Calculations!F23,"")</f>
        <v/>
      </c>
      <c r="E7" s="10" t="str">
        <f t="shared" ca="1" si="2"/>
        <v>0503 3481602.85572514EUSft 1530603.12490779NUSft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CSS7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3481600.6341175656</v>
      </c>
      <c r="C8" s="33">
        <f ca="1">IF(ISNUMBER(A8),CONVERT(Calculations!U24,Units_In,Units_Out),"")</f>
        <v>1530607.1698115296</v>
      </c>
      <c r="D8" s="33" t="str">
        <f>IF(ISTEXT(Calculations!F24),Calculations!F24,"")</f>
        <v/>
      </c>
      <c r="E8" s="10" t="str">
        <f t="shared" ca="1" si="2"/>
        <v>0503 3481600.63411757EUSft 1530607.16981153NUSft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CSS7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3481600.3561617518</v>
      </c>
      <c r="C9" s="33">
        <f ca="1">IF(ISNUMBER(A9),CONVERT(Calculations!U25,Units_In,Units_Out),"")</f>
        <v>1530608.4331309025</v>
      </c>
      <c r="D9" s="33" t="str">
        <f>IF(ISTEXT(Calculations!F25),Calculations!F25,"")</f>
        <v/>
      </c>
      <c r="E9" s="10" t="str">
        <f t="shared" ca="1" si="2"/>
        <v>0503 3481600.35616175EUSft 1530608.4331309NUSft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CSS7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3481597.86473651</v>
      </c>
      <c r="C10" s="33">
        <f ca="1">IF(ISNUMBER(A10),CONVERT(Calculations!U26,Units_In,Units_Out),"")</f>
        <v>1530611.4239606657</v>
      </c>
      <c r="D10" s="33" t="str">
        <f>IF(ISTEXT(Calculations!F26),Calculations!F26,"")</f>
        <v/>
      </c>
      <c r="E10" s="10" t="str">
        <f t="shared" ca="1" si="2"/>
        <v>0503 3481597.86473651EUSft 1530611.42396067NUSft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CSS7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3481595.761592974</v>
      </c>
      <c r="C11" s="33">
        <f ca="1">IF(ISNUMBER(A11),CONVERT(Calculations!U27,Units_In,Units_Out),"")</f>
        <v>1530612.4288035554</v>
      </c>
      <c r="D11" s="33" t="str">
        <f>IF(ISTEXT(Calculations!F27),Calculations!F27,"")</f>
        <v/>
      </c>
      <c r="E11" s="10" t="str">
        <f t="shared" ca="1" si="2"/>
        <v>0503 3481595.76159297EUSft 1530612.42880356NUSft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CSS7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3481563.0848750537</v>
      </c>
      <c r="C12" s="33">
        <f ca="1">IF(ISNUMBER(A12),CONVERT(Calculations!U28,Units_In,Units_Out),"")</f>
        <v>1530657.4621789835</v>
      </c>
      <c r="D12" s="33" t="str">
        <f>IF(ISTEXT(Calculations!F28),Calculations!F28,"")</f>
        <v/>
      </c>
      <c r="E12" s="10" t="str">
        <f t="shared" ca="1" si="2"/>
        <v>0503 3481563.08487505EUSft 1530657.46217898NUSft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CSS7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3481552.2167375106</v>
      </c>
      <c r="C13" s="33">
        <f ca="1">IF(ISNUMBER(A13),CONVERT(Calculations!U29,Units_In,Units_Out),"")</f>
        <v>1530672.9341060086</v>
      </c>
      <c r="D13" s="33" t="str">
        <f>IF(ISTEXT(Calculations!F29),Calculations!F29,"")</f>
        <v/>
      </c>
      <c r="E13" s="10" t="str">
        <f t="shared" ca="1" si="2"/>
        <v>0503 3481552.21673751EUSft 1530672.93410601NUSft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CSS7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3481544.432592757</v>
      </c>
      <c r="C14" s="33">
        <f ca="1">IF(ISNUMBER(A14),CONVERT(Calculations!U30,Units_In,Units_Out),"")</f>
        <v>1530685.4736868665</v>
      </c>
      <c r="D14" s="33" t="str">
        <f>IF(ISTEXT(Calculations!F30),Calculations!F30,"")</f>
        <v/>
      </c>
      <c r="E14" s="10" t="str">
        <f t="shared" ca="1" si="2"/>
        <v>0503 3481544.43259276EUSft 1530685.47368687NUSft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CSS7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3481539.0189316832</v>
      </c>
      <c r="C15" s="33">
        <f ca="1">IF(ISNUMBER(A15),CONVERT(Calculations!U31,Units_In,Units_Out),"")</f>
        <v>1530691.3406302005</v>
      </c>
      <c r="D15" s="33" t="str">
        <f>IF(ISTEXT(Calculations!F31),Calculations!F31,"")</f>
        <v/>
      </c>
      <c r="E15" s="10" t="str">
        <f t="shared" ca="1" si="2"/>
        <v>0503 3481539.01893168EUSft 1530691.3406302NUSft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CSS7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3481536.3312918791</v>
      </c>
      <c r="C16" s="33">
        <f ca="1">IF(ISNUMBER(A16),CONVERT(Calculations!U32,Units_In,Units_Out),"")</f>
        <v>1530696.7608221329</v>
      </c>
      <c r="D16" s="33" t="str">
        <f>IF(ISTEXT(Calculations!F32),Calculations!F32,"")</f>
        <v/>
      </c>
      <c r="E16" s="10" t="str">
        <f t="shared" ca="1" si="2"/>
        <v>0503 3481536.33129188EUSft 1530696.76082213NUSft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CSS7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3481523.202297084</v>
      </c>
      <c r="C17" s="33">
        <f ca="1">IF(ISNUMBER(A17),CONVERT(Calculations!U33,Units_In,Units_Out),"")</f>
        <v>1530713.6464682319</v>
      </c>
      <c r="D17" s="33" t="str">
        <f>IF(ISTEXT(Calculations!F33),Calculations!F33,"")</f>
        <v/>
      </c>
      <c r="E17" s="10" t="str">
        <f t="shared" ca="1" si="2"/>
        <v>0503 3481523.20229708EUSft 1530713.64646823NUSft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CSS7</v>
      </c>
    </row>
    <row r="18" spans="1:8" x14ac:dyDescent="0.25">
      <c r="A18" s="10">
        <f>IF(ISNUMBER(Calculations!A34),Calculations!A34,"")</f>
        <v>14</v>
      </c>
      <c r="B18" s="33">
        <f ca="1">IF(ISNUMBER(A18),CONVERT(Calculations!T34,Units_In,Units_Out),"")</f>
        <v>3481509.151297342</v>
      </c>
      <c r="C18" s="33">
        <f ca="1">IF(ISNUMBER(A18),CONVERT(Calculations!U34,Units_In,Units_Out),"")</f>
        <v>1530730.3816883536</v>
      </c>
      <c r="D18" s="33" t="str">
        <f>IF(ISTEXT(Calculations!F34),Calculations!F34,"")</f>
        <v/>
      </c>
      <c r="E18" s="10" t="str">
        <f t="shared" ca="1" si="2"/>
        <v>0503 3481509.15129734EUSft 1530730.38168835NUSft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CSS7</v>
      </c>
    </row>
    <row r="19" spans="1:8" x14ac:dyDescent="0.25">
      <c r="A19" s="10">
        <f>IF(ISNUMBER(Calculations!A35),Calculations!A35,"")</f>
        <v>15</v>
      </c>
      <c r="B19" s="33">
        <f ca="1">IF(ISNUMBER(A19),CONVERT(Calculations!T35,Units_In,Units_Out),"")</f>
        <v>3481482.5313738892</v>
      </c>
      <c r="C19" s="33">
        <f ca="1">IF(ISNUMBER(A19),CONVERT(Calculations!U35,Units_In,Units_Out),"")</f>
        <v>1530757.4371361779</v>
      </c>
      <c r="D19" s="33" t="str">
        <f>IF(ISTEXT(Calculations!F35),Calculations!F35,"")</f>
        <v/>
      </c>
      <c r="E19" s="10" t="str">
        <f t="shared" ca="1" si="2"/>
        <v>0503 3481482.53137389EUSft 1530757.43713618NUSft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CSS7</v>
      </c>
    </row>
    <row r="20" spans="1:8" x14ac:dyDescent="0.25">
      <c r="A20" s="10">
        <f>IF(ISNUMBER(Calculations!A36),Calculations!A36,"")</f>
        <v>16</v>
      </c>
      <c r="B20" s="33">
        <f ca="1">IF(ISNUMBER(A20),CONVERT(Calculations!T36,Units_In,Units_Out),"")</f>
        <v>3481466.3012849502</v>
      </c>
      <c r="C20" s="33">
        <f ca="1">IF(ISNUMBER(A20),CONVERT(Calculations!U36,Units_In,Units_Out),"")</f>
        <v>1530778.5351799934</v>
      </c>
      <c r="D20" s="33" t="str">
        <f>IF(ISTEXT(Calculations!F36),Calculations!F36,"")</f>
        <v/>
      </c>
      <c r="E20" s="10" t="str">
        <f t="shared" ca="1" si="2"/>
        <v>0503 3481466.30128495EUSft 1530778.53517999NUSft</v>
      </c>
      <c r="F20" s="34">
        <f t="shared" si="3"/>
        <v>94</v>
      </c>
      <c r="G20" s="10" t="str">
        <f t="shared" si="1"/>
        <v>Yellow</v>
      </c>
      <c r="H20" s="10" t="str">
        <f>IF(ISNUMBER(A20),Calculations!$A$1,"")</f>
        <v>CSS7</v>
      </c>
    </row>
    <row r="21" spans="1:8" x14ac:dyDescent="0.25">
      <c r="A21" s="10">
        <f>IF(ISNUMBER(Calculations!A37),Calculations!A37,"")</f>
        <v>17</v>
      </c>
      <c r="B21" s="33">
        <f ca="1">IF(ISNUMBER(A21),CONVERT(Calculations!T37,Units_In,Units_Out),"")</f>
        <v>3481438.1018885518</v>
      </c>
      <c r="C21" s="33">
        <f ca="1">IF(ISNUMBER(A21),CONVERT(Calculations!U37,Units_In,Units_Out),"")</f>
        <v>1530711.1678028931</v>
      </c>
      <c r="D21" s="33" t="str">
        <f>IF(ISTEXT(Calculations!F37),Calculations!F37,"")</f>
        <v>DAM</v>
      </c>
      <c r="E21" s="10" t="str">
        <f t="shared" ca="1" si="2"/>
        <v>0503 3481438.10188855EUSft 1530711.16780289NUSft</v>
      </c>
      <c r="F21" s="34">
        <f t="shared" si="3"/>
        <v>94</v>
      </c>
      <c r="G21" s="10" t="str">
        <f t="shared" si="1"/>
        <v>Yellow</v>
      </c>
      <c r="H21" s="10" t="str">
        <f>IF(ISNUMBER(A21),Calculations!$A$1,"")</f>
        <v>CSS7</v>
      </c>
    </row>
    <row r="22" spans="1:8" x14ac:dyDescent="0.25">
      <c r="A22" s="10">
        <f>IF(ISNUMBER(Calculations!A38),Calculations!A38,"")</f>
        <v>18</v>
      </c>
      <c r="B22" s="33">
        <f ca="1">IF(ISNUMBER(A22),CONVERT(Calculations!T38,Units_In,Units_Out),"")</f>
        <v>3481682.0340657849</v>
      </c>
      <c r="C22" s="33">
        <f ca="1">IF(ISNUMBER(A22),CONVERT(Calculations!U38,Units_In,Units_Out),"")</f>
        <v>1530586.619807486</v>
      </c>
      <c r="D22" s="33" t="str">
        <f>IF(ISTEXT(Calculations!F38),Calculations!F38,"")</f>
        <v>PT1</v>
      </c>
      <c r="E22" s="10" t="str">
        <f t="shared" ca="1" si="2"/>
        <v>0503 3481682.03406578EUSft 1530586.61980749NUSft</v>
      </c>
      <c r="F22" s="34">
        <f t="shared" si="3"/>
        <v>94</v>
      </c>
      <c r="G22" s="10" t="str">
        <f t="shared" si="1"/>
        <v>Yellow</v>
      </c>
      <c r="H22" s="10" t="str">
        <f>IF(ISNUMBER(A22),Calculations!$A$1,"")</f>
        <v>CSS7</v>
      </c>
    </row>
    <row r="23" spans="1:8" x14ac:dyDescent="0.25">
      <c r="A23" s="10">
        <f>IF(ISNUMBER(Calculations!A39),Calculations!A39,"")</f>
        <v>19</v>
      </c>
      <c r="B23" s="33">
        <f ca="1">IF(ISNUMBER(A23),CONVERT(Calculations!T39,Units_In,Units_Out),"")</f>
        <v>3481598.8077175678</v>
      </c>
      <c r="C23" s="33">
        <f ca="1">IF(ISNUMBER(A23),CONVERT(Calculations!U39,Units_In,Units_Out),"")</f>
        <v>1530514.6025877548</v>
      </c>
      <c r="D23" s="33" t="str">
        <f>IF(ISTEXT(Calculations!F39),Calculations!F39,"")</f>
        <v>PT2</v>
      </c>
      <c r="E23" s="10" t="str">
        <f t="shared" ca="1" si="2"/>
        <v>0503 3481598.80771757EUSft 1530514.60258775NUSft</v>
      </c>
      <c r="F23" s="34">
        <f t="shared" si="3"/>
        <v>94</v>
      </c>
      <c r="G23" s="10" t="str">
        <f t="shared" si="1"/>
        <v>Yellow</v>
      </c>
      <c r="H23" s="10" t="str">
        <f>IF(ISNUMBER(A23),Calculations!$A$1,"")</f>
        <v>CSS7</v>
      </c>
    </row>
    <row r="24" spans="1:8" x14ac:dyDescent="0.25">
      <c r="A24" s="10" t="str">
        <f>IF(ISNUMBER(Calculations!A40),Calculations!A40,"")</f>
        <v/>
      </c>
      <c r="B24" s="33" t="str">
        <f>IF(ISNUMBER(A24),CONVERT(Calculations!T40,Units_In,Units_Out),"")</f>
        <v/>
      </c>
      <c r="C24" s="33" t="str">
        <f>IF(ISNUMBER(A24),CONVERT(Calculations!U40,Units_In,Units_Out),"")</f>
        <v/>
      </c>
      <c r="D24" s="33" t="str">
        <f>IF(ISTEXT(Calculations!F40),Calculations!F40,"")</f>
        <v/>
      </c>
      <c r="E24" s="10" t="str">
        <f t="shared" si="2"/>
        <v/>
      </c>
      <c r="F24" s="34" t="str">
        <f t="shared" si="3"/>
        <v/>
      </c>
      <c r="G24" s="10" t="str">
        <f t="shared" si="1"/>
        <v/>
      </c>
      <c r="H24" s="10" t="str">
        <f>IF(ISNUMBER(A24),Calculations!$A$1,"")</f>
        <v/>
      </c>
    </row>
    <row r="25" spans="1:8" x14ac:dyDescent="0.25">
      <c r="A25" s="10" t="str">
        <f>IF(ISNUMBER(Calculations!A41),Calculations!A41,"")</f>
        <v/>
      </c>
      <c r="B25" s="33" t="str">
        <f>IF(ISNUMBER(A25),CONVERT(Calculations!T41,Units_In,Units_Out),"")</f>
        <v/>
      </c>
      <c r="C25" s="33" t="str">
        <f>IF(ISNUMBER(A25),CONVERT(Calculations!U41,Units_In,Units_Out),"")</f>
        <v/>
      </c>
      <c r="D25" s="33" t="str">
        <f>IF(ISTEXT(Calculations!F41),Calculations!F41,"")</f>
        <v/>
      </c>
      <c r="E25" s="10" t="str">
        <f t="shared" si="2"/>
        <v/>
      </c>
      <c r="F25" s="34" t="str">
        <f t="shared" si="3"/>
        <v/>
      </c>
      <c r="G25" s="10" t="str">
        <f t="shared" si="1"/>
        <v/>
      </c>
      <c r="H25" s="10" t="str">
        <f>IF(ISNUMBER(A25),Calculations!$A$1,"")</f>
        <v/>
      </c>
    </row>
    <row r="26" spans="1:8" x14ac:dyDescent="0.25">
      <c r="A26" s="10" t="str">
        <f>IF(ISNUMBER(Calculations!A42),Calculations!A42,"")</f>
        <v/>
      </c>
      <c r="B26" s="33" t="str">
        <f>IF(ISNUMBER(A26),CONVERT(Calculations!T42,Units_In,Units_Out),"")</f>
        <v/>
      </c>
      <c r="C26" s="33" t="str">
        <f>IF(ISNUMBER(A26),CONVERT(Calculations!U42,Units_In,Units_Out),"")</f>
        <v/>
      </c>
      <c r="D26" s="33" t="str">
        <f>IF(ISTEXT(Calculations!F42),Calculations!F42,"")</f>
        <v/>
      </c>
      <c r="E26" s="10" t="str">
        <f t="shared" si="2"/>
        <v/>
      </c>
      <c r="F26" s="34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IF(ISNUMBER(Calculations!A43),Calculations!A43,"")</f>
        <v/>
      </c>
      <c r="B27" s="33" t="str">
        <f>IF(ISNUMBER(A27),CONVERT(Calculations!T43,Units_In,Units_Out),"")</f>
        <v/>
      </c>
      <c r="C27" s="33" t="str">
        <f>IF(ISNUMBER(A27),CONVERT(Calculations!U43,Units_In,Units_Out),"")</f>
        <v/>
      </c>
      <c r="D27" s="33" t="str">
        <f>IF(ISTEXT(Calculations!F43),Calculations!F43,"")</f>
        <v/>
      </c>
      <c r="E27" s="10" t="str">
        <f t="shared" si="2"/>
        <v/>
      </c>
      <c r="F27" s="34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IF(ISNUMBER(Calculations!A44),Calculations!A44,"")</f>
        <v/>
      </c>
      <c r="B28" s="33" t="str">
        <f>IF(ISNUMBER(A28),CONVERT(Calculations!T44,Units_In,Units_Out),"")</f>
        <v/>
      </c>
      <c r="C28" s="33" t="str">
        <f>IF(ISNUMBER(A28),CONVERT(Calculations!U44,Units_In,Units_Out),"")</f>
        <v/>
      </c>
      <c r="D28" s="33" t="str">
        <f>IF(ISTEXT(Calculations!F44),Calculations!F44,"")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IF(ISNUMBER(Calculations!A45),Calculations!A45,"")</f>
        <v/>
      </c>
      <c r="B29" s="33" t="str">
        <f>IF(ISNUMBER(A29),CONVERT(Calculations!T45,Units_In,Units_Out),"")</f>
        <v/>
      </c>
      <c r="C29" s="33" t="str">
        <f>IF(ISNUMBER(A29),CONVERT(Calculations!U45,Units_In,Units_Out),"")</f>
        <v/>
      </c>
      <c r="D29" s="33" t="str">
        <f>IF(ISTEXT(Calculations!F45),Calculations!F45,"")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IF(ISNUMBER(Calculations!A46),Calculations!A46,"")</f>
        <v/>
      </c>
      <c r="B30" s="33" t="str">
        <f>IF(ISNUMBER(A30),CONVERT(Calculations!T46,Units_In,Units_Out),"")</f>
        <v/>
      </c>
      <c r="C30" s="33" t="str">
        <f>IF(ISNUMBER(A30),CONVERT(Calculations!U46,Units_In,Units_Out),"")</f>
        <v/>
      </c>
      <c r="D30" s="33" t="str">
        <f>IF(ISTEXT(Calculations!F46),Calculations!F46,"")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IF(ISNUMBER(Calculations!A47),Calculations!A47,"")</f>
        <v/>
      </c>
      <c r="B31" s="33" t="str">
        <f>IF(ISNUMBER(A31),CONVERT(Calculations!T47,Units_In,Units_Out),"")</f>
        <v/>
      </c>
      <c r="C31" s="33" t="str">
        <f>IF(ISNUMBER(A31),CONVERT(Calculations!U47,Units_In,Units_Out),"")</f>
        <v/>
      </c>
      <c r="D31" s="33" t="str">
        <f>IF(ISTEXT(Calculations!F47),Calculations!F47,"")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3" t="str">
        <f>IF(ISNUMBER(A32),CONVERT(Calculations!T48,Units_In,Units_Out),"")</f>
        <v/>
      </c>
      <c r="C32" s="33" t="str">
        <f>IF(ISNUMBER(A32),CONVERT(Calculations!U48,Units_In,Units_Out),"")</f>
        <v/>
      </c>
      <c r="D32" s="33" t="str">
        <f>IF(ISTEXT(Calculations!F48),Calculations!F48,"")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3" t="str">
        <f>IF(ISNUMBER(A33),CONVERT(Calculations!T49,Units_In,Units_Out),"")</f>
        <v/>
      </c>
      <c r="C33" s="33" t="str">
        <f>IF(ISNUMBER(A33),CONVERT(Calculations!U49,Units_In,Units_Out),"")</f>
        <v/>
      </c>
      <c r="D33" s="33" t="str">
        <f>IF(ISTEXT(Calculations!F49),Calculations!F49,"")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3" t="str">
        <f>IF(ISNUMBER(A34),CONVERT(Calculations!T50,Units_In,Units_Out),"")</f>
        <v/>
      </c>
      <c r="C34" s="33" t="str">
        <f>IF(ISNUMBER(A34),CONVERT(Calculations!U50,Units_In,Units_Out),"")</f>
        <v/>
      </c>
      <c r="D34" s="33" t="str">
        <f>IF(ISTEXT(Calculations!F50),Calculations!F50,"")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3" t="str">
        <f>IF(ISNUMBER(A35),CONVERT(Calculations!T51,Units_In,Units_Out),"")</f>
        <v/>
      </c>
      <c r="C35" s="33" t="str">
        <f>IF(ISNUMBER(A35),CONVERT(Calculations!U51,Units_In,Units_Out),"")</f>
        <v/>
      </c>
      <c r="D35" s="33" t="str">
        <f>IF(ISTEXT(Calculations!F51),Calculations!F51,"")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3" t="str">
        <f>IF(ISNUMBER(A36),CONVERT(Calculations!U52,Units_In,Units_Out),"")</f>
        <v/>
      </c>
      <c r="C36" s="33" t="str">
        <f>IF(ISNUMBER(A36),CONVERT(Calculations!V52,Units_In,Units_Out),"")</f>
        <v/>
      </c>
      <c r="D36" s="33" t="str">
        <f>IF(ISTEXT(Calculations!F52),Calculations!F52,"")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3" t="str">
        <f>IF(ISNUMBER(A37),CONVERT(Calculations!U53,Units_In,Units_Out),"")</f>
        <v/>
      </c>
      <c r="C37" s="33" t="str">
        <f>IF(ISNUMBER(A37),CONVERT(Calculations!V53,Units_In,Units_Out),"")</f>
        <v/>
      </c>
      <c r="D37" s="33" t="str">
        <f>IF(ISTEXT(Calculations!F53),Calculations!F53,"")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Tschan</cp:lastModifiedBy>
  <dcterms:created xsi:type="dcterms:W3CDTF">2011-11-09T05:33:48Z</dcterms:created>
  <dcterms:modified xsi:type="dcterms:W3CDTF">2013-08-28T09:59:47Z</dcterms:modified>
</cp:coreProperties>
</file>