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I40" i="1" l="1"/>
  <c r="J40" i="1" s="1"/>
  <c r="N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N47" i="1"/>
  <c r="I48" i="1"/>
  <c r="J48" i="1" s="1"/>
  <c r="I49" i="1"/>
  <c r="J49" i="1" s="1"/>
  <c r="I50" i="1"/>
  <c r="J50" i="1" s="1"/>
  <c r="X50" i="1"/>
  <c r="Y50" i="1" s="1"/>
  <c r="I51" i="1"/>
  <c r="J51" i="1" s="1"/>
  <c r="N51" i="1"/>
  <c r="X51" i="1"/>
  <c r="Y51" i="1" s="1"/>
  <c r="Z51" i="1" l="1"/>
  <c r="Z50" i="1"/>
  <c r="AD50" i="1"/>
  <c r="AF50" i="1" s="1"/>
  <c r="AB50" i="1"/>
  <c r="N50" i="1"/>
  <c r="N49" i="1"/>
  <c r="N48" i="1"/>
  <c r="N46" i="1"/>
  <c r="N45" i="1"/>
  <c r="N44" i="1"/>
  <c r="N43" i="1"/>
  <c r="N42" i="1"/>
  <c r="N41" i="1"/>
  <c r="AD51" i="1"/>
  <c r="AF51" i="1" s="1"/>
  <c r="AB51" i="1"/>
  <c r="AC50" i="1" l="1"/>
  <c r="AE50" i="1" s="1"/>
  <c r="AC51" i="1"/>
  <c r="AE51" i="1" s="1"/>
  <c r="I35" i="1" l="1"/>
  <c r="J35" i="1" s="1"/>
  <c r="N35" i="1"/>
  <c r="I36" i="1"/>
  <c r="J36" i="1"/>
  <c r="N36" i="1"/>
  <c r="I37" i="1"/>
  <c r="J37" i="1" s="1"/>
  <c r="I38" i="1"/>
  <c r="J38" i="1"/>
  <c r="N38" i="1"/>
  <c r="X38" i="1"/>
  <c r="Z38" i="1" s="1"/>
  <c r="I39" i="1"/>
  <c r="J39" i="1" s="1"/>
  <c r="AC38" i="1" l="1"/>
  <c r="AE38" i="1" s="1"/>
  <c r="Y38" i="1"/>
  <c r="AD38" i="1"/>
  <c r="AF38" i="1" s="1"/>
  <c r="AB38" i="1"/>
  <c r="N39" i="1"/>
  <c r="R12" i="1" s="1"/>
  <c r="N37" i="1"/>
  <c r="X22" i="1" l="1"/>
  <c r="Y22" i="1" s="1"/>
  <c r="X21" i="1"/>
  <c r="P5" i="1" l="1"/>
  <c r="P6" i="1"/>
  <c r="P4" i="1"/>
  <c r="O5" i="1"/>
  <c r="O6" i="1"/>
  <c r="O4" i="1"/>
  <c r="N5" i="1"/>
  <c r="N6" i="1"/>
  <c r="N4" i="1"/>
  <c r="V50" i="1" l="1"/>
  <c r="V41" i="1"/>
  <c r="V43" i="1"/>
  <c r="V45" i="1"/>
  <c r="V48" i="1"/>
  <c r="V49" i="1"/>
  <c r="V51" i="1"/>
  <c r="V47" i="1"/>
  <c r="V42" i="1"/>
  <c r="V44" i="1"/>
  <c r="V46" i="1"/>
  <c r="V40" i="1"/>
  <c r="V38" i="1"/>
  <c r="V36" i="1"/>
  <c r="V37" i="1"/>
  <c r="V35" i="1"/>
  <c r="V39" i="1"/>
  <c r="Q5" i="1"/>
  <c r="Q6" i="1"/>
  <c r="P10" i="1" l="1"/>
  <c r="R10" i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V26" i="1" l="1"/>
  <c r="V29" i="1"/>
  <c r="V27" i="1"/>
  <c r="V25" i="1"/>
  <c r="V24" i="1"/>
  <c r="V32" i="1"/>
  <c r="V31" i="1"/>
  <c r="V23" i="1"/>
  <c r="V22" i="1"/>
  <c r="V33" i="1"/>
  <c r="V21" i="1"/>
  <c r="V28" i="1"/>
  <c r="V34" i="1"/>
  <c r="V30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R11" i="1" s="1"/>
  <c r="J34" i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O17" i="1"/>
  <c r="H3" i="2"/>
  <c r="H4" i="2"/>
  <c r="H2" i="2"/>
  <c r="O41" i="1" l="1"/>
  <c r="P41" i="1" s="1"/>
  <c r="Q41" i="1" s="1"/>
  <c r="O43" i="1"/>
  <c r="P43" i="1" s="1"/>
  <c r="Q43" i="1" s="1"/>
  <c r="O45" i="1"/>
  <c r="P45" i="1" s="1"/>
  <c r="Q45" i="1" s="1"/>
  <c r="O40" i="1"/>
  <c r="P40" i="1" s="1"/>
  <c r="Q40" i="1" s="1"/>
  <c r="O42" i="1"/>
  <c r="P42" i="1" s="1"/>
  <c r="Q42" i="1" s="1"/>
  <c r="O44" i="1"/>
  <c r="P44" i="1" s="1"/>
  <c r="Q44" i="1" s="1"/>
  <c r="O46" i="1"/>
  <c r="P46" i="1" s="1"/>
  <c r="Q46" i="1" s="1"/>
  <c r="O48" i="1"/>
  <c r="P48" i="1" s="1"/>
  <c r="Q48" i="1" s="1"/>
  <c r="O49" i="1"/>
  <c r="P49" i="1" s="1"/>
  <c r="Q49" i="1" s="1"/>
  <c r="O51" i="1"/>
  <c r="P51" i="1" s="1"/>
  <c r="Q51" i="1" s="1"/>
  <c r="O47" i="1"/>
  <c r="P47" i="1" s="1"/>
  <c r="Q47" i="1" s="1"/>
  <c r="O50" i="1"/>
  <c r="P50" i="1" s="1"/>
  <c r="Q50" i="1" s="1"/>
  <c r="O36" i="1"/>
  <c r="P36" i="1" s="1"/>
  <c r="Q36" i="1" s="1"/>
  <c r="O38" i="1"/>
  <c r="P38" i="1" s="1"/>
  <c r="Q38" i="1" s="1"/>
  <c r="O35" i="1"/>
  <c r="P35" i="1" s="1"/>
  <c r="Q35" i="1" s="1"/>
  <c r="O37" i="1"/>
  <c r="P37" i="1" s="1"/>
  <c r="Q37" i="1" s="1"/>
  <c r="O39" i="1"/>
  <c r="P39" i="1" s="1"/>
  <c r="Q39" i="1" s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R50" i="1" l="1"/>
  <c r="T50" i="1" s="1"/>
  <c r="S50" i="1"/>
  <c r="U50" i="1" s="1"/>
  <c r="S51" i="1"/>
  <c r="U51" i="1" s="1"/>
  <c r="R51" i="1"/>
  <c r="T51" i="1" s="1"/>
  <c r="R48" i="1"/>
  <c r="T48" i="1" s="1"/>
  <c r="X48" i="1" s="1"/>
  <c r="S48" i="1"/>
  <c r="U48" i="1" s="1"/>
  <c r="R44" i="1"/>
  <c r="T44" i="1" s="1"/>
  <c r="X44" i="1" s="1"/>
  <c r="S44" i="1"/>
  <c r="U44" i="1" s="1"/>
  <c r="R40" i="1"/>
  <c r="T40" i="1" s="1"/>
  <c r="X40" i="1" s="1"/>
  <c r="S40" i="1"/>
  <c r="U40" i="1" s="1"/>
  <c r="S43" i="1"/>
  <c r="U43" i="1" s="1"/>
  <c r="R43" i="1"/>
  <c r="T43" i="1" s="1"/>
  <c r="X43" i="1" s="1"/>
  <c r="S47" i="1"/>
  <c r="U47" i="1" s="1"/>
  <c r="R47" i="1"/>
  <c r="T47" i="1" s="1"/>
  <c r="X47" i="1" s="1"/>
  <c r="S49" i="1"/>
  <c r="U49" i="1" s="1"/>
  <c r="R49" i="1"/>
  <c r="T49" i="1" s="1"/>
  <c r="X49" i="1" s="1"/>
  <c r="S46" i="1"/>
  <c r="U46" i="1" s="1"/>
  <c r="R46" i="1"/>
  <c r="T46" i="1" s="1"/>
  <c r="X46" i="1" s="1"/>
  <c r="R42" i="1"/>
  <c r="T42" i="1" s="1"/>
  <c r="X42" i="1" s="1"/>
  <c r="S42" i="1"/>
  <c r="U42" i="1" s="1"/>
  <c r="S45" i="1"/>
  <c r="U45" i="1" s="1"/>
  <c r="R45" i="1"/>
  <c r="T45" i="1" s="1"/>
  <c r="X45" i="1" s="1"/>
  <c r="S41" i="1"/>
  <c r="U41" i="1" s="1"/>
  <c r="R41" i="1"/>
  <c r="T41" i="1" s="1"/>
  <c r="X41" i="1" s="1"/>
  <c r="S37" i="1"/>
  <c r="U37" i="1" s="1"/>
  <c r="R37" i="1"/>
  <c r="T37" i="1" s="1"/>
  <c r="X37" i="1" s="1"/>
  <c r="S38" i="1"/>
  <c r="U38" i="1" s="1"/>
  <c r="R38" i="1"/>
  <c r="T38" i="1" s="1"/>
  <c r="R39" i="1"/>
  <c r="T39" i="1" s="1"/>
  <c r="X39" i="1" s="1"/>
  <c r="S39" i="1"/>
  <c r="U39" i="1" s="1"/>
  <c r="S35" i="1"/>
  <c r="U35" i="1" s="1"/>
  <c r="R35" i="1"/>
  <c r="T35" i="1" s="1"/>
  <c r="S36" i="1"/>
  <c r="U36" i="1" s="1"/>
  <c r="R36" i="1"/>
  <c r="T36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Y41" i="1" l="1"/>
  <c r="Y45" i="1"/>
  <c r="Y46" i="1"/>
  <c r="Y49" i="1"/>
  <c r="Y47" i="1"/>
  <c r="Y43" i="1"/>
  <c r="Y39" i="1"/>
  <c r="Y42" i="1"/>
  <c r="Y40" i="1"/>
  <c r="Y44" i="1"/>
  <c r="Y48" i="1"/>
  <c r="Y37" i="1"/>
  <c r="X36" i="1"/>
  <c r="Z36" i="1" s="1"/>
  <c r="X35" i="1"/>
  <c r="E36" i="2"/>
  <c r="E37" i="2"/>
  <c r="X4" i="1"/>
  <c r="Y4" i="1"/>
  <c r="Y35" i="1" l="1"/>
  <c r="Y36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5" i="1" l="1"/>
  <c r="W49" i="1"/>
  <c r="W43" i="1"/>
  <c r="W42" i="1"/>
  <c r="W44" i="1"/>
  <c r="W50" i="1"/>
  <c r="W41" i="1"/>
  <c r="W46" i="1"/>
  <c r="W47" i="1"/>
  <c r="W51" i="1"/>
  <c r="W40" i="1"/>
  <c r="W48" i="1"/>
  <c r="W36" i="1"/>
  <c r="W38" i="1"/>
  <c r="W35" i="1"/>
  <c r="W37" i="1"/>
  <c r="W39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Z34" i="1" s="1"/>
  <c r="AA34" i="1" s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7" i="1" l="1"/>
  <c r="AF37" i="1" s="1"/>
  <c r="AD48" i="1"/>
  <c r="AF48" i="1" s="1"/>
  <c r="AD42" i="1"/>
  <c r="AF42" i="1" s="1"/>
  <c r="AD39" i="1"/>
  <c r="AF39" i="1" s="1"/>
  <c r="AD47" i="1"/>
  <c r="AF47" i="1" s="1"/>
  <c r="AD44" i="1"/>
  <c r="AF44" i="1" s="1"/>
  <c r="AD45" i="1"/>
  <c r="AF45" i="1" s="1"/>
  <c r="AD46" i="1"/>
  <c r="AF46" i="1" s="1"/>
  <c r="AD49" i="1"/>
  <c r="AF49" i="1" s="1"/>
  <c r="AD40" i="1"/>
  <c r="AF40" i="1" s="1"/>
  <c r="AD41" i="1"/>
  <c r="AF41" i="1" s="1"/>
  <c r="AD43" i="1"/>
  <c r="AF43" i="1" s="1"/>
  <c r="AD35" i="1"/>
  <c r="AF35" i="1" s="1"/>
  <c r="AD36" i="1"/>
  <c r="AF36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l="1"/>
  <c r="AA36" i="1"/>
  <c r="AA38" i="1"/>
  <c r="AA50" i="1"/>
  <c r="AA51" i="1"/>
  <c r="Z23" i="1"/>
  <c r="AA23" i="1" s="1"/>
  <c r="Z46" i="1" l="1"/>
  <c r="Z39" i="1"/>
  <c r="Z42" i="1"/>
  <c r="Z41" i="1"/>
  <c r="Z45" i="1"/>
  <c r="Z49" i="1"/>
  <c r="Z47" i="1"/>
  <c r="Z43" i="1"/>
  <c r="Z40" i="1"/>
  <c r="Z44" i="1"/>
  <c r="Z48" i="1"/>
  <c r="Z37" i="1"/>
  <c r="Z35" i="1"/>
  <c r="AA35" i="1" s="1"/>
  <c r="Z25" i="1"/>
  <c r="AA25" i="1" s="1"/>
  <c r="Z27" i="1"/>
  <c r="AA27" i="1" s="1"/>
  <c r="Z30" i="1"/>
  <c r="AA30" i="1" s="1"/>
  <c r="Z29" i="1"/>
  <c r="AA29" i="1" s="1"/>
  <c r="Z24" i="1"/>
  <c r="AA24" i="1" s="1"/>
  <c r="Z26" i="1"/>
  <c r="AA26" i="1" s="1"/>
  <c r="Z31" i="1"/>
  <c r="AA31" i="1" s="1"/>
  <c r="Z28" i="1"/>
  <c r="AA28" i="1" s="1"/>
  <c r="Z32" i="1"/>
  <c r="AA32" i="1" s="1"/>
  <c r="Z33" i="1"/>
  <c r="AA33" i="1" s="1"/>
  <c r="AC36" i="1"/>
  <c r="AE36" i="1" s="1"/>
  <c r="AC24" i="1"/>
  <c r="AE24" i="1" s="1"/>
  <c r="AC30" i="1"/>
  <c r="AE30" i="1" s="1"/>
  <c r="AC29" i="1"/>
  <c r="AE29" i="1" s="1"/>
  <c r="AC25" i="1"/>
  <c r="AE25" i="1" s="1"/>
  <c r="AC32" i="1"/>
  <c r="AE32" i="1" s="1"/>
  <c r="AC34" i="1"/>
  <c r="AE34" i="1" s="1"/>
  <c r="AC31" i="1"/>
  <c r="AE31" i="1" s="1"/>
  <c r="AC27" i="1"/>
  <c r="AE27" i="1" s="1"/>
  <c r="AC23" i="1"/>
  <c r="AE23" i="1" s="1"/>
  <c r="AB23" i="1"/>
  <c r="AC26" i="1" l="1"/>
  <c r="AE26" i="1" s="1"/>
  <c r="AC28" i="1"/>
  <c r="AE28" i="1" s="1"/>
  <c r="AC33" i="1"/>
  <c r="AE33" i="1" s="1"/>
  <c r="AC35" i="1"/>
  <c r="AE35" i="1" s="1"/>
  <c r="AA44" i="1"/>
  <c r="AA43" i="1"/>
  <c r="AB43" i="1" s="1"/>
  <c r="AA49" i="1"/>
  <c r="AA41" i="1"/>
  <c r="AB41" i="1" s="1"/>
  <c r="AA39" i="1"/>
  <c r="AC39" i="1" s="1"/>
  <c r="AE39" i="1" s="1"/>
  <c r="AA48" i="1"/>
  <c r="AA40" i="1"/>
  <c r="AA47" i="1"/>
  <c r="AA45" i="1"/>
  <c r="AA42" i="1"/>
  <c r="AC42" i="1" s="1"/>
  <c r="AE42" i="1" s="1"/>
  <c r="AA46" i="1"/>
  <c r="AA37" i="1"/>
  <c r="AC37" i="1" s="1"/>
  <c r="AE37" i="1" s="1"/>
  <c r="AB36" i="1"/>
  <c r="AB32" i="1"/>
  <c r="AB35" i="1"/>
  <c r="AB33" i="1"/>
  <c r="AB28" i="1"/>
  <c r="AB27" i="1"/>
  <c r="AB29" i="1"/>
  <c r="AB26" i="1"/>
  <c r="AB24" i="1"/>
  <c r="AB31" i="1"/>
  <c r="AB34" i="1"/>
  <c r="AB25" i="1"/>
  <c r="AB30" i="1"/>
  <c r="AC47" i="1" l="1"/>
  <c r="AE47" i="1" s="1"/>
  <c r="AC46" i="1"/>
  <c r="AE46" i="1" s="1"/>
  <c r="AC45" i="1"/>
  <c r="AE45" i="1" s="1"/>
  <c r="AB47" i="1"/>
  <c r="AC48" i="1"/>
  <c r="AE48" i="1" s="1"/>
  <c r="AB42" i="1"/>
  <c r="AC40" i="1"/>
  <c r="AE40" i="1" s="1"/>
  <c r="AI31" i="1" s="1"/>
  <c r="AJ31" i="1" s="1"/>
  <c r="AB48" i="1"/>
  <c r="AC41" i="1"/>
  <c r="AE41" i="1" s="1"/>
  <c r="AC49" i="1"/>
  <c r="AE49" i="1" s="1"/>
  <c r="AC43" i="1"/>
  <c r="AE43" i="1" s="1"/>
  <c r="AC44" i="1"/>
  <c r="AE44" i="1" s="1"/>
  <c r="AB46" i="1"/>
  <c r="AB45" i="1"/>
  <c r="AB40" i="1"/>
  <c r="AB39" i="1"/>
  <c r="AB49" i="1"/>
  <c r="AB44" i="1"/>
  <c r="AI23" i="1"/>
  <c r="AJ23" i="1" s="1"/>
  <c r="AB37" i="1"/>
  <c r="AI24" i="1"/>
  <c r="AJ24" i="1" s="1"/>
  <c r="AC10" i="1"/>
  <c r="AC9" i="1" l="1"/>
  <c r="AI33" i="1"/>
  <c r="AJ33" i="1" s="1"/>
  <c r="AI29" i="1"/>
  <c r="AJ29" i="1" s="1"/>
  <c r="AI26" i="1"/>
  <c r="AJ26" i="1" s="1"/>
  <c r="AI27" i="1"/>
  <c r="AJ27" i="1" s="1"/>
  <c r="AI30" i="1"/>
  <c r="AJ30" i="1" s="1"/>
  <c r="AI28" i="1"/>
  <c r="AJ28" i="1" s="1"/>
  <c r="AI25" i="1"/>
  <c r="AJ25" i="1" s="1"/>
  <c r="AI32" i="1"/>
  <c r="AJ32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<sst xmlns="http://schemas.openxmlformats.org/spreadsheetml/2006/main" count="116" uniqueCount="94">
  <si>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</si>
  <si>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</si>
  <si>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</si>
  <si>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</si>
  <si>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</si>
  <si>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</si>
  <si>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</si>
  <si>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</si>
  <si>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</si>
  <si>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</si>
  <si>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</si>
  <si>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</si>
  <si>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</si>
  <si>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</si>
  <si>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</si>
  <si>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</si>
  <si>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</si>
  <si>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</si>
  <si>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</si>
  <si>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</si>
  <si>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</si>
  <si>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</si>
  <si>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</si>
  <si>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</si>
  <si>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</si>
  <si>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</si>
  <si>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</si>
  <si>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</si>
  <si>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</si>
  <si>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</si>
  <si>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</si>
  <si>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</si>
  <si>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</si>
  <si>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</si>
  <si>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</si>
  <si>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</si>
  <si>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</si>
  <si>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</si>
  <si>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</si>
  <si>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</si>
  <si>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</si>
  <si>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</si>
  <si>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</si>
  <si>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</si>
  <si>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</si>
  <si>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</si>
  <si>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</si>
  <si>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</si>
  <si>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</si>
  <si>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</si>
  <si>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</si>
  <si>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</si>
  <si>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</si>
  <si>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</si>
  <si>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</si>
  <si>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</si>
  <si>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</si>
  <si>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</si>
  <si>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</si>
  <si>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</si>
  <si>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</si>
  <si>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</si>
  <si>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</si>
  <si>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</si>
  <si>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</si>
  <si>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</si>
  <si>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</si>
  <si>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</si>
  <si>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</si>
  <si>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</si>
  <si>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</si>
  <si>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</si>
  <si>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</si>
  <si>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</si>
  <si>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</si>
  <si>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</si>
  <si>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</si>
  <si>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</si>
  <si>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</si>
  <si>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</si>
  <si>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</si>
  <si>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</si>
  <si>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</si>
  <si>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</si>
  <si>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</si>
  <si>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DAM</t>
  </si>
  <si>
    <t>1,1062695.188,467197.627,0,</t>
  </si>
  <si>
    <t>2,1062708.795,467221.075,0,</t>
  </si>
  <si>
    <t>3,1062714.499,467216.072,0,</t>
  </si>
  <si>
    <t>WS</t>
  </si>
  <si>
    <t>SAND BAR</t>
  </si>
  <si>
    <t>MID</t>
  </si>
  <si>
    <t>START DS</t>
  </si>
  <si>
    <t>CSS9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</si>
</sst>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2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2.0699999999999998</c:v>
                </c:pt>
                <c:pt idx="2">
                  <c:v>9.6199999999999992</c:v>
                </c:pt>
                <c:pt idx="3">
                  <c:v>11.87</c:v>
                </c:pt>
                <c:pt idx="4">
                  <c:v>27.7</c:v>
                </c:pt>
                <c:pt idx="5">
                  <c:v>87.32</c:v>
                </c:pt>
                <c:pt idx="6">
                  <c:v>215.57</c:v>
                </c:pt>
                <c:pt idx="7">
                  <c:v>320.23</c:v>
                </c:pt>
                <c:pt idx="8">
                  <c:v>321.64999999999998</c:v>
                </c:pt>
                <c:pt idx="9">
                  <c:v>332.36</c:v>
                </c:pt>
                <c:pt idx="10">
                  <c:v>393.99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2.64</c:v>
                </c:pt>
                <c:pt idx="1">
                  <c:v>0.78</c:v>
                </c:pt>
                <c:pt idx="2">
                  <c:v>0.48</c:v>
                </c:pt>
                <c:pt idx="3">
                  <c:v>0</c:v>
                </c:pt>
                <c:pt idx="4">
                  <c:v>0.42</c:v>
                </c:pt>
                <c:pt idx="5">
                  <c:v>1.41</c:v>
                </c:pt>
                <c:pt idx="6">
                  <c:v>0.53</c:v>
                </c:pt>
                <c:pt idx="7">
                  <c:v>0.38</c:v>
                </c:pt>
                <c:pt idx="8">
                  <c:v>2.4900000000000002</c:v>
                </c:pt>
                <c:pt idx="9">
                  <c:v>5.31</c:v>
                </c:pt>
                <c:pt idx="10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5472"/>
        <c:axId val="90827776"/>
      </c:scatterChart>
      <c:valAx>
        <c:axId val="908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7776"/>
        <c:crosses val="autoZero"/>
        <c:crossBetween val="midCat"/>
      </c:valAx>
      <c:valAx>
        <c:axId val="908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Calculations!$R$39:$R$49</c:f>
              <c:numCache>
                <c:formatCode>0.00</c:formatCode>
                <c:ptCount val="11"/>
                <c:pt idx="0">
                  <c:v>-14.535694955268427</c:v>
                </c:pt>
                <c:pt idx="1">
                  <c:v>-14.969004974322464</c:v>
                </c:pt>
                <c:pt idx="2">
                  <c:v>-16.634848562255431</c:v>
                </c:pt>
                <c:pt idx="3">
                  <c:v>-17.178695024887233</c:v>
                </c:pt>
                <c:pt idx="4">
                  <c:v>-22.487037290299764</c:v>
                </c:pt>
                <c:pt idx="5">
                  <c:v>-37.320007686260595</c:v>
                </c:pt>
                <c:pt idx="6">
                  <c:v>-75.194785623579151</c:v>
                </c:pt>
                <c:pt idx="7">
                  <c:v>-99.779646725460353</c:v>
                </c:pt>
                <c:pt idx="8">
                  <c:v>-100.14194816802845</c:v>
                </c:pt>
                <c:pt idx="9">
                  <c:v>109.43717562707079</c:v>
                </c:pt>
                <c:pt idx="10">
                  <c:v>-102.44437214949144</c:v>
                </c:pt>
              </c:numCache>
            </c:numRef>
          </c:xVal>
          <c:yVal>
            <c:numRef>
              <c:f>Calculations!$S$39:$S$49</c:f>
              <c:numCache>
                <c:formatCode>0.00</c:formatCode>
                <c:ptCount val="11"/>
                <c:pt idx="0">
                  <c:v>6.8690247610111355</c:v>
                </c:pt>
                <c:pt idx="1">
                  <c:v>6.181174247560838</c:v>
                </c:pt>
                <c:pt idx="2">
                  <c:v>3.9353080325215295</c:v>
                </c:pt>
                <c:pt idx="3">
                  <c:v>3.4106646334570341</c:v>
                </c:pt>
                <c:pt idx="4">
                  <c:v>4.0282972711392304</c:v>
                </c:pt>
                <c:pt idx="5">
                  <c:v>-8.7847951767500092</c:v>
                </c:pt>
                <c:pt idx="6">
                  <c:v>-18.827492425279967</c:v>
                </c:pt>
                <c:pt idx="7">
                  <c:v>-45.598345631638111</c:v>
                </c:pt>
                <c:pt idx="8">
                  <c:v>-45.876058212447873</c:v>
                </c:pt>
                <c:pt idx="9">
                  <c:v>15.34674736775399</c:v>
                </c:pt>
                <c:pt idx="10">
                  <c:v>-49.243099413994074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8048"/>
        <c:axId val="91379584"/>
      </c:scatterChart>
      <c:valAx>
        <c:axId val="91378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79584"/>
        <c:crosses val="autoZero"/>
        <c:crossBetween val="midCat"/>
      </c:valAx>
      <c:valAx>
        <c:axId val="91379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Calculations!$Z$39:$Z$49</c:f>
              <c:numCache>
                <c:formatCode>0.00</c:formatCode>
                <c:ptCount val="11"/>
                <c:pt idx="0">
                  <c:v>467186.56806588476</c:v>
                </c:pt>
                <c:pt idx="1">
                  <c:v>467185.96989728627</c:v>
                </c:pt>
                <c:pt idx="2">
                  <c:v>467183.79186518869</c:v>
                </c:pt>
                <c:pt idx="3">
                  <c:v>467183.14444098051</c:v>
                </c:pt>
                <c:pt idx="4">
                  <c:v>467178.57602946361</c:v>
                </c:pt>
                <c:pt idx="5">
                  <c:v>467161.37455493881</c:v>
                </c:pt>
                <c:pt idx="6">
                  <c:v>467124.37036727264</c:v>
                </c:pt>
                <c:pt idx="7">
                  <c:v>467094.17136978393</c:v>
                </c:pt>
                <c:pt idx="8">
                  <c:v>467093.76197278721</c:v>
                </c:pt>
                <c:pt idx="9">
                  <c:v>467300.24816619896</c:v>
                </c:pt>
                <c:pt idx="10">
                  <c:v>467090.67140468262</c:v>
                </c:pt>
              </c:numCache>
            </c:numRef>
          </c:xVal>
          <c:yVal>
            <c:numRef>
              <c:f>Calculations!$AA$39:$AA$49</c:f>
              <c:numCache>
                <c:formatCode>0.00</c:formatCode>
                <c:ptCount val="11"/>
                <c:pt idx="0">
                  <c:v>1062691.8459843602</c:v>
                </c:pt>
                <c:pt idx="1">
                  <c:v>1062691.6423137179</c:v>
                </c:pt>
                <c:pt idx="2">
                  <c:v>1062690.9007147809</c:v>
                </c:pt>
                <c:pt idx="3">
                  <c:v>1062690.6802730781</c:v>
                </c:pt>
                <c:pt idx="4">
                  <c:v>1062689.124772988</c:v>
                </c:pt>
                <c:pt idx="5">
                  <c:v>1062683.2678367044</c:v>
                </c:pt>
                <c:pt idx="6">
                  <c:v>1062670.6682674594</c:v>
                </c:pt>
                <c:pt idx="7">
                  <c:v>1062660.3857998797</c:v>
                </c:pt>
                <c:pt idx="8">
                  <c:v>1062660.2464041482</c:v>
                </c:pt>
                <c:pt idx="9">
                  <c:v>1062730.552962841</c:v>
                </c:pt>
                <c:pt idx="10">
                  <c:v>1062659.1940954961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4192"/>
        <c:axId val="161702656"/>
      </c:scatterChart>
      <c:valAx>
        <c:axId val="1617041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1702656"/>
        <c:crosses val="autoZero"/>
        <c:crossBetween val="midCat"/>
      </c:valAx>
      <c:valAx>
        <c:axId val="16170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70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8096"/>
        <c:axId val="91513984"/>
      </c:scatterChart>
      <c:valAx>
        <c:axId val="915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3984"/>
        <c:crosses val="autoZero"/>
        <c:crossBetween val="midCat"/>
      </c:valAx>
      <c:valAx>
        <c:axId val="91513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632878</xdr:colOff>
      <xdr:row>51</xdr:row>
      <xdr:rowOff>78926</xdr:rowOff>
    </xdr:from>
    <xdr:to>
      <xdr:col>34</xdr:col>
      <xdr:colOff>201449</xdr:colOff>
      <xdr:row>65</xdr:row>
      <xdr:rowOff>155126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616324</xdr:colOff>
      <xdr:row>51</xdr:row>
      <xdr:rowOff>65016</xdr:rowOff>
    </xdr:from>
    <xdr:to>
      <xdr:col>20</xdr:col>
      <xdr:colOff>564453</xdr:colOff>
      <xdr:row>65</xdr:row>
      <xdr:rowOff>141216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201707</xdr:colOff>
      <xdr:row>51</xdr:row>
      <xdr:rowOff>62752</xdr:rowOff>
    </xdr:from>
    <xdr:to>
      <xdr:col>27</xdr:col>
      <xdr:colOff>414619</xdr:colOff>
      <xdr:row>65</xdr:row>
      <xdr:rowOff>138952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6" bestFit="1" customWidth="1"/>
    <col min="3" max="3" width="10.7109375" style="16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5"/>
    <col min="15" max="15" width="10.7109375" style="15" customWidth="1"/>
    <col min="16" max="21" width="10.7109375" style="15"/>
    <col min="22" max="22" width="11.5703125" style="15" bestFit="1" customWidth="1"/>
    <col min="23" max="23" width="10.7109375" style="15"/>
    <col min="24" max="24" width="10.7109375" style="15" customWidth="1"/>
    <col min="25" max="27" width="10.7109375" style="15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9" t="s">
        <v>93</v>
      </c>
      <c r="B1" s="60"/>
      <c r="C1" s="50">
        <v>40824</v>
      </c>
      <c r="M1" s="57" t="s">
        <v>21</v>
      </c>
      <c r="N1" s="57"/>
      <c r="O1" s="57"/>
      <c r="P1" s="57"/>
      <c r="Q1" s="57"/>
      <c r="R1" s="21"/>
      <c r="W1" s="54" t="s">
        <v>34</v>
      </c>
      <c r="X1" s="54"/>
      <c r="Y1" s="54"/>
      <c r="Z1" s="2"/>
      <c r="AA1" s="54" t="s">
        <v>56</v>
      </c>
      <c r="AB1" s="54"/>
      <c r="AC1" s="54"/>
    </row>
    <row r="2" spans="1:29" x14ac:dyDescent="0.25">
      <c r="A2" s="59" t="s">
        <v>16</v>
      </c>
      <c r="B2" s="60"/>
      <c r="C2" s="37">
        <v>1.331</v>
      </c>
      <c r="M2" s="19"/>
      <c r="N2" s="19"/>
      <c r="O2" s="19"/>
      <c r="P2" s="19"/>
      <c r="Q2" s="19"/>
      <c r="R2" s="21"/>
      <c r="W2" s="21"/>
      <c r="X2" s="21"/>
      <c r="Y2" s="21"/>
      <c r="Z2" s="2"/>
      <c r="AA2" s="21"/>
      <c r="AB2" s="21"/>
      <c r="AC2" s="21"/>
    </row>
    <row r="3" spans="1:29" ht="18" x14ac:dyDescent="0.35">
      <c r="A3" s="59" t="s">
        <v>66</v>
      </c>
      <c r="B3" s="60"/>
      <c r="C3" s="37" t="s">
        <v>73</v>
      </c>
      <c r="M3" s="20" t="s">
        <v>13</v>
      </c>
      <c r="N3" s="20" t="s">
        <v>9</v>
      </c>
      <c r="O3" s="20" t="s">
        <v>14</v>
      </c>
      <c r="P3" s="20" t="s">
        <v>10</v>
      </c>
      <c r="Q3" s="20" t="s">
        <v>15</v>
      </c>
      <c r="R3" s="21"/>
      <c r="W3" s="19"/>
      <c r="X3" s="20" t="s">
        <v>10</v>
      </c>
      <c r="Y3" s="20" t="s">
        <v>10</v>
      </c>
      <c r="Z3" s="2"/>
      <c r="AA3" s="20" t="s">
        <v>40</v>
      </c>
      <c r="AB3" s="20" t="s">
        <v>53</v>
      </c>
      <c r="AC3" s="19">
        <f ca="1">SLOPE(yB,xB)</f>
        <v>0.34049036175869818</v>
      </c>
    </row>
    <row r="4" spans="1:29" ht="18" x14ac:dyDescent="0.35">
      <c r="A4" s="59" t="s">
        <v>67</v>
      </c>
      <c r="B4" s="60"/>
      <c r="C4" s="37" t="s">
        <v>72</v>
      </c>
      <c r="M4" s="21">
        <v>0</v>
      </c>
      <c r="N4" s="19">
        <f>VALUE(MID(C10,FIND(",",C10,3)+1,FIND(",",C10,15)-FIND(",",C10,3)-1))</f>
        <v>467197.62699999998</v>
      </c>
      <c r="O4" s="19">
        <f>VALUE(MID(C10,FIND(",",C10,1)+1,FIND(",",C10,5)-FIND(",",C10,1)-1))</f>
        <v>1062695.1880000001</v>
      </c>
      <c r="P4" s="19">
        <f>VALUE(MID(C10,FIND(",",C10,17)+1,FIND(",",C10,27)-FIND(",",C10,17)-1))</f>
        <v>0</v>
      </c>
      <c r="Q4" s="22"/>
      <c r="R4" s="21"/>
      <c r="W4" s="26"/>
      <c r="X4" s="19">
        <f ca="1">VALUE(OFFSET($P$3,MATCH($O$10,$M$4:$M$6,0),0))</f>
        <v>0</v>
      </c>
      <c r="Y4" s="19">
        <f ca="1">OFFSET($P$3,MATCH($Q$10,$M$4:$M$6,0),0)</f>
        <v>0</v>
      </c>
      <c r="Z4" s="2"/>
      <c r="AA4" s="25" t="s">
        <v>41</v>
      </c>
      <c r="AB4" s="25" t="s">
        <v>54</v>
      </c>
      <c r="AC4" s="27">
        <f ca="1">INTERCEPT(yB,xB)</f>
        <v>903619.3224148025</v>
      </c>
    </row>
    <row r="5" spans="1:29" x14ac:dyDescent="0.25">
      <c r="A5" s="51"/>
      <c r="B5" s="45"/>
      <c r="C5" s="45"/>
      <c r="D5" s="4"/>
      <c r="M5" s="21">
        <v>1</v>
      </c>
      <c r="N5" s="19">
        <f t="shared" ref="N5:N6" si="0">VALUE(MID(C11,FIND(",",C11,3)+1,FIND(",",C11,15)-FIND(",",C11,3)-1))</f>
        <v>467221.07500000001</v>
      </c>
      <c r="O5" s="19">
        <f t="shared" ref="O5:O6" si="1">VALUE(MID(C11,FIND(",",C11,1)+1,FIND(",",C11,5)-FIND(",",C11,1)-1))</f>
        <v>1062708.7949999999</v>
      </c>
      <c r="P5" s="19">
        <f t="shared" ref="P5:P6" si="2">VALUE(MID(C11,FIND(",",C11,17)+1,FIND(",",C11,27)-FIND(",",C11,17)-1))</f>
        <v>0</v>
      </c>
      <c r="Q5" s="23">
        <f>DEGREES(ATAN2(Old_Y1-Old_Y0,Old_X1-Old_X0))+IF(Old_X1-Old_X0&lt;0,360)</f>
        <v>59.873176964565729</v>
      </c>
      <c r="R5" s="21"/>
      <c r="W5" s="20"/>
      <c r="X5" s="19">
        <f ca="1">VALUE(OFFSET($V$20,MATCH($O11,$A$21:$A$51,0),0))</f>
        <v>0.95199999999999996</v>
      </c>
      <c r="Y5" s="19">
        <f ca="1">OFFSET($V$20,MATCH($Q11,$A$21:$A$51,0),0)</f>
        <v>0.83899999999999997</v>
      </c>
      <c r="Z5" s="2"/>
      <c r="AA5" s="25"/>
      <c r="AB5" s="25"/>
      <c r="AC5" s="19"/>
    </row>
    <row r="6" spans="1:29" ht="18" x14ac:dyDescent="0.35">
      <c r="A6" s="61" t="s">
        <v>17</v>
      </c>
      <c r="B6" s="61"/>
      <c r="C6" s="62">
        <v>19</v>
      </c>
      <c r="D6" s="4"/>
      <c r="M6" s="21">
        <v>2</v>
      </c>
      <c r="N6" s="19">
        <f t="shared" si="0"/>
        <v>467216.07199999999</v>
      </c>
      <c r="O6" s="19">
        <f t="shared" si="1"/>
        <v>1062714.4990000001</v>
      </c>
      <c r="P6" s="19">
        <f t="shared" si="2"/>
        <v>0</v>
      </c>
      <c r="Q6" s="23">
        <f>DEGREES(ATAN2(Old_Y2-Old_Y0,Old_X2-Old_X0))+IF(Old_X2-Old_X0&lt;0,360)</f>
        <v>43.68605131571983</v>
      </c>
      <c r="R6" s="21"/>
      <c r="W6" s="20"/>
      <c r="X6" s="19">
        <f ca="1">VALUE(OFFSET($V$20,MATCH($O12,$A$21:$A$61,0),0))</f>
        <v>0.94399999999999995</v>
      </c>
      <c r="Y6" s="19">
        <f ca="1">VALUE(OFFSET($V$20,MATCH($O12,$A$21:$A$61,0),0))</f>
        <v>0.94399999999999995</v>
      </c>
      <c r="Z6" s="5"/>
      <c r="AA6" s="25" t="s">
        <v>42</v>
      </c>
      <c r="AB6" s="20" t="s">
        <v>55</v>
      </c>
      <c r="AC6" s="19">
        <f ca="1">-1/mA</f>
        <v>-2.9369406958681816</v>
      </c>
    </row>
    <row r="7" spans="1:29" x14ac:dyDescent="0.25">
      <c r="A7" s="61" t="s">
        <v>18</v>
      </c>
      <c r="B7" s="61"/>
      <c r="C7" s="62">
        <v>29</v>
      </c>
      <c r="D7" s="4"/>
      <c r="M7" s="19"/>
      <c r="N7" s="19"/>
      <c r="O7" s="19"/>
      <c r="P7" s="19"/>
      <c r="Q7" s="19"/>
      <c r="R7" s="21"/>
      <c r="W7" s="19"/>
      <c r="X7" s="19"/>
      <c r="Y7" s="19"/>
      <c r="Z7" s="2"/>
      <c r="AA7" s="19"/>
      <c r="AB7" s="19"/>
      <c r="AC7" s="19"/>
    </row>
    <row r="8" spans="1:29" x14ac:dyDescent="0.25">
      <c r="A8" s="53"/>
      <c r="B8" s="47"/>
      <c r="C8" s="47"/>
      <c r="D8" s="4"/>
      <c r="M8" s="21"/>
      <c r="N8" s="19"/>
      <c r="O8" s="54" t="s">
        <v>24</v>
      </c>
      <c r="P8" s="54"/>
      <c r="Q8" s="54" t="s">
        <v>25</v>
      </c>
      <c r="R8" s="54"/>
      <c r="W8" s="20" t="s">
        <v>35</v>
      </c>
      <c r="X8" s="19">
        <f ca="1">X5-X4</f>
        <v>0.95199999999999996</v>
      </c>
      <c r="Y8" s="19">
        <f ca="1">Y5-Y4</f>
        <v>0.83899999999999997</v>
      </c>
      <c r="AA8" s="19"/>
      <c r="AB8" s="21"/>
      <c r="AC8" s="21"/>
    </row>
    <row r="9" spans="1:29" x14ac:dyDescent="0.25">
      <c r="A9" s="6"/>
      <c r="B9" s="47"/>
      <c r="C9" s="9" t="s">
        <v>11</v>
      </c>
      <c r="M9" s="19"/>
      <c r="N9" s="19"/>
      <c r="O9" s="24" t="s">
        <v>23</v>
      </c>
      <c r="P9" s="25" t="s">
        <v>19</v>
      </c>
      <c r="Q9" s="25" t="s">
        <v>23</v>
      </c>
      <c r="R9" s="25" t="s">
        <v>19</v>
      </c>
      <c r="W9" s="20" t="s">
        <v>36</v>
      </c>
      <c r="X9" s="19">
        <f ca="1">X6-X4</f>
        <v>0.94399999999999995</v>
      </c>
      <c r="Y9" s="19">
        <f ca="1">Y6-Y4</f>
        <v>0.94399999999999995</v>
      </c>
      <c r="AA9" s="30" t="s">
        <v>49</v>
      </c>
      <c r="AB9" s="30"/>
      <c r="AC9" s="19">
        <f ca="1">AVERAGE(DfromL)</f>
        <v>10.563395618232629</v>
      </c>
    </row>
    <row r="10" spans="1:29" s="15" customFormat="1" x14ac:dyDescent="0.25">
      <c r="A10" s="52"/>
      <c r="B10" s="47"/>
      <c r="C10" s="34" t="s">
        <v>86</v>
      </c>
      <c r="D10" s="35"/>
      <c r="E10" s="36"/>
      <c r="M10" s="58" t="s">
        <v>22</v>
      </c>
      <c r="N10" s="58"/>
      <c r="O10" s="31">
        <v>1</v>
      </c>
      <c r="P10" s="19">
        <f ca="1">OFFSET($Q$3,MATCH($O$10,$M$4:$M$6,0),0)</f>
        <v>59.873176964565729</v>
      </c>
      <c r="Q10" s="31">
        <v>2</v>
      </c>
      <c r="R10" s="19">
        <f ca="1">OFFSET($Q$3,MATCH($O$10,$M$4:$M$6,0),0)</f>
        <v>59.873176964565729</v>
      </c>
      <c r="W10" s="21"/>
      <c r="X10" s="21"/>
      <c r="Y10" s="21"/>
      <c r="AA10" s="30" t="s">
        <v>50</v>
      </c>
      <c r="AB10" s="30"/>
      <c r="AC10" s="19">
        <f ca="1">_xlfn.STDEV.P(DfromL)</f>
        <v>4.3407262246566374</v>
      </c>
    </row>
    <row r="11" spans="1:29" s="15" customFormat="1" x14ac:dyDescent="0.25">
      <c r="A11" s="14"/>
      <c r="B11" s="47"/>
      <c r="C11" s="34" t="s">
        <v>87</v>
      </c>
      <c r="D11" s="35"/>
      <c r="E11" s="36"/>
      <c r="M11" s="54" t="s">
        <v>31</v>
      </c>
      <c r="N11" s="54"/>
      <c r="O11" s="31">
        <v>1</v>
      </c>
      <c r="P11" s="19">
        <f ca="1">OFFSET($N$20,MATCH($O11,$A$21:$A$51,0),0)</f>
        <v>0</v>
      </c>
      <c r="Q11" s="31">
        <v>2</v>
      </c>
      <c r="R11" s="19">
        <f ca="1">OFFSET($N$20,MATCH($Q11,$A$21:$A$51,0),0)</f>
        <v>32.62166666666667</v>
      </c>
      <c r="W11" s="20" t="s">
        <v>37</v>
      </c>
      <c r="X11" s="19">
        <f ca="1">AVERAGE(X8:Y9)</f>
        <v>0.91974999999999996</v>
      </c>
      <c r="Y11" s="29" t="s">
        <v>38</v>
      </c>
      <c r="AA11" s="19"/>
      <c r="AB11" s="19"/>
      <c r="AC11" s="19"/>
    </row>
    <row r="12" spans="1:29" s="15" customFormat="1" x14ac:dyDescent="0.25">
      <c r="A12" s="14"/>
      <c r="B12" s="47"/>
      <c r="C12" s="34" t="s">
        <v>88</v>
      </c>
      <c r="D12" s="35"/>
      <c r="E12" s="36"/>
      <c r="M12" s="54" t="s">
        <v>30</v>
      </c>
      <c r="N12" s="54"/>
      <c r="O12" s="31">
        <v>30</v>
      </c>
      <c r="P12" s="19">
        <f ca="1">OFFSET($N$20,MATCH($O12,$A$21:$A$61,0),0)</f>
        <v>4.4722222222222226E-2</v>
      </c>
      <c r="Q12" s="31">
        <v>31</v>
      </c>
      <c r="R12" s="19">
        <f ca="1">OFFSET($N$20,MATCH($Q12,$A$21:$A$51,0),0)</f>
        <v>32.690555555555555</v>
      </c>
      <c r="W12" s="19"/>
      <c r="X12" s="19"/>
      <c r="Y12" s="19"/>
      <c r="AA12" s="19"/>
      <c r="AB12" s="19"/>
      <c r="AC12" s="19"/>
    </row>
    <row r="13" spans="1:29" s="15" customFormat="1" x14ac:dyDescent="0.25">
      <c r="A13" s="14"/>
      <c r="B13" s="16"/>
      <c r="C13" s="16"/>
      <c r="D13" s="17"/>
      <c r="M13" s="19"/>
      <c r="N13" s="19"/>
      <c r="O13" s="19"/>
      <c r="P13" s="19"/>
      <c r="Q13" s="19"/>
      <c r="R13" s="19"/>
      <c r="W13" s="19" t="s">
        <v>64</v>
      </c>
      <c r="X13" s="19">
        <f ca="1">MIN(Zs)</f>
        <v>-0.50325000000000009</v>
      </c>
      <c r="Y13" s="19"/>
      <c r="AA13" s="19"/>
      <c r="AB13" s="19"/>
      <c r="AC13" s="19"/>
    </row>
    <row r="14" spans="1:29" s="15" customFormat="1" x14ac:dyDescent="0.25">
      <c r="A14" s="8"/>
      <c r="B14" s="16"/>
      <c r="C14" s="16"/>
      <c r="D14" s="17"/>
      <c r="M14" s="54" t="s">
        <v>32</v>
      </c>
      <c r="N14" s="54"/>
      <c r="O14" s="21"/>
      <c r="P14" s="19">
        <f ca="1">P10-P11+IF(P11&gt;P10,360)</f>
        <v>59.873176964565729</v>
      </c>
      <c r="Q14" s="19"/>
      <c r="R14" s="19">
        <f ca="1">R10-R11+IF(R11&gt;R10,360)</f>
        <v>27.25151029789906</v>
      </c>
      <c r="W14" s="19"/>
      <c r="X14" s="19"/>
      <c r="Y14" s="19"/>
      <c r="AA14" s="19"/>
      <c r="AB14" s="19"/>
      <c r="AC14" s="19"/>
    </row>
    <row r="15" spans="1:29" x14ac:dyDescent="0.25">
      <c r="A15" s="1"/>
      <c r="D15" s="4"/>
      <c r="M15" s="54" t="s">
        <v>33</v>
      </c>
      <c r="N15" s="54"/>
      <c r="O15" s="21"/>
      <c r="P15" s="19">
        <f ca="1">P10-P12+IF(P12&gt;P10,360)</f>
        <v>59.82845474234351</v>
      </c>
      <c r="Q15" s="19"/>
      <c r="R15" s="19">
        <f ca="1">R10-R12+IF(R12&gt;R10,360)</f>
        <v>27.182621409010174</v>
      </c>
      <c r="W15" s="19"/>
      <c r="X15" s="19"/>
      <c r="Y15" s="19"/>
      <c r="AA15" s="21"/>
      <c r="AB15" s="21"/>
      <c r="AC15" s="21"/>
    </row>
    <row r="16" spans="1:29" x14ac:dyDescent="0.25">
      <c r="A16" s="1"/>
      <c r="B16" s="16" t="s">
        <v>68</v>
      </c>
      <c r="D16" s="4"/>
      <c r="M16" s="21"/>
      <c r="N16" s="21"/>
      <c r="O16" s="21"/>
      <c r="P16" s="21"/>
      <c r="Q16" s="21"/>
      <c r="R16" s="28"/>
      <c r="W16" s="19"/>
      <c r="X16" s="19"/>
      <c r="Y16" s="19"/>
      <c r="AA16" s="21"/>
      <c r="AB16" s="21"/>
      <c r="AC16" s="21"/>
    </row>
    <row r="17" spans="1:36" x14ac:dyDescent="0.25">
      <c r="A17" s="1"/>
      <c r="D17" s="4"/>
      <c r="M17" s="54" t="s">
        <v>39</v>
      </c>
      <c r="N17" s="54"/>
      <c r="O17" s="19">
        <f ca="1">AVERAGE(P14:P15,R14:R15)</f>
        <v>43.533940853454617</v>
      </c>
      <c r="P17" s="29"/>
      <c r="Q17" s="21"/>
      <c r="R17" s="21"/>
      <c r="W17" s="19"/>
      <c r="X17" s="19"/>
      <c r="Y17" s="21"/>
      <c r="Z17" s="2"/>
      <c r="AA17" s="21"/>
      <c r="AB17" s="21"/>
      <c r="AC17" s="21"/>
    </row>
    <row r="18" spans="1:36" x14ac:dyDescent="0.25">
      <c r="A18" s="1"/>
      <c r="D18" s="4"/>
      <c r="M18" s="17"/>
      <c r="O18" s="17"/>
      <c r="P18" s="17"/>
      <c r="Q18" s="17"/>
      <c r="R18" s="17"/>
      <c r="S18" s="17"/>
      <c r="T18" s="17"/>
      <c r="U18" s="17"/>
      <c r="V18" s="2"/>
      <c r="W18" s="2"/>
      <c r="X18" s="2"/>
      <c r="Y18" s="2"/>
      <c r="Z18" s="2"/>
      <c r="AA18" s="2"/>
    </row>
    <row r="19" spans="1:36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5" t="s">
        <v>20</v>
      </c>
      <c r="U19" s="55"/>
      <c r="X19" s="56" t="s">
        <v>45</v>
      </c>
      <c r="Y19" s="56"/>
      <c r="Z19" s="56" t="s">
        <v>46</v>
      </c>
      <c r="AA19" s="56"/>
      <c r="AB19" s="1" t="s">
        <v>47</v>
      </c>
      <c r="AC19" s="1" t="s">
        <v>51</v>
      </c>
      <c r="AE19" s="40" t="s">
        <v>51</v>
      </c>
      <c r="AG19" s="40"/>
      <c r="AH19" s="40"/>
      <c r="AI19" s="40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84</v>
      </c>
      <c r="H20" s="12" t="s">
        <v>78</v>
      </c>
      <c r="I20" s="12" t="s">
        <v>83</v>
      </c>
      <c r="J20" s="12" t="s">
        <v>82</v>
      </c>
      <c r="K20" s="3" t="s">
        <v>76</v>
      </c>
      <c r="L20" s="3" t="s">
        <v>77</v>
      </c>
      <c r="M20" s="8" t="s">
        <v>26</v>
      </c>
      <c r="N20" s="8" t="s">
        <v>27</v>
      </c>
      <c r="O20" s="8" t="s">
        <v>28</v>
      </c>
      <c r="P20" s="18" t="s">
        <v>29</v>
      </c>
      <c r="Q20" s="18" t="s">
        <v>81</v>
      </c>
      <c r="R20" s="18" t="s">
        <v>79</v>
      </c>
      <c r="S20" s="18" t="s">
        <v>80</v>
      </c>
      <c r="T20" s="18" t="s">
        <v>7</v>
      </c>
      <c r="U20" s="18" t="s">
        <v>6</v>
      </c>
      <c r="V20" s="18" t="s">
        <v>12</v>
      </c>
      <c r="W20" s="18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8" t="s">
        <v>65</v>
      </c>
      <c r="AE20" s="3" t="s">
        <v>74</v>
      </c>
      <c r="AF20" s="18" t="s">
        <v>75</v>
      </c>
      <c r="AG20" s="18"/>
      <c r="AH20" s="18"/>
      <c r="AI20" s="18"/>
    </row>
    <row r="21" spans="1:36" x14ac:dyDescent="0.25">
      <c r="A21" s="43">
        <v>1</v>
      </c>
      <c r="B21" s="47">
        <v>0</v>
      </c>
      <c r="C21" s="46"/>
      <c r="D21" s="46"/>
      <c r="E21" s="43">
        <v>2.609</v>
      </c>
      <c r="F21" s="48" t="s">
        <v>69</v>
      </c>
      <c r="G21" s="42"/>
      <c r="H21" s="42"/>
      <c r="I21" s="42">
        <f t="shared" ref="I21:I34" si="3">B21*24</f>
        <v>0</v>
      </c>
      <c r="J21" s="38">
        <f>RADIANS(I21)</f>
        <v>0</v>
      </c>
      <c r="K21" s="46">
        <v>21.768999999999998</v>
      </c>
      <c r="L21" s="46">
        <v>2.23</v>
      </c>
      <c r="M21" s="13"/>
      <c r="N21" s="15">
        <f t="shared" ref="N21:N34" si="4">I21+M21</f>
        <v>0</v>
      </c>
      <c r="O21" s="15">
        <f ca="1">$O$17</f>
        <v>43.533940853454617</v>
      </c>
      <c r="P21" s="15">
        <f ca="1">SUM(N21,O21)</f>
        <v>43.533940853454617</v>
      </c>
      <c r="Q21" s="15">
        <f ca="1">RADIANS(P21)</f>
        <v>0.75981060426125335</v>
      </c>
      <c r="R21" s="15">
        <f ca="1">K21*SIN(Q21)</f>
        <v>14.994142202789133</v>
      </c>
      <c r="S21" s="15">
        <f ca="1">K21*COS(Q21)</f>
        <v>15.781795227493538</v>
      </c>
      <c r="T21" s="13">
        <f t="shared" ref="T21:T34" ca="1" si="5">Old_X0+R21</f>
        <v>467212.62114220276</v>
      </c>
      <c r="U21" s="13">
        <f t="shared" ref="U21:U34" ca="1" si="6">Old_Y0+S21</f>
        <v>1062710.9697952275</v>
      </c>
      <c r="V21" s="15">
        <f>Old_Z0+HI+L21-E21</f>
        <v>0.95199999999999996</v>
      </c>
      <c r="W21" s="15">
        <f t="shared" ref="W21:W34" ca="1" si="7">IF(ISNUMBER(T21),V21+dZ,"")</f>
        <v>1.87175</v>
      </c>
      <c r="X21" s="15" t="str">
        <f t="shared" ref="X21:X34" si="8">IF(AND(A21&gt;=CS_Start,A21&lt;=CS_End),IF(OR(LEFT(UPPER(F21))="D"),"",T21),"")</f>
        <v/>
      </c>
      <c r="Y21" s="15" t="str">
        <f t="shared" ref="Y21" si="9">IF(ISNUMBER(X21),U21,"")</f>
        <v/>
      </c>
      <c r="Z21" s="15" t="str">
        <f t="shared" ref="Z21:Z23" si="10">IF(X21="","",VALUE((-mB*X21+Y21-bA)/(mA-mB)))</f>
        <v/>
      </c>
      <c r="AA21" s="15" t="str">
        <f t="shared" ref="AA21:AA23" si="11">IF(Z21="","",VALUE(mA*Z21+bA))</f>
        <v/>
      </c>
      <c r="AB21" s="15" t="str">
        <f>IF(ISNUMBER(X21),SQRT((X21-Z21)^2+(Y21-AA21)^2),"")</f>
        <v/>
      </c>
      <c r="AC21" s="15" t="str">
        <f t="shared" ref="AC21:AC23" ca="1" si="12">IF(ISNUMBER(Z21),SQRT(($Z21-OFFSET($Z$20,MATCH(CS_Start,$A$21:$A$51,0),0))^2+($AA21-OFFSET($AA$20,MATCH(CS_Start,$A$21:$A$51,0),0))^2),"")</f>
        <v/>
      </c>
      <c r="AD21" s="15" t="str">
        <f t="shared" ref="AD21:AD23" si="13">IF(ISNUMBER(X21),W21-Min_Z,"")</f>
        <v/>
      </c>
    </row>
    <row r="22" spans="1:36" x14ac:dyDescent="0.25">
      <c r="A22" s="43">
        <v>2</v>
      </c>
      <c r="B22" s="47">
        <v>1.3592361111111113</v>
      </c>
      <c r="C22" s="46"/>
      <c r="D22" s="46"/>
      <c r="E22" s="43">
        <v>2.609</v>
      </c>
      <c r="F22" s="48" t="s">
        <v>69</v>
      </c>
      <c r="G22" s="42"/>
      <c r="H22" s="42"/>
      <c r="I22" s="42">
        <f t="shared" si="3"/>
        <v>32.62166666666667</v>
      </c>
      <c r="J22" s="38">
        <f t="shared" ref="J22:J34" si="14">RADIANS(I22)</f>
        <v>0.5693554908214169</v>
      </c>
      <c r="K22" s="46">
        <v>23.210999999999999</v>
      </c>
      <c r="L22" s="46">
        <v>2.117</v>
      </c>
      <c r="M22" s="13"/>
      <c r="N22" s="15">
        <f t="shared" si="4"/>
        <v>32.62166666666667</v>
      </c>
      <c r="O22" s="15">
        <f t="shared" ref="O22:O51" ca="1" si="15">$O$17</f>
        <v>43.533940853454617</v>
      </c>
      <c r="P22" s="15">
        <f t="shared" ref="P22:P34" ca="1" si="16">SUM(N22,O22)</f>
        <v>76.155607520121293</v>
      </c>
      <c r="Q22" s="15">
        <f t="shared" ref="Q22:Q34" ca="1" si="17">RADIANS(P22)</f>
        <v>1.3291660950826703</v>
      </c>
      <c r="R22" s="15">
        <f ca="1">K22*SIN(Q22)</f>
        <v>22.536701275937311</v>
      </c>
      <c r="S22" s="15">
        <f ca="1">K22*COS(Q22)</f>
        <v>5.5540630712268193</v>
      </c>
      <c r="T22" s="13">
        <f t="shared" ca="1" si="5"/>
        <v>467220.16370127589</v>
      </c>
      <c r="U22" s="13">
        <f t="shared" ca="1" si="6"/>
        <v>1062700.7420630713</v>
      </c>
      <c r="V22" s="15">
        <f>Old_Z0+HI+L22-E22</f>
        <v>0.83899999999999997</v>
      </c>
      <c r="W22" s="15">
        <f t="shared" ca="1" si="7"/>
        <v>1.75875</v>
      </c>
      <c r="X22" s="46" t="str">
        <f t="shared" si="8"/>
        <v/>
      </c>
      <c r="Y22" s="46" t="str">
        <f t="shared" ref="Y22:Y34" si="18">IF(ISNUMBER(X22),U22,"")</f>
        <v/>
      </c>
      <c r="Z22" s="15" t="str">
        <f t="shared" si="10"/>
        <v/>
      </c>
      <c r="AA22" s="15" t="str">
        <f t="shared" si="11"/>
        <v/>
      </c>
      <c r="AB22" s="15" t="str">
        <f t="shared" ref="AB22:AB23" si="19">IF(ISNUMBER(X22),SQRT((X22-Z22)^2+(Y22-AA22)^2),"")</f>
        <v/>
      </c>
      <c r="AC22" s="15" t="str">
        <f t="shared" ca="1" si="12"/>
        <v/>
      </c>
      <c r="AD22" s="15" t="str">
        <f t="shared" si="13"/>
        <v/>
      </c>
    </row>
    <row r="23" spans="1:36" x14ac:dyDescent="0.25">
      <c r="A23" s="43">
        <v>3</v>
      </c>
      <c r="B23" s="47">
        <v>3.0629861111111114</v>
      </c>
      <c r="C23" s="46"/>
      <c r="D23" s="46"/>
      <c r="E23" s="43">
        <v>2.609</v>
      </c>
      <c r="F23" s="43"/>
      <c r="G23" s="42"/>
      <c r="H23" s="42"/>
      <c r="I23" s="42">
        <f t="shared" si="3"/>
        <v>73.51166666666667</v>
      </c>
      <c r="J23" s="38">
        <f t="shared" si="14"/>
        <v>1.2830206219618983</v>
      </c>
      <c r="K23" s="46">
        <v>5.3719999999999999</v>
      </c>
      <c r="L23" s="46">
        <v>1.1180000000000001</v>
      </c>
      <c r="M23" s="13"/>
      <c r="N23" s="15">
        <f t="shared" si="4"/>
        <v>73.51166666666667</v>
      </c>
      <c r="O23" s="15">
        <f t="shared" ca="1" si="15"/>
        <v>43.533940853454617</v>
      </c>
      <c r="P23" s="15">
        <f t="shared" ca="1" si="16"/>
        <v>117.04560752012128</v>
      </c>
      <c r="Q23" s="15">
        <f t="shared" ca="1" si="17"/>
        <v>2.0428312262231514</v>
      </c>
      <c r="R23" s="15">
        <f ca="1">K23*SIN(Q23)</f>
        <v>4.784544214129034</v>
      </c>
      <c r="S23" s="15">
        <f ca="1">K23*COS(Q23)</f>
        <v>-2.442646241895126</v>
      </c>
      <c r="T23" s="13">
        <f t="shared" ca="1" si="5"/>
        <v>467202.41154421412</v>
      </c>
      <c r="U23" s="13">
        <f t="shared" ca="1" si="6"/>
        <v>1062692.7453537581</v>
      </c>
      <c r="V23" s="15">
        <f>Old_Z0+HI+L23-E23</f>
        <v>-0.16000000000000014</v>
      </c>
      <c r="W23" s="15">
        <f t="shared" ca="1" si="7"/>
        <v>0.75974999999999981</v>
      </c>
      <c r="X23" s="46" t="str">
        <f t="shared" si="8"/>
        <v/>
      </c>
      <c r="Y23" s="46" t="str">
        <f t="shared" si="18"/>
        <v/>
      </c>
      <c r="Z23" s="46" t="e">
        <f>IF(X23="",NA(),VALUE((-mB*X23+Y23-bA)/(mA-mB)))</f>
        <v>#N/A</v>
      </c>
      <c r="AA23" s="46" t="e">
        <f>IF(ISNA(Z23),NA(),VALUE(mA*Z23+bA))</f>
        <v>#N/A</v>
      </c>
      <c r="AB23" s="15" t="str">
        <f t="shared" si="19"/>
        <v/>
      </c>
      <c r="AC23" s="15" t="str">
        <f t="shared" ca="1" si="12"/>
        <v/>
      </c>
      <c r="AD23" s="15" t="str">
        <f t="shared" si="13"/>
        <v/>
      </c>
      <c r="AE23" s="2" t="e">
        <f ca="1">ROUND(CONVERT(AC23,"m","ft"),2)</f>
        <v>#VALUE!</v>
      </c>
      <c r="AF23" s="2" t="e">
        <f>ROUND(CONVERT(AD23,"m","ft"),2)</f>
        <v>#VALUE!</v>
      </c>
      <c r="AH23" s="43">
        <v>0</v>
      </c>
      <c r="AI23" s="2">
        <f ca="1">OFFSET($AF$22,MATCH(AH23,$AE$23:$AE$59,0),0)</f>
        <v>2.64</v>
      </c>
      <c r="AJ23" s="2" t="str">
        <f t="shared" ref="AJ23:AJ31" ca="1" si="20">CONCATENATE(AH23,",",AI23)</f>
        <v>0,2.64</v>
      </c>
    </row>
    <row r="24" spans="1:36" x14ac:dyDescent="0.25">
      <c r="A24" s="43">
        <v>4</v>
      </c>
      <c r="B24" s="47">
        <v>3.1742245370370372</v>
      </c>
      <c r="C24" s="46"/>
      <c r="D24" s="46"/>
      <c r="E24" s="43">
        <v>2.609</v>
      </c>
      <c r="F24" s="43"/>
      <c r="G24" s="42"/>
      <c r="H24" s="42"/>
      <c r="I24" s="42">
        <f t="shared" si="3"/>
        <v>76.18138888888889</v>
      </c>
      <c r="J24" s="38">
        <f t="shared" si="14"/>
        <v>1.3296160648533357</v>
      </c>
      <c r="K24" s="46">
        <v>5.3650000000000002</v>
      </c>
      <c r="L24" s="46">
        <v>6.4000000000000001E-2</v>
      </c>
      <c r="M24" s="13"/>
      <c r="N24" s="15">
        <f t="shared" si="4"/>
        <v>76.18138888888889</v>
      </c>
      <c r="O24" s="15">
        <f t="shared" ca="1" si="15"/>
        <v>43.533940853454617</v>
      </c>
      <c r="P24" s="15">
        <f t="shared" ca="1" si="16"/>
        <v>119.7153297423435</v>
      </c>
      <c r="Q24" s="15">
        <f t="shared" ca="1" si="17"/>
        <v>2.0894266691145891</v>
      </c>
      <c r="R24" s="15">
        <f ca="1">K24*SIN(Q24)</f>
        <v>4.6594967120449269</v>
      </c>
      <c r="S24" s="15">
        <f ca="1">K24*COS(Q24)</f>
        <v>-2.6593825205190997</v>
      </c>
      <c r="T24" s="13">
        <f t="shared" ca="1" si="5"/>
        <v>467202.28649671201</v>
      </c>
      <c r="U24" s="13">
        <f t="shared" ca="1" si="6"/>
        <v>1062692.5286174796</v>
      </c>
      <c r="V24" s="15">
        <f>Old_Z0+HI+L24-E24</f>
        <v>-1.214</v>
      </c>
      <c r="W24" s="15">
        <f t="shared" ca="1" si="7"/>
        <v>-0.29425000000000001</v>
      </c>
      <c r="X24" s="46" t="str">
        <f t="shared" si="8"/>
        <v/>
      </c>
      <c r="Y24" s="46" t="str">
        <f t="shared" si="18"/>
        <v/>
      </c>
      <c r="Z24" s="46" t="e">
        <f>IF(X24="",NA(),VALUE((-mB*X24+Y24-bA)/(mA-mB)))</f>
        <v>#N/A</v>
      </c>
      <c r="AA24" s="46" t="e">
        <f>IF(ISNA(Z24),NA(),VALUE(mA*Z24+bA))</f>
        <v>#N/A</v>
      </c>
      <c r="AB24" s="46" t="str">
        <f t="shared" ref="AB24:AB34" si="21">IF(ISNUMBER(X24),SQRT((X24-Z24)^2+(Y24-AA24)^2),"")</f>
        <v/>
      </c>
      <c r="AC24" s="46" t="str">
        <f t="shared" ref="AC24:AC34" ca="1" si="22">IF(ISNUMBER(Z24),SQRT(($Z24-OFFSET($Z$20,MATCH(CS_Start,$A$21:$A$51,0),0))^2+($AA24-OFFSET($AA$20,MATCH(CS_Start,$A$21:$A$51,0),0))^2),"")</f>
        <v/>
      </c>
      <c r="AD24" s="46" t="str">
        <f t="shared" ref="AD24:AD34" si="23">IF(ISNUMBER(X24),W24-Min_Z,"")</f>
        <v/>
      </c>
      <c r="AE24" s="43" t="e">
        <f t="shared" ref="AE24:AE34" ca="1" si="24">ROUND(CONVERT(AC24,"m","ft"),2)</f>
        <v>#VALUE!</v>
      </c>
      <c r="AF24" s="43" t="e">
        <f t="shared" ref="AF24:AF34" si="25">ROUND(CONVERT(AD24,"m","ft"),2)</f>
        <v>#VALUE!</v>
      </c>
      <c r="AH24" s="43">
        <v>2.0699999999999998</v>
      </c>
      <c r="AI24" s="43">
        <f t="shared" ref="AI24:AI31" ca="1" si="26">OFFSET($AF$22,MATCH(AH24,$AE$23:$AE$59,0),0)</f>
        <v>0.78</v>
      </c>
      <c r="AJ24" s="2" t="str">
        <f t="shared" ca="1" si="20"/>
        <v>2.07,0.78</v>
      </c>
    </row>
    <row r="25" spans="1:36" x14ac:dyDescent="0.25">
      <c r="A25" s="43">
        <v>5</v>
      </c>
      <c r="B25" s="47">
        <v>3.2932291666666664</v>
      </c>
      <c r="C25" s="46"/>
      <c r="D25" s="46"/>
      <c r="E25" s="43">
        <v>2.609</v>
      </c>
      <c r="F25" s="48" t="s">
        <v>89</v>
      </c>
      <c r="G25" s="42"/>
      <c r="H25" s="42"/>
      <c r="I25" s="42">
        <f t="shared" si="3"/>
        <v>79.037499999999994</v>
      </c>
      <c r="J25" s="38">
        <f t="shared" si="14"/>
        <v>1.3794646075450181</v>
      </c>
      <c r="K25" s="46">
        <v>5.4429999999999996</v>
      </c>
      <c r="L25" s="46">
        <v>0.51700000000000002</v>
      </c>
      <c r="M25" s="13"/>
      <c r="N25" s="15">
        <f t="shared" si="4"/>
        <v>79.037499999999994</v>
      </c>
      <c r="O25" s="15">
        <f t="shared" ca="1" si="15"/>
        <v>43.533940853454617</v>
      </c>
      <c r="P25" s="15">
        <f t="shared" ca="1" si="16"/>
        <v>122.57144085345462</v>
      </c>
      <c r="Q25" s="15">
        <f t="shared" ca="1" si="17"/>
        <v>2.1392752118062717</v>
      </c>
      <c r="R25" s="15">
        <f ca="1">K25*SIN(Q25)</f>
        <v>4.5869295498218126</v>
      </c>
      <c r="S25" s="15">
        <f ca="1">K25*COS(Q25)</f>
        <v>-2.9302433866440958</v>
      </c>
      <c r="T25" s="13">
        <f t="shared" ca="1" si="5"/>
        <v>467202.21392954979</v>
      </c>
      <c r="U25" s="13">
        <f t="shared" ca="1" si="6"/>
        <v>1062692.2577566134</v>
      </c>
      <c r="V25" s="15">
        <f>Old_Z0+HI+L25-E25</f>
        <v>-0.76100000000000012</v>
      </c>
      <c r="W25" s="15">
        <f t="shared" ca="1" si="7"/>
        <v>0.15874999999999984</v>
      </c>
      <c r="X25" s="46" t="str">
        <f t="shared" si="8"/>
        <v/>
      </c>
      <c r="Y25" s="46" t="str">
        <f t="shared" si="18"/>
        <v/>
      </c>
      <c r="Z25" s="46" t="e">
        <f>IF(X25="",NA(),VALUE((-mB*X25+Y25-bA)/(mA-mB)))</f>
        <v>#N/A</v>
      </c>
      <c r="AA25" s="46" t="e">
        <f>IF(ISNA(Z25),NA(),VALUE(mA*Z25+bA))</f>
        <v>#N/A</v>
      </c>
      <c r="AB25" s="46" t="str">
        <f t="shared" si="21"/>
        <v/>
      </c>
      <c r="AC25" s="46" t="str">
        <f t="shared" ca="1" si="22"/>
        <v/>
      </c>
      <c r="AD25" s="46" t="str">
        <f t="shared" si="23"/>
        <v/>
      </c>
      <c r="AE25" s="43" t="e">
        <f t="shared" ca="1" si="24"/>
        <v>#VALUE!</v>
      </c>
      <c r="AF25" s="43" t="e">
        <f t="shared" si="25"/>
        <v>#VALUE!</v>
      </c>
      <c r="AH25" s="43">
        <v>9.6199999999999992</v>
      </c>
      <c r="AI25" s="43">
        <f t="shared" ca="1" si="26"/>
        <v>0.48</v>
      </c>
      <c r="AJ25" s="2" t="str">
        <f t="shared" ca="1" si="20"/>
        <v>9.62,0.48</v>
      </c>
    </row>
    <row r="26" spans="1:36" x14ac:dyDescent="0.25">
      <c r="A26" s="43">
        <v>6</v>
      </c>
      <c r="B26" s="47">
        <v>3.4217939814814815</v>
      </c>
      <c r="C26" s="46"/>
      <c r="D26" s="46"/>
      <c r="E26" s="43">
        <v>2.609</v>
      </c>
      <c r="F26" s="43"/>
      <c r="G26" s="42"/>
      <c r="H26" s="42"/>
      <c r="I26" s="42">
        <f t="shared" si="3"/>
        <v>82.123055555555553</v>
      </c>
      <c r="J26" s="38">
        <f t="shared" si="14"/>
        <v>1.4333177112426654</v>
      </c>
      <c r="K26" s="46">
        <v>5.5270000000000001</v>
      </c>
      <c r="L26" s="46">
        <v>0.35299999999999998</v>
      </c>
      <c r="M26" s="13"/>
      <c r="N26" s="15">
        <f t="shared" si="4"/>
        <v>82.123055555555553</v>
      </c>
      <c r="O26" s="15">
        <f t="shared" ca="1" si="15"/>
        <v>43.533940853454617</v>
      </c>
      <c r="P26" s="15">
        <f t="shared" ca="1" si="16"/>
        <v>125.65699640901016</v>
      </c>
      <c r="Q26" s="15">
        <f t="shared" ca="1" si="17"/>
        <v>2.1931283155039187</v>
      </c>
      <c r="R26" s="15">
        <f ca="1">K26*SIN(Q26)</f>
        <v>4.4908051004797533</v>
      </c>
      <c r="S26" s="15">
        <f ca="1">K26*COS(Q26)</f>
        <v>-3.2218625901029725</v>
      </c>
      <c r="T26" s="13">
        <f t="shared" ca="1" si="5"/>
        <v>467202.11780510045</v>
      </c>
      <c r="U26" s="13">
        <f t="shared" ca="1" si="6"/>
        <v>1062691.9661374099</v>
      </c>
      <c r="V26" s="15">
        <f>Old_Z0+HI+L26-E26</f>
        <v>-0.92500000000000004</v>
      </c>
      <c r="W26" s="15">
        <f t="shared" ca="1" si="7"/>
        <v>-5.2500000000000879E-3</v>
      </c>
      <c r="X26" s="46" t="str">
        <f t="shared" si="8"/>
        <v/>
      </c>
      <c r="Y26" s="46" t="str">
        <f t="shared" si="18"/>
        <v/>
      </c>
      <c r="Z26" s="46" t="e">
        <f>IF(X26="",NA(),VALUE((-mB*X26+Y26-bA)/(mA-mB)))</f>
        <v>#N/A</v>
      </c>
      <c r="AA26" s="46" t="e">
        <f>IF(ISNA(Z26),NA(),VALUE(mA*Z26+bA))</f>
        <v>#N/A</v>
      </c>
      <c r="AB26" s="46" t="str">
        <f t="shared" si="21"/>
        <v/>
      </c>
      <c r="AC26" s="46" t="str">
        <f t="shared" ca="1" si="22"/>
        <v/>
      </c>
      <c r="AD26" s="46" t="str">
        <f t="shared" si="23"/>
        <v/>
      </c>
      <c r="AE26" s="43" t="e">
        <f t="shared" ca="1" si="24"/>
        <v>#VALUE!</v>
      </c>
      <c r="AF26" s="43" t="e">
        <f t="shared" si="25"/>
        <v>#VALUE!</v>
      </c>
      <c r="AH26" s="43">
        <v>11.87</v>
      </c>
      <c r="AI26" s="43">
        <f t="shared" ca="1" si="26"/>
        <v>0</v>
      </c>
      <c r="AJ26" s="2" t="str">
        <f t="shared" ca="1" si="20"/>
        <v>11.87,0</v>
      </c>
    </row>
    <row r="27" spans="1:36" x14ac:dyDescent="0.25">
      <c r="A27" s="43">
        <v>7</v>
      </c>
      <c r="B27" s="47">
        <v>5.7170949074074073</v>
      </c>
      <c r="C27" s="46"/>
      <c r="D27" s="46"/>
      <c r="E27" s="43">
        <v>2.609</v>
      </c>
      <c r="F27" s="48" t="s">
        <v>90</v>
      </c>
      <c r="G27" s="42"/>
      <c r="H27" s="42"/>
      <c r="I27" s="42">
        <f t="shared" si="3"/>
        <v>137.21027777777778</v>
      </c>
      <c r="J27" s="38">
        <f t="shared" si="14"/>
        <v>2.3947711147982305</v>
      </c>
      <c r="K27" s="46">
        <v>18.916</v>
      </c>
      <c r="L27" s="46">
        <v>0.48099999999999998</v>
      </c>
      <c r="M27" s="13"/>
      <c r="N27" s="15">
        <f t="shared" si="4"/>
        <v>137.21027777777778</v>
      </c>
      <c r="O27" s="15">
        <f t="shared" ca="1" si="15"/>
        <v>43.533940853454617</v>
      </c>
      <c r="P27" s="15">
        <f t="shared" ca="1" si="16"/>
        <v>180.7442186312324</v>
      </c>
      <c r="Q27" s="15">
        <f t="shared" ca="1" si="17"/>
        <v>3.1545817190594843</v>
      </c>
      <c r="R27" s="15">
        <f ca="1">K27*SIN(Q27)</f>
        <v>-0.24569425353736921</v>
      </c>
      <c r="S27" s="15">
        <f ca="1">K27*COS(Q27)</f>
        <v>-18.914404308192704</v>
      </c>
      <c r="T27" s="13">
        <f t="shared" ca="1" si="5"/>
        <v>467197.38130574644</v>
      </c>
      <c r="U27" s="13">
        <f t="shared" ca="1" si="6"/>
        <v>1062676.2735956919</v>
      </c>
      <c r="V27" s="15">
        <f>Old_Z0+HI+L27-E27</f>
        <v>-0.79700000000000015</v>
      </c>
      <c r="W27" s="15">
        <f t="shared" ca="1" si="7"/>
        <v>0.1227499999999998</v>
      </c>
      <c r="X27" s="46" t="str">
        <f t="shared" si="8"/>
        <v/>
      </c>
      <c r="Y27" s="46" t="str">
        <f t="shared" si="18"/>
        <v/>
      </c>
      <c r="Z27" s="46" t="e">
        <f>IF(X27="",NA(),VALUE((-mB*X27+Y27-bA)/(mA-mB)))</f>
        <v>#N/A</v>
      </c>
      <c r="AA27" s="46" t="e">
        <f>IF(ISNA(Z27),NA(),VALUE(mA*Z27+bA))</f>
        <v>#N/A</v>
      </c>
      <c r="AB27" s="46" t="str">
        <f t="shared" si="21"/>
        <v/>
      </c>
      <c r="AC27" s="46" t="str">
        <f t="shared" ca="1" si="22"/>
        <v/>
      </c>
      <c r="AD27" s="46" t="str">
        <f t="shared" si="23"/>
        <v/>
      </c>
      <c r="AE27" s="43" t="e">
        <f t="shared" ca="1" si="24"/>
        <v>#VALUE!</v>
      </c>
      <c r="AF27" s="43" t="e">
        <f t="shared" si="25"/>
        <v>#VALUE!</v>
      </c>
      <c r="AH27" s="43">
        <v>27.7</v>
      </c>
      <c r="AI27" s="43">
        <f t="shared" ca="1" si="26"/>
        <v>0.42</v>
      </c>
      <c r="AJ27" s="2" t="str">
        <f t="shared" ca="1" si="20"/>
        <v>27.7,0.42</v>
      </c>
    </row>
    <row r="28" spans="1:36" x14ac:dyDescent="0.25">
      <c r="A28" s="43">
        <v>8</v>
      </c>
      <c r="B28" s="47">
        <v>5.7711342592592594</v>
      </c>
      <c r="C28" s="46"/>
      <c r="D28" s="46"/>
      <c r="E28" s="43">
        <v>2.609</v>
      </c>
      <c r="F28" s="43"/>
      <c r="G28" s="42"/>
      <c r="H28" s="42"/>
      <c r="I28" s="42">
        <f t="shared" si="3"/>
        <v>138.50722222222223</v>
      </c>
      <c r="J28" s="38">
        <f t="shared" si="14"/>
        <v>2.4174070655692348</v>
      </c>
      <c r="K28" s="46">
        <v>28.896999999999998</v>
      </c>
      <c r="L28" s="46">
        <v>0.64800000000000002</v>
      </c>
      <c r="M28" s="13"/>
      <c r="N28" s="15">
        <f t="shared" si="4"/>
        <v>138.50722222222223</v>
      </c>
      <c r="O28" s="15">
        <f t="shared" ca="1" si="15"/>
        <v>43.533940853454617</v>
      </c>
      <c r="P28" s="15">
        <f t="shared" ca="1" si="16"/>
        <v>182.04116307567685</v>
      </c>
      <c r="Q28" s="15">
        <f t="shared" ca="1" si="17"/>
        <v>3.1772176698304886</v>
      </c>
      <c r="R28" s="15">
        <f ca="1">K28*SIN(Q28)</f>
        <v>-1.029238353834647</v>
      </c>
      <c r="S28" s="15">
        <f ca="1">K28*COS(Q28)</f>
        <v>-28.878664744253598</v>
      </c>
      <c r="T28" s="13">
        <f t="shared" ca="1" si="5"/>
        <v>467196.59776164615</v>
      </c>
      <c r="U28" s="13">
        <f t="shared" ca="1" si="6"/>
        <v>1062666.3093352558</v>
      </c>
      <c r="V28" s="15">
        <f>Old_Z0+HI+L28-E28</f>
        <v>-0.62999999999999989</v>
      </c>
      <c r="W28" s="15">
        <f t="shared" ca="1" si="7"/>
        <v>0.28975000000000006</v>
      </c>
      <c r="X28" s="46" t="str">
        <f t="shared" si="8"/>
        <v/>
      </c>
      <c r="Y28" s="46" t="str">
        <f t="shared" si="18"/>
        <v/>
      </c>
      <c r="Z28" s="46" t="e">
        <f>IF(X28="",NA(),VALUE((-mB*X28+Y28-bA)/(mA-mB)))</f>
        <v>#N/A</v>
      </c>
      <c r="AA28" s="46" t="e">
        <f>IF(ISNA(Z28),NA(),VALUE(mA*Z28+bA))</f>
        <v>#N/A</v>
      </c>
      <c r="AB28" s="46" t="str">
        <f t="shared" si="21"/>
        <v/>
      </c>
      <c r="AC28" s="46" t="str">
        <f t="shared" ca="1" si="22"/>
        <v/>
      </c>
      <c r="AD28" s="46" t="str">
        <f t="shared" si="23"/>
        <v/>
      </c>
      <c r="AE28" s="43" t="e">
        <f t="shared" ca="1" si="24"/>
        <v>#VALUE!</v>
      </c>
      <c r="AF28" s="43" t="e">
        <f t="shared" si="25"/>
        <v>#VALUE!</v>
      </c>
      <c r="AH28" s="43">
        <v>87.32</v>
      </c>
      <c r="AI28" s="43">
        <f t="shared" ca="1" si="26"/>
        <v>1.41</v>
      </c>
      <c r="AJ28" s="2" t="str">
        <f t="shared" ca="1" si="20"/>
        <v>87.32,1.41</v>
      </c>
    </row>
    <row r="29" spans="1:36" x14ac:dyDescent="0.25">
      <c r="A29" s="43">
        <v>9</v>
      </c>
      <c r="B29" s="47">
        <v>5.7792013888888887</v>
      </c>
      <c r="C29" s="46"/>
      <c r="D29" s="46"/>
      <c r="E29" s="43">
        <v>2.609</v>
      </c>
      <c r="F29" s="48" t="s">
        <v>90</v>
      </c>
      <c r="G29" s="42"/>
      <c r="H29" s="42"/>
      <c r="I29" s="42">
        <f t="shared" si="3"/>
        <v>138.70083333333332</v>
      </c>
      <c r="J29" s="38">
        <f t="shared" si="14"/>
        <v>2.4207862169265684</v>
      </c>
      <c r="K29" s="46">
        <v>43.210999999999999</v>
      </c>
      <c r="L29" s="46">
        <v>0.45900000000000002</v>
      </c>
      <c r="M29" s="13"/>
      <c r="N29" s="15">
        <f t="shared" si="4"/>
        <v>138.70083333333332</v>
      </c>
      <c r="O29" s="15">
        <f t="shared" ca="1" si="15"/>
        <v>43.533940853454617</v>
      </c>
      <c r="P29" s="15">
        <f t="shared" ca="1" si="16"/>
        <v>182.23477418678794</v>
      </c>
      <c r="Q29" s="15">
        <f t="shared" ca="1" si="17"/>
        <v>3.1805968211878217</v>
      </c>
      <c r="R29" s="15">
        <f ca="1">K29*SIN(Q29)</f>
        <v>-1.6849817760619781</v>
      </c>
      <c r="S29" s="15">
        <f ca="1">K29*COS(Q29)</f>
        <v>-43.178135177591201</v>
      </c>
      <c r="T29" s="13">
        <f t="shared" ca="1" si="5"/>
        <v>467195.94201822393</v>
      </c>
      <c r="U29" s="13">
        <f t="shared" ca="1" si="6"/>
        <v>1062652.0098648225</v>
      </c>
      <c r="V29" s="15">
        <f>Old_Z0+HI+L29-E29</f>
        <v>-0.81899999999999995</v>
      </c>
      <c r="W29" s="15">
        <f t="shared" ca="1" si="7"/>
        <v>0.10075000000000001</v>
      </c>
      <c r="X29" s="46" t="str">
        <f t="shared" si="8"/>
        <v/>
      </c>
      <c r="Y29" s="46" t="str">
        <f t="shared" si="18"/>
        <v/>
      </c>
      <c r="Z29" s="46" t="e">
        <f>IF(X29="",NA(),VALUE((-mB*X29+Y29-bA)/(mA-mB)))</f>
        <v>#N/A</v>
      </c>
      <c r="AA29" s="46" t="e">
        <f>IF(ISNA(Z29),NA(),VALUE(mA*Z29+bA))</f>
        <v>#N/A</v>
      </c>
      <c r="AB29" s="46" t="str">
        <f t="shared" si="21"/>
        <v/>
      </c>
      <c r="AC29" s="46" t="str">
        <f t="shared" ca="1" si="22"/>
        <v/>
      </c>
      <c r="AD29" s="46" t="str">
        <f t="shared" si="23"/>
        <v/>
      </c>
      <c r="AE29" s="43" t="e">
        <f t="shared" ca="1" si="24"/>
        <v>#VALUE!</v>
      </c>
      <c r="AF29" s="43" t="e">
        <f t="shared" si="25"/>
        <v>#VALUE!</v>
      </c>
      <c r="AH29" s="43">
        <v>215.57</v>
      </c>
      <c r="AI29" s="43">
        <f t="shared" ca="1" si="26"/>
        <v>0.53</v>
      </c>
      <c r="AJ29" s="2" t="str">
        <f t="shared" ca="1" si="20"/>
        <v>215.57,0.53</v>
      </c>
    </row>
    <row r="30" spans="1:36" x14ac:dyDescent="0.25">
      <c r="A30" s="43">
        <v>10</v>
      </c>
      <c r="B30" s="47">
        <v>5.8649305555555555</v>
      </c>
      <c r="C30" s="46"/>
      <c r="D30" s="46"/>
      <c r="E30" s="43">
        <v>2.609</v>
      </c>
      <c r="F30" s="48" t="s">
        <v>91</v>
      </c>
      <c r="G30" s="42"/>
      <c r="H30" s="42"/>
      <c r="I30" s="42">
        <f t="shared" si="3"/>
        <v>140.75833333333333</v>
      </c>
      <c r="J30" s="38">
        <f t="shared" si="14"/>
        <v>2.4566963662863515</v>
      </c>
      <c r="K30" s="46">
        <v>59.442999999999998</v>
      </c>
      <c r="L30" s="46">
        <v>0.313</v>
      </c>
      <c r="M30" s="13"/>
      <c r="N30" s="15">
        <f t="shared" si="4"/>
        <v>140.75833333333333</v>
      </c>
      <c r="O30" s="15">
        <f t="shared" ca="1" si="15"/>
        <v>43.533940853454617</v>
      </c>
      <c r="P30" s="15">
        <f t="shared" ca="1" si="16"/>
        <v>184.29227418678795</v>
      </c>
      <c r="Q30" s="15">
        <f t="shared" ca="1" si="17"/>
        <v>3.2165069705476048</v>
      </c>
      <c r="R30" s="15">
        <f ca="1">K30*SIN(Q30)</f>
        <v>-4.4489676340651974</v>
      </c>
      <c r="S30" s="15">
        <f ca="1">K30*COS(Q30)</f>
        <v>-59.276276333715835</v>
      </c>
      <c r="T30" s="13">
        <f t="shared" ca="1" si="5"/>
        <v>467193.17803236592</v>
      </c>
      <c r="U30" s="13">
        <f t="shared" ca="1" si="6"/>
        <v>1062635.9117236664</v>
      </c>
      <c r="V30" s="15">
        <f>Old_Z0+HI+L30-E30</f>
        <v>-0.96500000000000008</v>
      </c>
      <c r="W30" s="15">
        <f t="shared" ca="1" si="7"/>
        <v>-4.5250000000000123E-2</v>
      </c>
      <c r="X30" s="46" t="str">
        <f t="shared" si="8"/>
        <v/>
      </c>
      <c r="Y30" s="46" t="str">
        <f t="shared" si="18"/>
        <v/>
      </c>
      <c r="Z30" s="46" t="e">
        <f>IF(X30="",NA(),VALUE((-mB*X30+Y30-bA)/(mA-mB)))</f>
        <v>#N/A</v>
      </c>
      <c r="AA30" s="46" t="e">
        <f>IF(ISNA(Z30),NA(),VALUE(mA*Z30+bA))</f>
        <v>#N/A</v>
      </c>
      <c r="AB30" s="46" t="str">
        <f t="shared" si="21"/>
        <v/>
      </c>
      <c r="AC30" s="46" t="str">
        <f t="shared" ca="1" si="22"/>
        <v/>
      </c>
      <c r="AD30" s="46" t="str">
        <f t="shared" si="23"/>
        <v/>
      </c>
      <c r="AE30" s="43" t="e">
        <f t="shared" ca="1" si="24"/>
        <v>#VALUE!</v>
      </c>
      <c r="AF30" s="43" t="e">
        <f t="shared" si="25"/>
        <v>#VALUE!</v>
      </c>
      <c r="AH30" s="43">
        <v>320.23</v>
      </c>
      <c r="AI30" s="43">
        <f t="shared" ca="1" si="26"/>
        <v>0.38</v>
      </c>
      <c r="AJ30" s="2" t="str">
        <f t="shared" ca="1" si="20"/>
        <v>320.23,0.38</v>
      </c>
    </row>
    <row r="31" spans="1:36" x14ac:dyDescent="0.25">
      <c r="A31" s="43">
        <v>11</v>
      </c>
      <c r="B31" s="47">
        <v>5.8834953703703698</v>
      </c>
      <c r="C31" s="46"/>
      <c r="D31" s="46"/>
      <c r="E31" s="43">
        <v>2.609</v>
      </c>
      <c r="F31" s="48" t="s">
        <v>90</v>
      </c>
      <c r="G31" s="42"/>
      <c r="H31" s="42"/>
      <c r="I31" s="42">
        <f t="shared" si="3"/>
        <v>141.20388888888888</v>
      </c>
      <c r="J31" s="38">
        <f t="shared" si="14"/>
        <v>2.4644727777313484</v>
      </c>
      <c r="K31" s="46">
        <v>72.111000000000004</v>
      </c>
      <c r="L31" s="46">
        <v>0.495</v>
      </c>
      <c r="M31" s="13"/>
      <c r="N31" s="15">
        <f t="shared" si="4"/>
        <v>141.20388888888888</v>
      </c>
      <c r="O31" s="15">
        <f t="shared" ca="1" si="15"/>
        <v>43.533940853454617</v>
      </c>
      <c r="P31" s="15">
        <f t="shared" ca="1" si="16"/>
        <v>184.73782974234351</v>
      </c>
      <c r="Q31" s="15">
        <f t="shared" ca="1" si="17"/>
        <v>3.2242833819926018</v>
      </c>
      <c r="R31" s="15">
        <f ca="1">K31*SIN(Q31)</f>
        <v>-5.9561179496681147</v>
      </c>
      <c r="S31" s="15">
        <f ca="1">K31*COS(Q31)</f>
        <v>-71.864601717185081</v>
      </c>
      <c r="T31" s="13">
        <f t="shared" ca="1" si="5"/>
        <v>467191.6708820503</v>
      </c>
      <c r="U31" s="13">
        <f t="shared" ca="1" si="6"/>
        <v>1062623.323398283</v>
      </c>
      <c r="V31" s="15">
        <f>Old_Z0+HI+L31-E31</f>
        <v>-0.78299999999999992</v>
      </c>
      <c r="W31" s="15">
        <f t="shared" ca="1" si="7"/>
        <v>0.13675000000000004</v>
      </c>
      <c r="X31" s="46" t="str">
        <f t="shared" si="8"/>
        <v/>
      </c>
      <c r="Y31" s="46" t="str">
        <f t="shared" si="18"/>
        <v/>
      </c>
      <c r="Z31" s="46" t="e">
        <f>IF(X31="",NA(),VALUE((-mB*X31+Y31-bA)/(mA-mB)))</f>
        <v>#N/A</v>
      </c>
      <c r="AA31" s="46" t="e">
        <f>IF(ISNA(Z31),NA(),VALUE(mA*Z31+bA))</f>
        <v>#N/A</v>
      </c>
      <c r="AB31" s="46" t="str">
        <f t="shared" si="21"/>
        <v/>
      </c>
      <c r="AC31" s="46" t="str">
        <f t="shared" ca="1" si="22"/>
        <v/>
      </c>
      <c r="AD31" s="46" t="str">
        <f t="shared" si="23"/>
        <v/>
      </c>
      <c r="AE31" s="43" t="e">
        <f t="shared" ca="1" si="24"/>
        <v>#VALUE!</v>
      </c>
      <c r="AF31" s="43" t="e">
        <f t="shared" si="25"/>
        <v>#VALUE!</v>
      </c>
      <c r="AH31" s="43">
        <v>321.64999999999998</v>
      </c>
      <c r="AI31" s="43">
        <f t="shared" ca="1" si="26"/>
        <v>2.4900000000000002</v>
      </c>
      <c r="AJ31" s="2" t="str">
        <f t="shared" ca="1" si="20"/>
        <v>321.65,2.49</v>
      </c>
    </row>
    <row r="32" spans="1:36" x14ac:dyDescent="0.25">
      <c r="A32" s="43">
        <v>12</v>
      </c>
      <c r="B32" s="47">
        <v>5.8698611111111108</v>
      </c>
      <c r="C32" s="46"/>
      <c r="D32" s="46"/>
      <c r="E32" s="43">
        <v>2.609</v>
      </c>
      <c r="F32" s="43"/>
      <c r="G32" s="42"/>
      <c r="H32" s="42"/>
      <c r="I32" s="42">
        <f t="shared" si="3"/>
        <v>140.87666666666667</v>
      </c>
      <c r="J32" s="38">
        <f t="shared" si="14"/>
        <v>2.4587616725678783</v>
      </c>
      <c r="K32" s="46">
        <v>75.504000000000005</v>
      </c>
      <c r="L32" s="46">
        <v>0.55500000000000005</v>
      </c>
      <c r="M32" s="13"/>
      <c r="N32" s="15">
        <f t="shared" si="4"/>
        <v>140.87666666666667</v>
      </c>
      <c r="O32" s="15">
        <f t="shared" ca="1" si="15"/>
        <v>43.533940853454617</v>
      </c>
      <c r="P32" s="15">
        <f t="shared" ca="1" si="16"/>
        <v>184.41060752012129</v>
      </c>
      <c r="Q32" s="15">
        <f t="shared" ca="1" si="17"/>
        <v>3.2185722768291316</v>
      </c>
      <c r="R32" s="15">
        <f ca="1">K32*SIN(Q32)</f>
        <v>-5.806530722163564</v>
      </c>
      <c r="S32" s="15">
        <f ca="1">K32*COS(Q32)</f>
        <v>-75.280397295528218</v>
      </c>
      <c r="T32" s="13">
        <f t="shared" ca="1" si="5"/>
        <v>467191.82046927779</v>
      </c>
      <c r="U32" s="13">
        <f t="shared" ca="1" si="6"/>
        <v>1062619.9076027046</v>
      </c>
      <c r="V32" s="15">
        <f>Old_Z0+HI+L32-E32</f>
        <v>-0.72299999999999986</v>
      </c>
      <c r="W32" s="15">
        <f t="shared" ca="1" si="7"/>
        <v>0.19675000000000009</v>
      </c>
      <c r="X32" s="46" t="str">
        <f t="shared" si="8"/>
        <v/>
      </c>
      <c r="Y32" s="46" t="str">
        <f t="shared" si="18"/>
        <v/>
      </c>
      <c r="Z32" s="46" t="e">
        <f>IF(X32="",NA(),VALUE((-mB*X32+Y32-bA)/(mA-mB)))</f>
        <v>#N/A</v>
      </c>
      <c r="AA32" s="46" t="e">
        <f>IF(ISNA(Z32),NA(),VALUE(mA*Z32+bA))</f>
        <v>#N/A</v>
      </c>
      <c r="AB32" s="46" t="str">
        <f t="shared" si="21"/>
        <v/>
      </c>
      <c r="AC32" s="46" t="str">
        <f t="shared" ca="1" si="22"/>
        <v/>
      </c>
      <c r="AD32" s="46" t="str">
        <f t="shared" si="23"/>
        <v/>
      </c>
      <c r="AE32" s="43" t="e">
        <f t="shared" ca="1" si="24"/>
        <v>#VALUE!</v>
      </c>
      <c r="AF32" s="43" t="e">
        <f t="shared" si="25"/>
        <v>#VALUE!</v>
      </c>
      <c r="AH32" s="43">
        <v>332.36</v>
      </c>
      <c r="AI32" s="43">
        <f t="shared" ref="AI32:AI36" ca="1" si="27">OFFSET($AF$22,MATCH(AH32,$AE$23:$AE$59,0),0)</f>
        <v>5.31</v>
      </c>
      <c r="AJ32" s="43" t="str">
        <f t="shared" ref="AJ32:AJ36" ca="1" si="28">CONCATENATE(AH32,",",AI32)</f>
        <v>332.36,5.31</v>
      </c>
    </row>
    <row r="33" spans="1:36" x14ac:dyDescent="0.25">
      <c r="A33" s="43">
        <v>13</v>
      </c>
      <c r="B33" s="47">
        <v>5.8729398148148144</v>
      </c>
      <c r="C33" s="46"/>
      <c r="D33" s="46"/>
      <c r="E33" s="43">
        <v>2.609</v>
      </c>
      <c r="F33" s="48" t="s">
        <v>90</v>
      </c>
      <c r="G33" s="42"/>
      <c r="H33" s="42"/>
      <c r="I33" s="42">
        <f t="shared" si="3"/>
        <v>140.95055555555555</v>
      </c>
      <c r="J33" s="38">
        <f t="shared" si="14"/>
        <v>2.4600512769596294</v>
      </c>
      <c r="K33" s="46">
        <v>78.564999999999998</v>
      </c>
      <c r="L33" s="46">
        <v>0.44800000000000001</v>
      </c>
      <c r="M33" s="13"/>
      <c r="N33" s="15">
        <f t="shared" si="4"/>
        <v>140.95055555555555</v>
      </c>
      <c r="O33" s="15">
        <f t="shared" ca="1" si="15"/>
        <v>43.533940853454617</v>
      </c>
      <c r="P33" s="15">
        <f t="shared" ca="1" si="16"/>
        <v>184.48449640901018</v>
      </c>
      <c r="Q33" s="15">
        <f t="shared" ca="1" si="17"/>
        <v>3.2198618812208832</v>
      </c>
      <c r="R33" s="15">
        <f ca="1">K33*SIN(Q33)</f>
        <v>-6.1429453623490442</v>
      </c>
      <c r="S33" s="15">
        <f ca="1">K33*COS(Q33)</f>
        <v>-78.324475403766314</v>
      </c>
      <c r="T33" s="13">
        <f t="shared" ca="1" si="5"/>
        <v>467191.48405463761</v>
      </c>
      <c r="U33" s="13">
        <f t="shared" ca="1" si="6"/>
        <v>1062616.8635245962</v>
      </c>
      <c r="V33" s="15">
        <f>Old_Z0+HI+L33-E33</f>
        <v>-0.83000000000000007</v>
      </c>
      <c r="W33" s="15">
        <f t="shared" ca="1" si="7"/>
        <v>8.9749999999999885E-2</v>
      </c>
      <c r="X33" s="46" t="str">
        <f t="shared" si="8"/>
        <v/>
      </c>
      <c r="Y33" s="46" t="str">
        <f t="shared" si="18"/>
        <v/>
      </c>
      <c r="Z33" s="46" t="e">
        <f>IF(X33="",NA(),VALUE((-mB*X33+Y33-bA)/(mA-mB)))</f>
        <v>#N/A</v>
      </c>
      <c r="AA33" s="46" t="e">
        <f>IF(ISNA(Z33),NA(),VALUE(mA*Z33+bA))</f>
        <v>#N/A</v>
      </c>
      <c r="AB33" s="46" t="str">
        <f t="shared" si="21"/>
        <v/>
      </c>
      <c r="AC33" s="46" t="str">
        <f t="shared" ca="1" si="22"/>
        <v/>
      </c>
      <c r="AD33" s="46" t="str">
        <f t="shared" si="23"/>
        <v/>
      </c>
      <c r="AE33" s="43" t="e">
        <f t="shared" ca="1" si="24"/>
        <v>#VALUE!</v>
      </c>
      <c r="AF33" s="43" t="e">
        <f t="shared" si="25"/>
        <v>#VALUE!</v>
      </c>
      <c r="AH33" s="43">
        <v>393.99</v>
      </c>
      <c r="AI33" s="43">
        <f t="shared" ca="1" si="27"/>
        <v>3.8</v>
      </c>
      <c r="AJ33" s="43" t="str">
        <f t="shared" ca="1" si="28"/>
        <v>393.99,3.8</v>
      </c>
    </row>
    <row r="34" spans="1:36" x14ac:dyDescent="0.25">
      <c r="A34" s="43">
        <v>14</v>
      </c>
      <c r="B34" s="47">
        <v>6.5531134259259254</v>
      </c>
      <c r="C34" s="46"/>
      <c r="D34" s="46"/>
      <c r="E34" s="43">
        <v>2.609</v>
      </c>
      <c r="F34" s="43" t="s">
        <v>58</v>
      </c>
      <c r="G34" s="42"/>
      <c r="H34" s="42"/>
      <c r="I34" s="42">
        <f t="shared" si="3"/>
        <v>157.27472222222221</v>
      </c>
      <c r="J34" s="38">
        <f t="shared" si="14"/>
        <v>2.7449617329372704</v>
      </c>
      <c r="K34" s="46">
        <v>101.419</v>
      </c>
      <c r="L34" s="46">
        <v>0.121</v>
      </c>
      <c r="M34" s="13"/>
      <c r="N34" s="15">
        <f t="shared" si="4"/>
        <v>157.27472222222221</v>
      </c>
      <c r="O34" s="15">
        <f t="shared" ca="1" si="15"/>
        <v>43.533940853454617</v>
      </c>
      <c r="P34" s="15">
        <f t="shared" ca="1" si="16"/>
        <v>200.80866307567683</v>
      </c>
      <c r="Q34" s="15">
        <f t="shared" ca="1" si="17"/>
        <v>3.5047723371985238</v>
      </c>
      <c r="R34" s="15">
        <f ca="1">K34*SIN(Q34)</f>
        <v>-36.028927666016727</v>
      </c>
      <c r="S34" s="15">
        <f ca="1">K34*COS(Q34)</f>
        <v>-94.803638813269885</v>
      </c>
      <c r="T34" s="13">
        <f t="shared" ca="1" si="5"/>
        <v>467161.59807233396</v>
      </c>
      <c r="U34" s="13">
        <f t="shared" ca="1" si="6"/>
        <v>1062600.3843611868</v>
      </c>
      <c r="V34" s="15">
        <f>Old_Z0+HI+L34-E34</f>
        <v>-1.157</v>
      </c>
      <c r="W34" s="15">
        <f t="shared" ca="1" si="7"/>
        <v>-0.23725000000000007</v>
      </c>
      <c r="X34" s="46" t="str">
        <f t="shared" si="8"/>
        <v/>
      </c>
      <c r="Y34" s="46" t="str">
        <f t="shared" si="18"/>
        <v/>
      </c>
      <c r="Z34" s="46" t="e">
        <f>IF(X34="",NA(),VALUE((-mB*X34+Y34-bA)/(mA-mB)))</f>
        <v>#N/A</v>
      </c>
      <c r="AA34" s="46" t="e">
        <f>IF(ISNA(Z34),NA(),VALUE(mA*Z34+bA))</f>
        <v>#N/A</v>
      </c>
      <c r="AB34" s="46" t="str">
        <f t="shared" si="21"/>
        <v/>
      </c>
      <c r="AC34" s="46" t="str">
        <f t="shared" ca="1" si="22"/>
        <v/>
      </c>
      <c r="AD34" s="46" t="str">
        <f t="shared" si="23"/>
        <v/>
      </c>
      <c r="AE34" s="43" t="e">
        <f t="shared" ca="1" si="24"/>
        <v>#VALUE!</v>
      </c>
      <c r="AF34" s="43" t="e">
        <f t="shared" si="25"/>
        <v>#VALUE!</v>
      </c>
      <c r="AH34" s="43"/>
      <c r="AI34" s="43"/>
      <c r="AJ34" s="43"/>
    </row>
    <row r="35" spans="1:36" x14ac:dyDescent="0.25">
      <c r="A35" s="43">
        <v>15</v>
      </c>
      <c r="B35" s="47">
        <v>5.7215046296296288</v>
      </c>
      <c r="C35" s="46"/>
      <c r="D35" s="46"/>
      <c r="E35" s="43">
        <v>2.609</v>
      </c>
      <c r="F35" s="48"/>
      <c r="G35" s="42"/>
      <c r="H35" s="42"/>
      <c r="I35" s="42">
        <f t="shared" ref="I35:I39" si="29">B35*24</f>
        <v>137.3161111111111</v>
      </c>
      <c r="J35" s="48">
        <f t="shared" ref="J35:J39" si="30">RADIANS(I35)</f>
        <v>2.3966182549232578</v>
      </c>
      <c r="K35" s="46">
        <v>102.625</v>
      </c>
      <c r="L35" s="46">
        <v>0.495</v>
      </c>
      <c r="M35" s="44"/>
      <c r="N35" s="46">
        <f t="shared" ref="N35:N39" si="31">I35+M35</f>
        <v>137.3161111111111</v>
      </c>
      <c r="O35" s="46">
        <f t="shared" ca="1" si="15"/>
        <v>43.533940853454617</v>
      </c>
      <c r="P35" s="46">
        <f t="shared" ref="P35:P39" ca="1" si="32">SUM(N35,O35)</f>
        <v>180.85005196456572</v>
      </c>
      <c r="Q35" s="46">
        <f t="shared" ref="Q35:Q39" ca="1" si="33">RADIANS(P35)</f>
        <v>3.1564288591845111</v>
      </c>
      <c r="R35" s="46">
        <f ca="1">K35*SIN(Q35)</f>
        <v>-1.5225097436932635</v>
      </c>
      <c r="S35" s="46">
        <f ca="1">K35*COS(Q35)</f>
        <v>-102.61370565904127</v>
      </c>
      <c r="T35" s="44">
        <f t="shared" ref="T35:T39" ca="1" si="34">Old_X0+R35</f>
        <v>467196.10449025629</v>
      </c>
      <c r="U35" s="44">
        <f t="shared" ref="U35:U39" ca="1" si="35">Old_Y0+S35</f>
        <v>1062592.574294341</v>
      </c>
      <c r="V35" s="46">
        <f>Old_Z0+HI+L35-E35</f>
        <v>-0.78299999999999992</v>
      </c>
      <c r="W35" s="46">
        <f t="shared" ref="W35:W39" ca="1" si="36">IF(ISNUMBER(T35),V35+dZ,"")</f>
        <v>0.13675000000000004</v>
      </c>
      <c r="X35" s="46" t="str">
        <f t="shared" ref="X35:X39" si="37">IF(AND(A35&gt;=CS_Start,A35&lt;=CS_End),IF(OR(LEFT(UPPER(F35))="D"),"",T35),"")</f>
        <v/>
      </c>
      <c r="Y35" s="46" t="str">
        <f t="shared" ref="Y35:Y39" si="38">IF(ISNUMBER(X35),U35,"")</f>
        <v/>
      </c>
      <c r="Z35" s="46" t="e">
        <f>IF(X35="",NA(),VALUE((-mB*X35+Y35-bA)/(mA-mB)))</f>
        <v>#N/A</v>
      </c>
      <c r="AA35" s="46" t="e">
        <f>IF(ISNA(Z35),NA(),VALUE(mA*Z35+bA))</f>
        <v>#N/A</v>
      </c>
      <c r="AB35" s="46" t="str">
        <f t="shared" ref="AB35:AB39" si="39">IF(ISNUMBER(X35),SQRT((X35-Z35)^2+(Y35-AA35)^2),"")</f>
        <v/>
      </c>
      <c r="AC35" s="46" t="str">
        <f t="shared" ref="AC35:AC39" ca="1" si="40">IF(ISNUMBER(Z35),SQRT(($Z35-OFFSET($Z$20,MATCH(CS_Start,$A$21:$A$51,0),0))^2+($AA35-OFFSET($AA$20,MATCH(CS_Start,$A$21:$A$51,0),0))^2),"")</f>
        <v/>
      </c>
      <c r="AD35" s="46" t="str">
        <f t="shared" ref="AD35:AD39" si="41">IF(ISNUMBER(X35),W35-Min_Z,"")</f>
        <v/>
      </c>
      <c r="AE35" s="43" t="e">
        <f t="shared" ref="AE35:AE39" ca="1" si="42">ROUND(CONVERT(AC35,"m","ft"),2)</f>
        <v>#VALUE!</v>
      </c>
      <c r="AF35" s="43" t="e">
        <f t="shared" ref="AF35:AF39" si="43">ROUND(CONVERT(AD35,"m","ft"),2)</f>
        <v>#VALUE!</v>
      </c>
      <c r="AH35" s="43"/>
      <c r="AI35" s="43"/>
      <c r="AJ35" s="43"/>
    </row>
    <row r="36" spans="1:36" x14ac:dyDescent="0.25">
      <c r="A36" s="43">
        <v>16</v>
      </c>
      <c r="B36" s="47">
        <v>5.5065046296296289</v>
      </c>
      <c r="C36" s="46"/>
      <c r="D36" s="46"/>
      <c r="E36" s="43">
        <v>2.609</v>
      </c>
      <c r="F36" s="43" t="s">
        <v>58</v>
      </c>
      <c r="G36" s="42"/>
      <c r="H36" s="42"/>
      <c r="I36" s="42">
        <f t="shared" si="29"/>
        <v>132.1561111111111</v>
      </c>
      <c r="J36" s="48">
        <f t="shared" si="30"/>
        <v>2.3065592655203506</v>
      </c>
      <c r="K36" s="46">
        <v>102.801</v>
      </c>
      <c r="L36" s="46">
        <v>1.339</v>
      </c>
      <c r="M36" s="44"/>
      <c r="N36" s="46">
        <f t="shared" si="31"/>
        <v>132.1561111111111</v>
      </c>
      <c r="O36" s="46">
        <f t="shared" ca="1" si="15"/>
        <v>43.533940853454617</v>
      </c>
      <c r="P36" s="46">
        <f t="shared" ca="1" si="32"/>
        <v>175.69005196456573</v>
      </c>
      <c r="Q36" s="46">
        <f t="shared" ca="1" si="33"/>
        <v>3.066369869781604</v>
      </c>
      <c r="R36" s="46">
        <f ca="1">K36*SIN(Q36)</f>
        <v>7.725686661458437</v>
      </c>
      <c r="S36" s="46">
        <f ca="1">K36*COS(Q36)</f>
        <v>-102.51028907679932</v>
      </c>
      <c r="T36" s="44">
        <f t="shared" ca="1" si="34"/>
        <v>467205.35268666141</v>
      </c>
      <c r="U36" s="44">
        <f t="shared" ca="1" si="35"/>
        <v>1062592.6777109234</v>
      </c>
      <c r="V36" s="46">
        <f>Old_Z0+HI+L36-E36</f>
        <v>6.0999999999999943E-2</v>
      </c>
      <c r="W36" s="46">
        <f t="shared" ca="1" si="36"/>
        <v>0.9807499999999999</v>
      </c>
      <c r="X36" s="46" t="str">
        <f t="shared" si="37"/>
        <v/>
      </c>
      <c r="Y36" s="46" t="str">
        <f t="shared" si="38"/>
        <v/>
      </c>
      <c r="Z36" s="46" t="e">
        <f>IF(X36="",NA(),VALUE((-mB*X36+Y36-bA)/(mA-mB)))</f>
        <v>#N/A</v>
      </c>
      <c r="AA36" s="46" t="e">
        <f>IF(ISNA(Z36),NA(),VALUE(mA*Z36+bA))</f>
        <v>#N/A</v>
      </c>
      <c r="AB36" s="46" t="str">
        <f t="shared" si="39"/>
        <v/>
      </c>
      <c r="AC36" s="46" t="str">
        <f t="shared" ca="1" si="40"/>
        <v/>
      </c>
      <c r="AD36" s="46" t="str">
        <f t="shared" si="41"/>
        <v/>
      </c>
      <c r="AE36" s="43" t="e">
        <f t="shared" ca="1" si="42"/>
        <v>#VALUE!</v>
      </c>
      <c r="AF36" s="43" t="e">
        <f t="shared" si="43"/>
        <v>#VALUE!</v>
      </c>
      <c r="AH36" s="43"/>
      <c r="AI36" s="43"/>
      <c r="AJ36" s="43"/>
    </row>
    <row r="37" spans="1:36" x14ac:dyDescent="0.25">
      <c r="A37" s="43">
        <v>17</v>
      </c>
      <c r="B37" s="47">
        <v>5.7238425925925931</v>
      </c>
      <c r="C37" s="46"/>
      <c r="D37" s="43"/>
      <c r="E37" s="43">
        <v>2.609</v>
      </c>
      <c r="F37" s="43"/>
      <c r="G37" s="42"/>
      <c r="H37" s="42"/>
      <c r="I37" s="42">
        <f t="shared" si="29"/>
        <v>137.37222222222223</v>
      </c>
      <c r="J37" s="48">
        <f t="shared" si="30"/>
        <v>2.3975975785590995</v>
      </c>
      <c r="K37" s="46">
        <v>102.86199999999999</v>
      </c>
      <c r="L37" s="43">
        <v>2.258</v>
      </c>
      <c r="M37" s="44"/>
      <c r="N37" s="46">
        <f t="shared" si="31"/>
        <v>137.37222222222223</v>
      </c>
      <c r="O37" s="46">
        <f t="shared" ca="1" si="15"/>
        <v>43.533940853454617</v>
      </c>
      <c r="P37" s="46">
        <f t="shared" ca="1" si="32"/>
        <v>180.90616307567686</v>
      </c>
      <c r="Q37" s="46">
        <f t="shared" ca="1" si="33"/>
        <v>3.1574081828203528</v>
      </c>
      <c r="R37" s="46">
        <f ca="1">K37*SIN(Q37)</f>
        <v>-1.62674914901238</v>
      </c>
      <c r="S37" s="46">
        <f ca="1">K37*COS(Q37)</f>
        <v>-102.84913578249545</v>
      </c>
      <c r="T37" s="44">
        <f t="shared" ca="1" si="34"/>
        <v>467196.00025085098</v>
      </c>
      <c r="U37" s="44">
        <f t="shared" ca="1" si="35"/>
        <v>1062592.3388642175</v>
      </c>
      <c r="V37" s="46">
        <f>Old_Z0+HI+L37-E37</f>
        <v>0.98</v>
      </c>
      <c r="W37" s="46">
        <f t="shared" ca="1" si="36"/>
        <v>1.89975</v>
      </c>
      <c r="X37" s="46" t="str">
        <f t="shared" si="37"/>
        <v/>
      </c>
      <c r="Y37" s="46" t="str">
        <f t="shared" si="38"/>
        <v/>
      </c>
      <c r="Z37" s="46" t="e">
        <f>IF(X37="",NA(),VALUE((-mB*X37+Y37-bA)/(mA-mB)))</f>
        <v>#N/A</v>
      </c>
      <c r="AA37" s="46" t="e">
        <f>IF(ISNA(Z37),NA(),VALUE(mA*Z37+bA))</f>
        <v>#N/A</v>
      </c>
      <c r="AB37" s="46" t="str">
        <f t="shared" si="39"/>
        <v/>
      </c>
      <c r="AC37" s="46" t="str">
        <f t="shared" ca="1" si="40"/>
        <v/>
      </c>
      <c r="AD37" s="46" t="str">
        <f t="shared" si="41"/>
        <v/>
      </c>
      <c r="AE37" s="43" t="e">
        <f t="shared" ca="1" si="42"/>
        <v>#VALUE!</v>
      </c>
      <c r="AF37" s="43" t="e">
        <f t="shared" si="43"/>
        <v>#VALUE!</v>
      </c>
      <c r="AH37" s="43"/>
      <c r="AI37" s="43"/>
      <c r="AJ37" s="43"/>
    </row>
    <row r="38" spans="1:36" x14ac:dyDescent="0.25">
      <c r="A38" s="43">
        <v>18</v>
      </c>
      <c r="B38" s="47">
        <v>7.9148726851851849</v>
      </c>
      <c r="C38" s="46"/>
      <c r="D38" s="46"/>
      <c r="E38" s="43">
        <v>2.609</v>
      </c>
      <c r="F38" s="48" t="s">
        <v>85</v>
      </c>
      <c r="G38" s="42"/>
      <c r="H38" s="42"/>
      <c r="I38" s="42">
        <f t="shared" si="29"/>
        <v>189.95694444444445</v>
      </c>
      <c r="J38" s="48">
        <f t="shared" si="30"/>
        <v>3.3153741175835063</v>
      </c>
      <c r="K38" s="46">
        <v>14.026</v>
      </c>
      <c r="L38" s="46">
        <v>0.72699999999999998</v>
      </c>
      <c r="M38" s="44"/>
      <c r="N38" s="46">
        <f t="shared" si="31"/>
        <v>189.95694444444445</v>
      </c>
      <c r="O38" s="46">
        <f t="shared" ca="1" si="15"/>
        <v>43.533940853454617</v>
      </c>
      <c r="P38" s="46">
        <f t="shared" ca="1" si="32"/>
        <v>233.49088529789907</v>
      </c>
      <c r="Q38" s="46">
        <f t="shared" ca="1" si="33"/>
        <v>4.0751847218447601</v>
      </c>
      <c r="R38" s="46">
        <f ca="1">K38*SIN(Q38)</f>
        <v>-11.273568969364909</v>
      </c>
      <c r="S38" s="46">
        <f ca="1">K38*COS(Q38)</f>
        <v>-8.3447779295181146</v>
      </c>
      <c r="T38" s="44">
        <f t="shared" ca="1" si="34"/>
        <v>467186.35343103064</v>
      </c>
      <c r="U38" s="44">
        <f t="shared" ca="1" si="35"/>
        <v>1062686.8432220705</v>
      </c>
      <c r="V38" s="46">
        <f>Old_Z0+HI+L38-E38</f>
        <v>-0.55100000000000016</v>
      </c>
      <c r="W38" s="46">
        <f t="shared" ca="1" si="36"/>
        <v>0.3687499999999998</v>
      </c>
      <c r="X38" s="46" t="str">
        <f t="shared" si="37"/>
        <v/>
      </c>
      <c r="Y38" s="46" t="str">
        <f t="shared" si="38"/>
        <v/>
      </c>
      <c r="Z38" s="46" t="e">
        <f>IF(X38="",NA(),VALUE((-mB*X38+Y38-bA)/(mA-mB)))</f>
        <v>#N/A</v>
      </c>
      <c r="AA38" s="46" t="e">
        <f>IF(ISNA(Z38),NA(),VALUE(mA*Z38+bA))</f>
        <v>#N/A</v>
      </c>
      <c r="AB38" s="46" t="str">
        <f t="shared" si="39"/>
        <v/>
      </c>
      <c r="AC38" s="46" t="str">
        <f t="shared" ca="1" si="40"/>
        <v/>
      </c>
      <c r="AD38" s="46" t="str">
        <f t="shared" si="41"/>
        <v/>
      </c>
      <c r="AE38" s="43" t="e">
        <f t="shared" ca="1" si="42"/>
        <v>#VALUE!</v>
      </c>
      <c r="AF38" s="43" t="e">
        <f t="shared" si="43"/>
        <v>#VALUE!</v>
      </c>
      <c r="AH38" s="43"/>
      <c r="AI38" s="43"/>
      <c r="AJ38" s="43"/>
    </row>
    <row r="39" spans="1:36" x14ac:dyDescent="0.25">
      <c r="A39" s="43">
        <v>19</v>
      </c>
      <c r="B39" s="49">
        <v>10.489988425925926</v>
      </c>
      <c r="C39" s="46"/>
      <c r="D39" s="46"/>
      <c r="E39" s="43">
        <v>2.609</v>
      </c>
      <c r="F39" s="48" t="s">
        <v>92</v>
      </c>
      <c r="G39" s="42"/>
      <c r="H39" s="42"/>
      <c r="I39" s="42">
        <f t="shared" si="29"/>
        <v>251.75972222222222</v>
      </c>
      <c r="J39" s="48">
        <f t="shared" si="30"/>
        <v>4.3940360766841131</v>
      </c>
      <c r="K39" s="46">
        <v>16.077000000000002</v>
      </c>
      <c r="L39" s="46">
        <v>0.66100000000000003</v>
      </c>
      <c r="M39" s="44"/>
      <c r="N39" s="46">
        <f t="shared" si="31"/>
        <v>251.75972222222222</v>
      </c>
      <c r="O39" s="46">
        <f t="shared" ca="1" si="15"/>
        <v>43.533940853454617</v>
      </c>
      <c r="P39" s="46">
        <f t="shared" ca="1" si="32"/>
        <v>295.29366307567682</v>
      </c>
      <c r="Q39" s="46">
        <f t="shared" ca="1" si="33"/>
        <v>5.1538466809453656</v>
      </c>
      <c r="R39" s="46">
        <f ca="1">K39*SIN(Q39)</f>
        <v>-14.535694955268427</v>
      </c>
      <c r="S39" s="46">
        <f ca="1">K39*COS(Q39)</f>
        <v>6.8690247610111355</v>
      </c>
      <c r="T39" s="44">
        <f t="shared" ca="1" si="34"/>
        <v>467183.09130504471</v>
      </c>
      <c r="U39" s="44">
        <f t="shared" ca="1" si="35"/>
        <v>1062702.0570247611</v>
      </c>
      <c r="V39" s="46">
        <f>Old_Z0+HI+L39-E39</f>
        <v>-0.61699999999999999</v>
      </c>
      <c r="W39" s="46">
        <f t="shared" ca="1" si="36"/>
        <v>0.30274999999999996</v>
      </c>
      <c r="X39" s="46">
        <f t="shared" ca="1" si="37"/>
        <v>467183.09130504471</v>
      </c>
      <c r="Y39" s="46">
        <f t="shared" ca="1" si="38"/>
        <v>1062702.0570247611</v>
      </c>
      <c r="Z39" s="46">
        <f ca="1">IF(X39="",NA(),VALUE((-mB*X39+Y39-bA)/(mA-mB)))</f>
        <v>467186.56806588476</v>
      </c>
      <c r="AA39" s="46">
        <f ca="1">IF(ISNA(Z39),NA(),VALUE(mA*Z39+bA))</f>
        <v>1062691.8459843602</v>
      </c>
      <c r="AB39" s="46">
        <f t="shared" ca="1" si="39"/>
        <v>10.786714606759112</v>
      </c>
      <c r="AC39" s="46">
        <f t="shared" ca="1" si="40"/>
        <v>0</v>
      </c>
      <c r="AD39" s="46">
        <f t="shared" ca="1" si="41"/>
        <v>0.80600000000000005</v>
      </c>
      <c r="AE39" s="43">
        <f t="shared" ca="1" si="42"/>
        <v>0</v>
      </c>
      <c r="AF39" s="43">
        <f t="shared" ca="1" si="43"/>
        <v>2.64</v>
      </c>
      <c r="AH39" s="43"/>
      <c r="AI39" s="43"/>
      <c r="AJ39" s="43"/>
    </row>
    <row r="40" spans="1:36" x14ac:dyDescent="0.25">
      <c r="A40" s="43">
        <v>20</v>
      </c>
      <c r="B40" s="47">
        <v>10.370972222222223</v>
      </c>
      <c r="C40" s="46"/>
      <c r="D40" s="46"/>
      <c r="E40" s="43">
        <v>2.609</v>
      </c>
      <c r="F40" s="43"/>
      <c r="G40" s="42"/>
      <c r="H40" s="42"/>
      <c r="I40" s="42">
        <f t="shared" ref="I40:I51" si="44">B40*24</f>
        <v>248.90333333333336</v>
      </c>
      <c r="J40" s="48">
        <f t="shared" ref="J40:J51" si="45">RADIANS(I40)</f>
        <v>4.3441826858556203</v>
      </c>
      <c r="K40" s="46">
        <v>16.195</v>
      </c>
      <c r="L40" s="46">
        <v>9.1999999999999998E-2</v>
      </c>
      <c r="M40" s="44"/>
      <c r="N40" s="46">
        <f t="shared" ref="N40:N51" si="46">I40+M40</f>
        <v>248.90333333333336</v>
      </c>
      <c r="O40" s="46">
        <f t="shared" ca="1" si="15"/>
        <v>43.533940853454617</v>
      </c>
      <c r="P40" s="46">
        <f t="shared" ref="P40:P51" ca="1" si="47">SUM(N40,O40)</f>
        <v>292.43727418678799</v>
      </c>
      <c r="Q40" s="46">
        <f t="shared" ref="Q40:Q51" ca="1" si="48">RADIANS(P40)</f>
        <v>5.1039932901168736</v>
      </c>
      <c r="R40" s="46">
        <f ca="1">K40*SIN(Q40)</f>
        <v>-14.969004974322464</v>
      </c>
      <c r="S40" s="46">
        <f ca="1">K40*COS(Q40)</f>
        <v>6.181174247560838</v>
      </c>
      <c r="T40" s="44">
        <f t="shared" ref="T40:T51" ca="1" si="49">Old_X0+R40</f>
        <v>467182.65799502563</v>
      </c>
      <c r="U40" s="44">
        <f t="shared" ref="U40:U51" ca="1" si="50">Old_Y0+S40</f>
        <v>1062701.3691742476</v>
      </c>
      <c r="V40" s="46">
        <f>Old_Z0+HI+L40-E40</f>
        <v>-1.1859999999999999</v>
      </c>
      <c r="W40" s="46">
        <f t="shared" ref="W40:W51" ca="1" si="51">IF(ISNUMBER(T40),V40+dZ,"")</f>
        <v>-0.26624999999999999</v>
      </c>
      <c r="X40" s="46">
        <f t="shared" ref="X40:X51" ca="1" si="52">IF(AND(A40&gt;=CS_Start,A40&lt;=CS_End),IF(OR(LEFT(UPPER(F40))="D"),"",T40),"")</f>
        <v>467182.65799502563</v>
      </c>
      <c r="Y40" s="46">
        <f t="shared" ref="Y40:Y51" ca="1" si="53">IF(ISNUMBER(X40),U40,"")</f>
        <v>1062701.3691742476</v>
      </c>
      <c r="Z40" s="46">
        <f ca="1">IF(X40="",NA(),VALUE((-mB*X40+Y40-bA)/(mA-mB)))</f>
        <v>467185.96989728627</v>
      </c>
      <c r="AA40" s="46">
        <f ca="1">IF(ISNA(Z40),NA(),VALUE(mA*Z40+bA))</f>
        <v>1062691.6423137179</v>
      </c>
      <c r="AB40" s="46">
        <f t="shared" ref="AB40:AB51" ca="1" si="54">IF(ISNUMBER(X40),SQRT((X40-Z40)^2+(Y40-AA40)^2),"")</f>
        <v>10.275237824455035</v>
      </c>
      <c r="AC40" s="46">
        <f t="shared" ref="AC40:AC51" ca="1" si="55">IF(ISNUMBER(Z40),SQRT(($Z40-OFFSET($Z$20,MATCH(CS_Start,$A$21:$A$51,0),0))^2+($AA40-OFFSET($AA$20,MATCH(CS_Start,$A$21:$A$51,0),0))^2),"")</f>
        <v>0.63189192332844546</v>
      </c>
      <c r="AD40" s="46">
        <f t="shared" ref="AD40:AD51" ca="1" si="56">IF(ISNUMBER(X40),W40-Min_Z,"")</f>
        <v>0.2370000000000001</v>
      </c>
      <c r="AE40" s="43">
        <f t="shared" ref="AE40:AE51" ca="1" si="57">ROUND(CONVERT(AC40,"m","ft"),2)</f>
        <v>2.0699999999999998</v>
      </c>
      <c r="AF40" s="43">
        <f t="shared" ref="AF40:AF51" ca="1" si="58">ROUND(CONVERT(AD40,"m","ft"),2)</f>
        <v>0.78</v>
      </c>
      <c r="AH40" s="43"/>
      <c r="AI40" s="43"/>
      <c r="AJ40" s="43"/>
    </row>
    <row r="41" spans="1:36" x14ac:dyDescent="0.25">
      <c r="A41" s="43">
        <v>21</v>
      </c>
      <c r="B41" s="47">
        <v>9.9906597222222224</v>
      </c>
      <c r="C41" s="46"/>
      <c r="D41" s="46"/>
      <c r="E41" s="43">
        <v>2.609</v>
      </c>
      <c r="F41" s="48" t="s">
        <v>89</v>
      </c>
      <c r="G41" s="42"/>
      <c r="H41" s="42"/>
      <c r="I41" s="42">
        <f t="shared" si="44"/>
        <v>239.77583333333334</v>
      </c>
      <c r="J41" s="48">
        <f t="shared" si="45"/>
        <v>4.1848777583798373</v>
      </c>
      <c r="K41" s="46">
        <v>17.094000000000001</v>
      </c>
      <c r="L41" s="46">
        <v>0</v>
      </c>
      <c r="M41" s="44"/>
      <c r="N41" s="46">
        <f t="shared" si="46"/>
        <v>239.77583333333334</v>
      </c>
      <c r="O41" s="46">
        <f t="shared" ca="1" si="15"/>
        <v>43.533940853454617</v>
      </c>
      <c r="P41" s="46">
        <f t="shared" ca="1" si="47"/>
        <v>283.30977418678793</v>
      </c>
      <c r="Q41" s="46">
        <f t="shared" ca="1" si="48"/>
        <v>4.9446883626410898</v>
      </c>
      <c r="R41" s="46">
        <f ca="1">K41*SIN(Q41)</f>
        <v>-16.634848562255431</v>
      </c>
      <c r="S41" s="46">
        <f ca="1">K41*COS(Q41)</f>
        <v>3.9353080325215295</v>
      </c>
      <c r="T41" s="44">
        <f t="shared" ca="1" si="49"/>
        <v>467180.99215143773</v>
      </c>
      <c r="U41" s="44">
        <f t="shared" ca="1" si="50"/>
        <v>1062699.1233080325</v>
      </c>
      <c r="V41" s="46">
        <f>Old_Z0+HI+L41-E41</f>
        <v>-1.278</v>
      </c>
      <c r="W41" s="46">
        <f t="shared" ca="1" si="51"/>
        <v>-0.35825000000000007</v>
      </c>
      <c r="X41" s="46">
        <f t="shared" ca="1" si="52"/>
        <v>467180.99215143773</v>
      </c>
      <c r="Y41" s="46">
        <f t="shared" ca="1" si="53"/>
        <v>1062699.1233080325</v>
      </c>
      <c r="Z41" s="46">
        <f ca="1">IF(X41="",NA(),VALUE((-mB*X41+Y41-bA)/(mA-mB)))</f>
        <v>467183.79186518869</v>
      </c>
      <c r="AA41" s="46">
        <f ca="1">IF(ISNA(Z41),NA(),VALUE(mA*Z41+bA))</f>
        <v>1062690.9007147809</v>
      </c>
      <c r="AB41" s="46">
        <f t="shared" ca="1" si="54"/>
        <v>8.6861635299357776</v>
      </c>
      <c r="AC41" s="46">
        <f t="shared" ca="1" si="55"/>
        <v>2.9327162976337831</v>
      </c>
      <c r="AD41" s="46">
        <f t="shared" ca="1" si="56"/>
        <v>0.14500000000000002</v>
      </c>
      <c r="AE41" s="43">
        <f t="shared" ca="1" si="57"/>
        <v>9.6199999999999992</v>
      </c>
      <c r="AF41" s="43">
        <f t="shared" ca="1" si="58"/>
        <v>0.48</v>
      </c>
      <c r="AH41" s="43"/>
      <c r="AI41" s="43"/>
      <c r="AJ41" s="43"/>
    </row>
    <row r="42" spans="1:36" x14ac:dyDescent="0.25">
      <c r="A42" s="43">
        <v>22</v>
      </c>
      <c r="B42" s="47">
        <v>9.9039814814814822</v>
      </c>
      <c r="C42" s="46"/>
      <c r="D42" s="46"/>
      <c r="E42" s="43">
        <v>2.609</v>
      </c>
      <c r="F42" s="43"/>
      <c r="G42" s="42"/>
      <c r="H42" s="42"/>
      <c r="I42" s="42">
        <f t="shared" si="44"/>
        <v>237.69555555555559</v>
      </c>
      <c r="J42" s="48">
        <f t="shared" si="45"/>
        <v>4.1485700618015446</v>
      </c>
      <c r="K42" s="46">
        <v>17.513999999999999</v>
      </c>
      <c r="L42" s="46">
        <v>-0.14499999999999999</v>
      </c>
      <c r="M42" s="44"/>
      <c r="N42" s="46">
        <f t="shared" si="46"/>
        <v>237.69555555555559</v>
      </c>
      <c r="O42" s="46">
        <f t="shared" ca="1" si="15"/>
        <v>43.533940853454617</v>
      </c>
      <c r="P42" s="46">
        <f t="shared" ca="1" si="47"/>
        <v>281.22949640901021</v>
      </c>
      <c r="Q42" s="46">
        <f t="shared" ca="1" si="48"/>
        <v>4.908380666062798</v>
      </c>
      <c r="R42" s="46">
        <f ca="1">K42*SIN(Q42)</f>
        <v>-17.178695024887233</v>
      </c>
      <c r="S42" s="46">
        <f ca="1">K42*COS(Q42)</f>
        <v>3.4106646334570341</v>
      </c>
      <c r="T42" s="44">
        <f t="shared" ca="1" si="49"/>
        <v>467180.44830497511</v>
      </c>
      <c r="U42" s="44">
        <f t="shared" ca="1" si="50"/>
        <v>1062698.5986646335</v>
      </c>
      <c r="V42" s="46">
        <f>Old_Z0+HI+L42-E42</f>
        <v>-1.423</v>
      </c>
      <c r="W42" s="46">
        <f t="shared" ca="1" si="51"/>
        <v>-0.50325000000000009</v>
      </c>
      <c r="X42" s="46">
        <f t="shared" ca="1" si="52"/>
        <v>467180.44830497511</v>
      </c>
      <c r="Y42" s="46">
        <f t="shared" ca="1" si="53"/>
        <v>1062698.5986646335</v>
      </c>
      <c r="Z42" s="46">
        <f ca="1">IF(X42="",NA(),VALUE((-mB*X42+Y42-bA)/(mA-mB)))</f>
        <v>467183.14444098051</v>
      </c>
      <c r="AA42" s="46">
        <f ca="1">IF(ISNA(Z42),NA(),VALUE(mA*Z42+bA))</f>
        <v>1062690.6802730781</v>
      </c>
      <c r="AB42" s="46">
        <f t="shared" ca="1" si="54"/>
        <v>8.3648116645195554</v>
      </c>
      <c r="AC42" s="46">
        <f t="shared" ca="1" si="55"/>
        <v>3.6166407449550539</v>
      </c>
      <c r="AD42" s="46">
        <f t="shared" ca="1" si="56"/>
        <v>0</v>
      </c>
      <c r="AE42" s="43">
        <f t="shared" ca="1" si="57"/>
        <v>11.87</v>
      </c>
      <c r="AF42" s="43">
        <f t="shared" ca="1" si="58"/>
        <v>0</v>
      </c>
      <c r="AH42" s="43"/>
      <c r="AI42" s="43"/>
      <c r="AJ42" s="43"/>
    </row>
    <row r="43" spans="1:36" x14ac:dyDescent="0.25">
      <c r="A43" s="43">
        <v>23</v>
      </c>
      <c r="B43" s="47">
        <v>9.8592592592592592</v>
      </c>
      <c r="C43" s="46"/>
      <c r="D43" s="46"/>
      <c r="E43" s="43">
        <v>2.609</v>
      </c>
      <c r="F43" s="48" t="s">
        <v>89</v>
      </c>
      <c r="G43" s="42"/>
      <c r="H43" s="42"/>
      <c r="I43" s="42">
        <f t="shared" si="44"/>
        <v>236.62222222222221</v>
      </c>
      <c r="J43" s="48">
        <f t="shared" si="45"/>
        <v>4.1298368611634713</v>
      </c>
      <c r="K43" s="46">
        <v>22.844999999999999</v>
      </c>
      <c r="L43" s="46">
        <v>-1.7000000000000001E-2</v>
      </c>
      <c r="M43" s="44"/>
      <c r="N43" s="46">
        <f t="shared" si="46"/>
        <v>236.62222222222221</v>
      </c>
      <c r="O43" s="46">
        <f t="shared" ca="1" si="15"/>
        <v>43.533940853454617</v>
      </c>
      <c r="P43" s="46">
        <f t="shared" ca="1" si="47"/>
        <v>280.15616307567683</v>
      </c>
      <c r="Q43" s="46">
        <f t="shared" ca="1" si="48"/>
        <v>4.8896474654247246</v>
      </c>
      <c r="R43" s="46">
        <f ca="1">K43*SIN(Q43)</f>
        <v>-22.487037290299764</v>
      </c>
      <c r="S43" s="46">
        <f ca="1">K43*COS(Q43)</f>
        <v>4.0282972711392304</v>
      </c>
      <c r="T43" s="44">
        <f t="shared" ca="1" si="49"/>
        <v>467175.13996270968</v>
      </c>
      <c r="U43" s="44">
        <f t="shared" ca="1" si="50"/>
        <v>1062699.2162972712</v>
      </c>
      <c r="V43" s="46">
        <f>Old_Z0+HI+L43-E43</f>
        <v>-1.2949999999999999</v>
      </c>
      <c r="W43" s="46">
        <f t="shared" ca="1" si="51"/>
        <v>-0.37524999999999997</v>
      </c>
      <c r="X43" s="46">
        <f t="shared" ca="1" si="52"/>
        <v>467175.13996270968</v>
      </c>
      <c r="Y43" s="46">
        <f t="shared" ca="1" si="53"/>
        <v>1062699.2162972712</v>
      </c>
      <c r="Z43" s="46">
        <f ca="1">IF(X43="",NA(),VALUE((-mB*X43+Y43-bA)/(mA-mB)))</f>
        <v>467178.57602946361</v>
      </c>
      <c r="AA43" s="46">
        <f ca="1">IF(ISNA(Z43),NA(),VALUE(mA*Z43+bA))</f>
        <v>1062689.124772988</v>
      </c>
      <c r="AB43" s="46">
        <f t="shared" ca="1" si="54"/>
        <v>10.660460454185166</v>
      </c>
      <c r="AC43" s="46">
        <f t="shared" ca="1" si="55"/>
        <v>8.442608452897538</v>
      </c>
      <c r="AD43" s="46">
        <f t="shared" ca="1" si="56"/>
        <v>0.12800000000000011</v>
      </c>
      <c r="AE43" s="43">
        <f t="shared" ca="1" si="57"/>
        <v>27.7</v>
      </c>
      <c r="AF43" s="43">
        <f t="shared" ca="1" si="58"/>
        <v>0.42</v>
      </c>
      <c r="AH43" s="43"/>
      <c r="AI43" s="43"/>
      <c r="AJ43" s="43"/>
    </row>
    <row r="44" spans="1:36" x14ac:dyDescent="0.25">
      <c r="A44" s="43">
        <v>24</v>
      </c>
      <c r="B44" s="47">
        <v>8.8841782407407397</v>
      </c>
      <c r="C44" s="46"/>
      <c r="D44" s="46"/>
      <c r="E44" s="43">
        <v>2.609</v>
      </c>
      <c r="F44" s="48" t="s">
        <v>90</v>
      </c>
      <c r="G44" s="42"/>
      <c r="H44" s="42"/>
      <c r="I44" s="42">
        <f t="shared" si="44"/>
        <v>213.22027777777777</v>
      </c>
      <c r="J44" s="48">
        <f t="shared" si="45"/>
        <v>3.7213958792391204</v>
      </c>
      <c r="K44" s="46">
        <v>38.340000000000003</v>
      </c>
      <c r="L44" s="46">
        <v>0.28499999999999998</v>
      </c>
      <c r="M44" s="44"/>
      <c r="N44" s="46">
        <f t="shared" si="46"/>
        <v>213.22027777777777</v>
      </c>
      <c r="O44" s="46">
        <f t="shared" ca="1" si="15"/>
        <v>43.533940853454617</v>
      </c>
      <c r="P44" s="46">
        <f t="shared" ca="1" si="47"/>
        <v>256.75421863123239</v>
      </c>
      <c r="Q44" s="46">
        <f t="shared" ca="1" si="48"/>
        <v>4.4812064835003742</v>
      </c>
      <c r="R44" s="46">
        <f ca="1">K44*SIN(Q44)</f>
        <v>-37.320007686260595</v>
      </c>
      <c r="S44" s="46">
        <f ca="1">K44*COS(Q44)</f>
        <v>-8.7847951767500092</v>
      </c>
      <c r="T44" s="44">
        <f t="shared" ca="1" si="49"/>
        <v>467160.30699231371</v>
      </c>
      <c r="U44" s="44">
        <f t="shared" ca="1" si="50"/>
        <v>1062686.4032048234</v>
      </c>
      <c r="V44" s="46">
        <f>Old_Z0+HI+L44-E44</f>
        <v>-0.9930000000000001</v>
      </c>
      <c r="W44" s="46">
        <f t="shared" ca="1" si="51"/>
        <v>-7.3250000000000148E-2</v>
      </c>
      <c r="X44" s="46">
        <f t="shared" ca="1" si="52"/>
        <v>467160.30699231371</v>
      </c>
      <c r="Y44" s="46">
        <f t="shared" ca="1" si="53"/>
        <v>1062686.4032048234</v>
      </c>
      <c r="Z44" s="46">
        <f ca="1">IF(X44="",NA(),VALUE((-mB*X44+Y44-bA)/(mA-mB)))</f>
        <v>467161.37455493881</v>
      </c>
      <c r="AA44" s="46">
        <f ca="1">IF(ISNA(Z44),NA(),VALUE(mA*Z44+bA))</f>
        <v>1062683.2678367044</v>
      </c>
      <c r="AB44" s="46">
        <f t="shared" ca="1" si="54"/>
        <v>3.3121327268273451</v>
      </c>
      <c r="AC44" s="46">
        <f t="shared" ca="1" si="55"/>
        <v>26.613861256654506</v>
      </c>
      <c r="AD44" s="46">
        <f t="shared" ca="1" si="56"/>
        <v>0.42999999999999994</v>
      </c>
      <c r="AE44" s="43">
        <f t="shared" ca="1" si="57"/>
        <v>87.32</v>
      </c>
      <c r="AF44" s="43">
        <f t="shared" ca="1" si="58"/>
        <v>1.41</v>
      </c>
      <c r="AH44" s="43"/>
      <c r="AI44" s="43"/>
      <c r="AJ44" s="43"/>
    </row>
    <row r="45" spans="1:36" x14ac:dyDescent="0.25">
      <c r="A45" s="43">
        <v>25</v>
      </c>
      <c r="B45" s="47">
        <v>8.8503819444444449</v>
      </c>
      <c r="C45" s="46"/>
      <c r="D45" s="46"/>
      <c r="E45" s="43">
        <v>2.609</v>
      </c>
      <c r="F45" s="48" t="s">
        <v>89</v>
      </c>
      <c r="G45" s="42"/>
      <c r="H45" s="42"/>
      <c r="I45" s="42">
        <f t="shared" si="44"/>
        <v>212.40916666666669</v>
      </c>
      <c r="J45" s="48">
        <f t="shared" si="45"/>
        <v>3.7072393197507227</v>
      </c>
      <c r="K45" s="46">
        <v>77.516000000000005</v>
      </c>
      <c r="L45" s="46">
        <v>1.7999999999999999E-2</v>
      </c>
      <c r="M45" s="44"/>
      <c r="N45" s="46">
        <f t="shared" si="46"/>
        <v>212.40916666666669</v>
      </c>
      <c r="O45" s="46">
        <f t="shared" ca="1" si="15"/>
        <v>43.533940853454617</v>
      </c>
      <c r="P45" s="46">
        <f t="shared" ca="1" si="47"/>
        <v>255.94310752012132</v>
      </c>
      <c r="Q45" s="46">
        <f t="shared" ca="1" si="48"/>
        <v>4.4670499240119756</v>
      </c>
      <c r="R45" s="46">
        <f ca="1">K45*SIN(Q45)</f>
        <v>-75.194785623579151</v>
      </c>
      <c r="S45" s="46">
        <f ca="1">K45*COS(Q45)</f>
        <v>-18.827492425279967</v>
      </c>
      <c r="T45" s="44">
        <f t="shared" ca="1" si="49"/>
        <v>467122.4322143764</v>
      </c>
      <c r="U45" s="44">
        <f t="shared" ca="1" si="50"/>
        <v>1062676.3605075749</v>
      </c>
      <c r="V45" s="46">
        <f>Old_Z0+HI+L45-E45</f>
        <v>-1.26</v>
      </c>
      <c r="W45" s="46">
        <f t="shared" ca="1" si="51"/>
        <v>-0.34025000000000005</v>
      </c>
      <c r="X45" s="46">
        <f t="shared" ca="1" si="52"/>
        <v>467122.4322143764</v>
      </c>
      <c r="Y45" s="46">
        <f t="shared" ca="1" si="53"/>
        <v>1062676.3605075749</v>
      </c>
      <c r="Z45" s="46">
        <f ca="1">IF(X45="",NA(),VALUE((-mB*X45+Y45-bA)/(mA-mB)))</f>
        <v>467124.37036727264</v>
      </c>
      <c r="AA45" s="46">
        <f ca="1">IF(ISNA(Z45),NA(),VALUE(mA*Z45+bA))</f>
        <v>1062670.6682674594</v>
      </c>
      <c r="AB45" s="46">
        <f t="shared" ca="1" si="54"/>
        <v>6.0131550937569473</v>
      </c>
      <c r="AC45" s="46">
        <f t="shared" ca="1" si="55"/>
        <v>65.704257135859351</v>
      </c>
      <c r="AD45" s="46">
        <f t="shared" ca="1" si="56"/>
        <v>0.16300000000000003</v>
      </c>
      <c r="AE45" s="43">
        <f t="shared" ca="1" si="57"/>
        <v>215.57</v>
      </c>
      <c r="AF45" s="43">
        <f t="shared" ca="1" si="58"/>
        <v>0.53</v>
      </c>
      <c r="AH45" s="43"/>
      <c r="AI45" s="43"/>
      <c r="AJ45" s="43"/>
    </row>
    <row r="46" spans="1:36" x14ac:dyDescent="0.25">
      <c r="A46" s="43">
        <v>26</v>
      </c>
      <c r="B46" s="47">
        <v>8.4127546296296298</v>
      </c>
      <c r="C46" s="46"/>
      <c r="D46" s="46"/>
      <c r="E46" s="43">
        <v>2.609</v>
      </c>
      <c r="F46" s="48" t="s">
        <v>89</v>
      </c>
      <c r="G46" s="42"/>
      <c r="H46" s="42"/>
      <c r="I46" s="42">
        <f t="shared" si="44"/>
        <v>201.9061111111111</v>
      </c>
      <c r="J46" s="48">
        <f t="shared" si="45"/>
        <v>3.5239264187863952</v>
      </c>
      <c r="K46" s="46">
        <v>109.705</v>
      </c>
      <c r="L46" s="46">
        <v>-2.9000000000000001E-2</v>
      </c>
      <c r="M46" s="44"/>
      <c r="N46" s="46">
        <f t="shared" si="46"/>
        <v>201.9061111111111</v>
      </c>
      <c r="O46" s="46">
        <f t="shared" ca="1" si="15"/>
        <v>43.533940853454617</v>
      </c>
      <c r="P46" s="46">
        <f t="shared" ca="1" si="47"/>
        <v>245.44005196456573</v>
      </c>
      <c r="Q46" s="46">
        <f t="shared" ca="1" si="48"/>
        <v>4.2837370230476486</v>
      </c>
      <c r="R46" s="46">
        <f ca="1">K46*SIN(Q46)</f>
        <v>-99.779646725460353</v>
      </c>
      <c r="S46" s="46">
        <f ca="1">K46*COS(Q46)</f>
        <v>-45.598345631638111</v>
      </c>
      <c r="T46" s="44">
        <f t="shared" ca="1" si="49"/>
        <v>467097.84735327453</v>
      </c>
      <c r="U46" s="44">
        <f t="shared" ca="1" si="50"/>
        <v>1062649.5896543683</v>
      </c>
      <c r="V46" s="46">
        <f>Old_Z0+HI+L46-E46</f>
        <v>-1.3069999999999999</v>
      </c>
      <c r="W46" s="46">
        <f t="shared" ca="1" si="51"/>
        <v>-0.38724999999999998</v>
      </c>
      <c r="X46" s="46">
        <f t="shared" ca="1" si="52"/>
        <v>467097.84735327453</v>
      </c>
      <c r="Y46" s="46">
        <f t="shared" ca="1" si="53"/>
        <v>1062649.5896543683</v>
      </c>
      <c r="Z46" s="46">
        <f ca="1">IF(X46="",NA(),VALUE((-mB*X46+Y46-bA)/(mA-mB)))</f>
        <v>467094.17136978393</v>
      </c>
      <c r="AA46" s="46">
        <f ca="1">IF(ISNA(Z46),NA(),VALUE(mA*Z46+bA))</f>
        <v>1062660.3857998797</v>
      </c>
      <c r="AB46" s="46">
        <f t="shared" ca="1" si="54"/>
        <v>11.404806553591968</v>
      </c>
      <c r="AC46" s="46">
        <f t="shared" ca="1" si="55"/>
        <v>97.605802378226471</v>
      </c>
      <c r="AD46" s="46">
        <f t="shared" ca="1" si="56"/>
        <v>0.1160000000000001</v>
      </c>
      <c r="AE46" s="43">
        <f t="shared" ca="1" si="57"/>
        <v>320.23</v>
      </c>
      <c r="AF46" s="43">
        <f t="shared" ca="1" si="58"/>
        <v>0.38</v>
      </c>
      <c r="AH46" s="43"/>
      <c r="AI46" s="43"/>
      <c r="AJ46" s="43"/>
    </row>
    <row r="47" spans="1:36" x14ac:dyDescent="0.25">
      <c r="A47" s="43">
        <v>27</v>
      </c>
      <c r="B47" s="47">
        <v>8.4105439814814815</v>
      </c>
      <c r="C47" s="46"/>
      <c r="D47" s="46"/>
      <c r="E47" s="43">
        <v>2.609</v>
      </c>
      <c r="F47" s="43"/>
      <c r="G47" s="42"/>
      <c r="H47" s="42"/>
      <c r="I47" s="42">
        <f t="shared" si="44"/>
        <v>201.85305555555556</v>
      </c>
      <c r="J47" s="48">
        <f t="shared" si="45"/>
        <v>3.5230004246554762</v>
      </c>
      <c r="K47" s="46">
        <v>110.15</v>
      </c>
      <c r="L47" s="46">
        <v>0.61399999999999999</v>
      </c>
      <c r="M47" s="44"/>
      <c r="N47" s="46">
        <f t="shared" si="46"/>
        <v>201.85305555555556</v>
      </c>
      <c r="O47" s="46">
        <f t="shared" ca="1" si="15"/>
        <v>43.533940853454617</v>
      </c>
      <c r="P47" s="46">
        <f t="shared" ca="1" si="47"/>
        <v>245.38699640901018</v>
      </c>
      <c r="Q47" s="46">
        <f t="shared" ca="1" si="48"/>
        <v>4.28281102891673</v>
      </c>
      <c r="R47" s="46">
        <f ca="1">K47*SIN(Q47)</f>
        <v>-100.14194816802845</v>
      </c>
      <c r="S47" s="46">
        <f ca="1">K47*COS(Q47)</f>
        <v>-45.876058212447873</v>
      </c>
      <c r="T47" s="44">
        <f t="shared" ca="1" si="49"/>
        <v>467097.48505183193</v>
      </c>
      <c r="U47" s="44">
        <f t="shared" ca="1" si="50"/>
        <v>1062649.3119417876</v>
      </c>
      <c r="V47" s="46">
        <f>Old_Z0+HI+L47-E47</f>
        <v>-0.66400000000000015</v>
      </c>
      <c r="W47" s="46">
        <f t="shared" ca="1" si="51"/>
        <v>0.25574999999999981</v>
      </c>
      <c r="X47" s="46">
        <f t="shared" ca="1" si="52"/>
        <v>467097.48505183193</v>
      </c>
      <c r="Y47" s="46">
        <f t="shared" ca="1" si="53"/>
        <v>1062649.3119417876</v>
      </c>
      <c r="Z47" s="46">
        <f ca="1">IF(X47="",NA(),VALUE((-mB*X47+Y47-bA)/(mA-mB)))</f>
        <v>467093.76197278721</v>
      </c>
      <c r="AA47" s="46">
        <f ca="1">IF(ISNA(Z47),NA(),VALUE(mA*Z47+bA))</f>
        <v>1062660.2464041482</v>
      </c>
      <c r="AB47" s="46">
        <f t="shared" ca="1" si="54"/>
        <v>11.550921378314746</v>
      </c>
      <c r="AC47" s="46">
        <f t="shared" ca="1" si="55"/>
        <v>98.038280205271349</v>
      </c>
      <c r="AD47" s="46">
        <f t="shared" ca="1" si="56"/>
        <v>0.7589999999999999</v>
      </c>
      <c r="AE47" s="43">
        <f t="shared" ca="1" si="57"/>
        <v>321.64999999999998</v>
      </c>
      <c r="AF47" s="43">
        <f t="shared" ca="1" si="58"/>
        <v>2.4900000000000002</v>
      </c>
      <c r="AH47" s="43"/>
      <c r="AI47" s="43"/>
      <c r="AJ47" s="43"/>
    </row>
    <row r="48" spans="1:36" x14ac:dyDescent="0.25">
      <c r="A48" s="43">
        <v>28</v>
      </c>
      <c r="B48" s="47">
        <v>1.6034722222222222</v>
      </c>
      <c r="C48" s="46"/>
      <c r="D48" s="46"/>
      <c r="E48" s="43">
        <v>2.609</v>
      </c>
      <c r="F48" s="43"/>
      <c r="G48" s="42"/>
      <c r="H48" s="42"/>
      <c r="I48" s="42">
        <f t="shared" si="44"/>
        <v>38.483333333333334</v>
      </c>
      <c r="J48" s="48">
        <f t="shared" si="45"/>
        <v>0.67166087380915118</v>
      </c>
      <c r="K48" s="46">
        <v>110.508</v>
      </c>
      <c r="L48" s="46">
        <v>1.012</v>
      </c>
      <c r="M48" s="44"/>
      <c r="N48" s="46">
        <f t="shared" si="46"/>
        <v>38.483333333333334</v>
      </c>
      <c r="O48" s="46">
        <f t="shared" ca="1" si="15"/>
        <v>43.533940853454617</v>
      </c>
      <c r="P48" s="46">
        <f t="shared" ca="1" si="47"/>
        <v>82.017274186787944</v>
      </c>
      <c r="Q48" s="46">
        <f t="shared" ca="1" si="48"/>
        <v>1.4314714780704043</v>
      </c>
      <c r="R48" s="46">
        <f ca="1">K48*SIN(Q48)</f>
        <v>109.43717562707079</v>
      </c>
      <c r="S48" s="46">
        <f ca="1">K48*COS(Q48)</f>
        <v>15.34674736775399</v>
      </c>
      <c r="T48" s="44">
        <f t="shared" ca="1" si="49"/>
        <v>467307.06417562708</v>
      </c>
      <c r="U48" s="44">
        <f t="shared" ca="1" si="50"/>
        <v>1062710.5347473677</v>
      </c>
      <c r="V48" s="46">
        <f>Old_Z0+HI+L48-E48</f>
        <v>-0.26600000000000001</v>
      </c>
      <c r="W48" s="46">
        <f t="shared" ca="1" si="51"/>
        <v>0.65374999999999994</v>
      </c>
      <c r="X48" s="46">
        <f t="shared" ca="1" si="52"/>
        <v>467307.06417562708</v>
      </c>
      <c r="Y48" s="46">
        <f t="shared" ca="1" si="53"/>
        <v>1062710.5347473677</v>
      </c>
      <c r="Z48" s="46">
        <f ca="1">IF(X48="",NA(),VALUE((-mB*X48+Y48-bA)/(mA-mB)))</f>
        <v>467300.24816619896</v>
      </c>
      <c r="AA48" s="46">
        <f ca="1">IF(ISNA(Z48),NA(),VALUE(mA*Z48+bA))</f>
        <v>1062730.552962841</v>
      </c>
      <c r="AB48" s="46">
        <f t="shared" ca="1" si="54"/>
        <v>21.146794916930151</v>
      </c>
      <c r="AC48" s="46">
        <f t="shared" ca="1" si="55"/>
        <v>120.08911437162028</v>
      </c>
      <c r="AD48" s="46">
        <f t="shared" ca="1" si="56"/>
        <v>1.157</v>
      </c>
      <c r="AE48" s="43">
        <f t="shared" ca="1" si="57"/>
        <v>393.99</v>
      </c>
      <c r="AF48" s="43">
        <f t="shared" ca="1" si="58"/>
        <v>3.8</v>
      </c>
      <c r="AH48" s="43"/>
      <c r="AI48" s="43"/>
      <c r="AJ48" s="43"/>
    </row>
    <row r="49" spans="1:36" x14ac:dyDescent="0.25">
      <c r="A49" s="43">
        <v>29</v>
      </c>
      <c r="B49" s="47">
        <v>8.3663888888888884</v>
      </c>
      <c r="C49" s="46"/>
      <c r="D49" s="46"/>
      <c r="E49" s="43">
        <v>2.609</v>
      </c>
      <c r="F49" s="43"/>
      <c r="G49" s="42"/>
      <c r="H49" s="42"/>
      <c r="I49" s="42">
        <f t="shared" si="44"/>
        <v>200.79333333333332</v>
      </c>
      <c r="J49" s="48">
        <f t="shared" si="45"/>
        <v>3.5045047827211473</v>
      </c>
      <c r="K49" s="46">
        <v>113.66500000000001</v>
      </c>
      <c r="L49" s="46">
        <v>1.4750000000000001</v>
      </c>
      <c r="M49" s="44"/>
      <c r="N49" s="46">
        <f t="shared" si="46"/>
        <v>200.79333333333332</v>
      </c>
      <c r="O49" s="46">
        <f t="shared" ca="1" si="15"/>
        <v>43.533940853454617</v>
      </c>
      <c r="P49" s="46">
        <f t="shared" ca="1" si="47"/>
        <v>244.32727418678795</v>
      </c>
      <c r="Q49" s="46">
        <f t="shared" ca="1" si="48"/>
        <v>4.2643153869824006</v>
      </c>
      <c r="R49" s="46">
        <f ca="1">K49*SIN(Q49)</f>
        <v>-102.44437214949144</v>
      </c>
      <c r="S49" s="46">
        <f ca="1">K49*COS(Q49)</f>
        <v>-49.243099413994074</v>
      </c>
      <c r="T49" s="44">
        <f t="shared" ca="1" si="49"/>
        <v>467095.1826278505</v>
      </c>
      <c r="U49" s="44">
        <f t="shared" ca="1" si="50"/>
        <v>1062645.944900586</v>
      </c>
      <c r="V49" s="46">
        <f>Old_Z0+HI+L49-E49</f>
        <v>0.19700000000000006</v>
      </c>
      <c r="W49" s="46">
        <f t="shared" ca="1" si="51"/>
        <v>1.1167500000000001</v>
      </c>
      <c r="X49" s="46">
        <f t="shared" ca="1" si="52"/>
        <v>467095.1826278505</v>
      </c>
      <c r="Y49" s="46">
        <f t="shared" ca="1" si="53"/>
        <v>1062645.944900586</v>
      </c>
      <c r="Z49" s="46">
        <f ca="1">IF(X49="",NA(),VALUE((-mB*X49+Y49-bA)/(mA-mB)))</f>
        <v>467090.67140468262</v>
      </c>
      <c r="AA49" s="46">
        <f ca="1">IF(ISNA(Z49),NA(),VALUE(mA*Z49+bA))</f>
        <v>1062659.1940954961</v>
      </c>
      <c r="AB49" s="46">
        <f t="shared" ca="1" si="54"/>
        <v>13.99615305128313</v>
      </c>
      <c r="AC49" s="46">
        <f t="shared" ca="1" si="55"/>
        <v>101.30308719931018</v>
      </c>
      <c r="AD49" s="46">
        <f t="shared" ca="1" si="56"/>
        <v>1.62</v>
      </c>
      <c r="AE49" s="43">
        <f t="shared" ca="1" si="57"/>
        <v>332.36</v>
      </c>
      <c r="AF49" s="43">
        <f t="shared" ca="1" si="58"/>
        <v>5.31</v>
      </c>
      <c r="AH49" s="43"/>
      <c r="AI49" s="43"/>
      <c r="AJ49" s="43"/>
    </row>
    <row r="50" spans="1:36" x14ac:dyDescent="0.25">
      <c r="A50" s="43">
        <v>30</v>
      </c>
      <c r="B50" s="47">
        <v>1.8634259259259261E-3</v>
      </c>
      <c r="C50" s="46"/>
      <c r="D50" s="46"/>
      <c r="E50" s="43">
        <v>2.609</v>
      </c>
      <c r="F50" s="48" t="s">
        <v>70</v>
      </c>
      <c r="G50" s="42"/>
      <c r="H50" s="42"/>
      <c r="I50" s="42">
        <f t="shared" si="44"/>
        <v>4.4722222222222226E-2</v>
      </c>
      <c r="J50" s="48">
        <f t="shared" si="45"/>
        <v>7.8055002658635299E-4</v>
      </c>
      <c r="K50" s="46">
        <v>21.792999999999999</v>
      </c>
      <c r="L50" s="46">
        <v>2.222</v>
      </c>
      <c r="M50" s="44"/>
      <c r="N50" s="46">
        <f t="shared" si="46"/>
        <v>4.4722222222222226E-2</v>
      </c>
      <c r="O50" s="46">
        <f t="shared" ca="1" si="15"/>
        <v>43.533940853454617</v>
      </c>
      <c r="P50" s="46">
        <f t="shared" ca="1" si="47"/>
        <v>43.578663075676836</v>
      </c>
      <c r="Q50" s="46">
        <f t="shared" ca="1" si="48"/>
        <v>0.76059115428783963</v>
      </c>
      <c r="R50" s="46">
        <f ca="1">K50*SIN(Q50)</f>
        <v>15.023000510120781</v>
      </c>
      <c r="S50" s="46">
        <f ca="1">K50*COS(Q50)</f>
        <v>15.787473029997889</v>
      </c>
      <c r="T50" s="44">
        <f t="shared" ca="1" si="49"/>
        <v>467212.6500005101</v>
      </c>
      <c r="U50" s="44">
        <f t="shared" ca="1" si="50"/>
        <v>1062710.97547303</v>
      </c>
      <c r="V50" s="46">
        <f>Old_Z0+HI+L50-E50</f>
        <v>0.94399999999999995</v>
      </c>
      <c r="W50" s="46">
        <f t="shared" ca="1" si="51"/>
        <v>1.86375</v>
      </c>
      <c r="X50" s="46" t="str">
        <f t="shared" si="52"/>
        <v/>
      </c>
      <c r="Y50" s="46" t="str">
        <f t="shared" si="53"/>
        <v/>
      </c>
      <c r="Z50" s="46" t="e">
        <f>IF(X50="",NA(),VALUE((-mB*X50+Y50-bA)/(mA-mB)))</f>
        <v>#N/A</v>
      </c>
      <c r="AA50" s="46" t="e">
        <f>IF(ISNA(Z50),NA(),VALUE(mA*Z50+bA))</f>
        <v>#N/A</v>
      </c>
      <c r="AB50" s="46" t="str">
        <f t="shared" si="54"/>
        <v/>
      </c>
      <c r="AC50" s="46" t="str">
        <f t="shared" ca="1" si="55"/>
        <v/>
      </c>
      <c r="AD50" s="46" t="str">
        <f t="shared" si="56"/>
        <v/>
      </c>
      <c r="AE50" s="43" t="e">
        <f t="shared" ca="1" si="57"/>
        <v>#VALUE!</v>
      </c>
      <c r="AF50" s="43" t="e">
        <f t="shared" si="58"/>
        <v>#VALUE!</v>
      </c>
    </row>
    <row r="51" spans="1:36" x14ac:dyDescent="0.25">
      <c r="A51" s="43">
        <v>31</v>
      </c>
      <c r="B51" s="47">
        <v>1.3621064814814814</v>
      </c>
      <c r="C51" s="46"/>
      <c r="D51" s="46"/>
      <c r="E51" s="43">
        <v>2.609</v>
      </c>
      <c r="F51" s="48" t="s">
        <v>71</v>
      </c>
      <c r="G51" s="42"/>
      <c r="H51" s="42"/>
      <c r="I51" s="42">
        <f t="shared" si="44"/>
        <v>32.690555555555555</v>
      </c>
      <c r="J51" s="48">
        <f t="shared" si="45"/>
        <v>0.57055782875056849</v>
      </c>
      <c r="K51" s="46">
        <v>23.21</v>
      </c>
      <c r="L51" s="46">
        <v>2.1110000000000002</v>
      </c>
      <c r="M51" s="44"/>
      <c r="N51" s="46">
        <f t="shared" si="46"/>
        <v>32.690555555555555</v>
      </c>
      <c r="O51" s="46">
        <f t="shared" ca="1" si="15"/>
        <v>43.533940853454617</v>
      </c>
      <c r="P51" s="46">
        <f t="shared" ca="1" si="47"/>
        <v>76.224496409010172</v>
      </c>
      <c r="Q51" s="46">
        <f t="shared" ca="1" si="48"/>
        <v>1.3303684330118217</v>
      </c>
      <c r="R51" s="46">
        <f ca="1">K51*SIN(Q51)</f>
        <v>22.542391609133752</v>
      </c>
      <c r="S51" s="46">
        <f ca="1">K51*COS(Q51)</f>
        <v>5.5267242142571344</v>
      </c>
      <c r="T51" s="44">
        <f t="shared" ca="1" si="49"/>
        <v>467220.16939160909</v>
      </c>
      <c r="U51" s="44">
        <f t="shared" ca="1" si="50"/>
        <v>1062700.7147242143</v>
      </c>
      <c r="V51" s="46">
        <f>Old_Z0+HI+L51-E51</f>
        <v>0.83300000000000018</v>
      </c>
      <c r="W51" s="46">
        <f t="shared" ca="1" si="51"/>
        <v>1.7527500000000003</v>
      </c>
      <c r="X51" s="46" t="str">
        <f t="shared" si="52"/>
        <v/>
      </c>
      <c r="Y51" s="46" t="str">
        <f t="shared" si="53"/>
        <v/>
      </c>
      <c r="Z51" s="46" t="e">
        <f>IF(X51="",NA(),VALUE((-mB*X51+Y51-bA)/(mA-mB)))</f>
        <v>#N/A</v>
      </c>
      <c r="AA51" s="46" t="e">
        <f>IF(ISNA(Z51),NA(),VALUE(mA*Z51+bA))</f>
        <v>#N/A</v>
      </c>
      <c r="AB51" s="46" t="str">
        <f t="shared" si="54"/>
        <v/>
      </c>
      <c r="AC51" s="46" t="str">
        <f t="shared" ca="1" si="55"/>
        <v/>
      </c>
      <c r="AD51" s="46" t="str">
        <f t="shared" si="56"/>
        <v/>
      </c>
      <c r="AE51" s="43" t="e">
        <f t="shared" ca="1" si="57"/>
        <v>#VALUE!</v>
      </c>
      <c r="AF51" s="43" t="e">
        <f t="shared" si="58"/>
        <v>#VALUE!</v>
      </c>
    </row>
    <row r="52" spans="1:36" x14ac:dyDescent="0.25">
      <c r="A52" s="43"/>
      <c r="B52" s="47"/>
      <c r="C52" s="47"/>
      <c r="D52" s="43"/>
      <c r="E52" s="43"/>
      <c r="F52" s="43"/>
      <c r="G52" s="42"/>
      <c r="H52" s="42"/>
      <c r="I52" s="42"/>
      <c r="J52" s="48"/>
      <c r="K52" s="48"/>
      <c r="L52" s="45"/>
      <c r="M52" s="44"/>
      <c r="N52" s="46"/>
      <c r="O52" s="46"/>
      <c r="P52" s="46"/>
      <c r="Q52" s="46"/>
      <c r="R52" s="46"/>
      <c r="S52" s="46"/>
      <c r="T52" s="44"/>
      <c r="U52" s="44"/>
      <c r="V52" s="46"/>
      <c r="W52" s="46"/>
      <c r="X52" s="46"/>
      <c r="Y52" s="46"/>
      <c r="Z52" s="46"/>
      <c r="AA52" s="46"/>
      <c r="AB52" s="46"/>
      <c r="AC52" s="46"/>
      <c r="AD52" s="46"/>
      <c r="AE52" s="43"/>
      <c r="AF52" s="43"/>
    </row>
    <row r="53" spans="1:36" x14ac:dyDescent="0.25">
      <c r="A53" s="43"/>
      <c r="B53" s="47"/>
      <c r="C53" s="47"/>
      <c r="D53" s="43"/>
      <c r="E53" s="43"/>
      <c r="F53" s="48"/>
      <c r="G53" s="42"/>
      <c r="H53" s="42"/>
      <c r="I53" s="42"/>
      <c r="J53" s="48"/>
      <c r="K53" s="48"/>
      <c r="L53" s="45"/>
      <c r="M53" s="44"/>
      <c r="N53" s="46"/>
      <c r="O53" s="46"/>
      <c r="P53" s="46"/>
      <c r="Q53" s="46"/>
      <c r="R53" s="46"/>
      <c r="S53" s="46"/>
      <c r="T53" s="44"/>
      <c r="U53" s="44"/>
      <c r="V53" s="46"/>
      <c r="W53" s="46"/>
      <c r="X53" s="46"/>
      <c r="Y53" s="46"/>
      <c r="Z53" s="46"/>
      <c r="AA53" s="46"/>
      <c r="AB53" s="46"/>
      <c r="AC53" s="46"/>
      <c r="AD53" s="46"/>
      <c r="AE53" s="43"/>
      <c r="AF53" s="43"/>
    </row>
    <row r="54" spans="1:36" x14ac:dyDescent="0.25">
      <c r="A54" s="43"/>
      <c r="B54" s="47"/>
      <c r="C54" s="47"/>
      <c r="D54" s="43"/>
      <c r="E54" s="43"/>
      <c r="F54" s="43"/>
      <c r="G54" s="42"/>
      <c r="H54" s="42"/>
      <c r="I54" s="42"/>
      <c r="J54" s="48"/>
      <c r="K54" s="48"/>
      <c r="L54" s="45"/>
      <c r="M54" s="44"/>
      <c r="N54" s="46"/>
      <c r="O54" s="46"/>
      <c r="P54" s="46"/>
      <c r="Q54" s="46"/>
      <c r="R54" s="46"/>
      <c r="S54" s="46"/>
      <c r="T54" s="44"/>
      <c r="U54" s="44"/>
      <c r="V54" s="46"/>
      <c r="W54" s="46"/>
      <c r="X54" s="46"/>
      <c r="Y54" s="46"/>
      <c r="Z54" s="46"/>
      <c r="AA54" s="46"/>
      <c r="AB54" s="46"/>
      <c r="AC54" s="46"/>
      <c r="AD54" s="46"/>
      <c r="AE54" s="43"/>
      <c r="AF54" s="43"/>
    </row>
    <row r="55" spans="1:36" x14ac:dyDescent="0.25">
      <c r="A55" s="43"/>
      <c r="B55" s="47"/>
      <c r="C55" s="47"/>
      <c r="D55" s="43"/>
      <c r="E55" s="43"/>
      <c r="F55" s="43"/>
      <c r="G55" s="42"/>
      <c r="H55" s="42"/>
      <c r="I55" s="42"/>
      <c r="J55" s="48"/>
      <c r="K55" s="48"/>
      <c r="L55" s="45"/>
      <c r="M55" s="44"/>
      <c r="N55" s="46"/>
      <c r="O55" s="46"/>
      <c r="P55" s="46"/>
      <c r="Q55" s="46"/>
      <c r="R55" s="46"/>
      <c r="S55" s="46"/>
      <c r="T55" s="44"/>
      <c r="U55" s="44"/>
      <c r="V55" s="46"/>
      <c r="W55" s="46"/>
      <c r="X55" s="46"/>
      <c r="Y55" s="46"/>
      <c r="Z55" s="46"/>
      <c r="AA55" s="46"/>
      <c r="AB55" s="46"/>
      <c r="AC55" s="46"/>
      <c r="AD55" s="46"/>
      <c r="AE55" s="43"/>
      <c r="AF55" s="43"/>
    </row>
    <row r="56" spans="1:36" x14ac:dyDescent="0.25">
      <c r="A56" s="43"/>
      <c r="B56" s="47"/>
      <c r="C56" s="49"/>
      <c r="D56" s="43"/>
      <c r="E56" s="43"/>
      <c r="F56" s="49"/>
      <c r="G56" s="42"/>
      <c r="H56" s="42"/>
      <c r="I56" s="42"/>
      <c r="J56" s="48"/>
      <c r="K56" s="48"/>
      <c r="L56" s="45"/>
      <c r="M56" s="44"/>
      <c r="N56" s="46"/>
      <c r="O56" s="46"/>
      <c r="P56" s="46"/>
      <c r="Q56" s="46"/>
      <c r="R56" s="46"/>
      <c r="S56" s="46"/>
      <c r="T56" s="44"/>
      <c r="U56" s="44"/>
      <c r="V56" s="46"/>
      <c r="W56" s="46"/>
      <c r="X56" s="46"/>
      <c r="Y56" s="46"/>
      <c r="Z56" s="46"/>
      <c r="AA56" s="46"/>
      <c r="AB56" s="46"/>
      <c r="AC56" s="46"/>
      <c r="AD56" s="46"/>
      <c r="AE56" s="43"/>
      <c r="AF56" s="43"/>
    </row>
    <row r="57" spans="1:36" x14ac:dyDescent="0.25">
      <c r="A57" s="43"/>
      <c r="B57" s="47"/>
      <c r="C57" s="47"/>
      <c r="D57" s="43"/>
      <c r="E57" s="43"/>
      <c r="F57" s="43"/>
      <c r="G57" s="42"/>
      <c r="H57" s="42"/>
      <c r="I57" s="42"/>
      <c r="J57" s="48"/>
      <c r="K57" s="48"/>
      <c r="L57" s="45"/>
      <c r="M57" s="44"/>
      <c r="N57" s="46"/>
      <c r="O57" s="46"/>
      <c r="P57" s="46"/>
      <c r="Q57" s="46"/>
      <c r="R57" s="46"/>
      <c r="S57" s="46"/>
      <c r="T57" s="44"/>
      <c r="U57" s="44"/>
      <c r="V57" s="46"/>
      <c r="W57" s="46"/>
      <c r="X57" s="46"/>
      <c r="Y57" s="46"/>
      <c r="Z57" s="46"/>
      <c r="AA57" s="46"/>
      <c r="AB57" s="46"/>
      <c r="AC57" s="46"/>
      <c r="AD57" s="46"/>
      <c r="AE57" s="43"/>
      <c r="AF57" s="43"/>
    </row>
    <row r="58" spans="1:36" x14ac:dyDescent="0.25">
      <c r="A58" s="43"/>
      <c r="B58" s="47"/>
      <c r="C58" s="47"/>
      <c r="D58" s="43"/>
      <c r="E58" s="43"/>
      <c r="F58" s="43"/>
      <c r="G58" s="42"/>
      <c r="H58" s="42"/>
      <c r="I58" s="42"/>
      <c r="J58" s="48"/>
      <c r="K58" s="48"/>
      <c r="L58" s="45"/>
      <c r="M58" s="44"/>
      <c r="N58" s="46"/>
      <c r="O58" s="46"/>
      <c r="P58" s="46"/>
      <c r="Q58" s="46"/>
      <c r="R58" s="46"/>
      <c r="S58" s="46"/>
      <c r="T58" s="44"/>
      <c r="U58" s="44"/>
      <c r="V58" s="46"/>
      <c r="W58" s="46"/>
      <c r="X58" s="46"/>
      <c r="Y58" s="46"/>
      <c r="Z58" s="46"/>
      <c r="AA58" s="46"/>
      <c r="AB58" s="46"/>
      <c r="AC58" s="46"/>
      <c r="AD58" s="46"/>
      <c r="AE58" s="43"/>
      <c r="AF58" s="43"/>
    </row>
    <row r="59" spans="1:36" x14ac:dyDescent="0.25">
      <c r="A59" s="43"/>
      <c r="B59" s="47"/>
      <c r="C59" s="47"/>
      <c r="D59" s="43"/>
      <c r="E59" s="43"/>
      <c r="F59" s="43"/>
      <c r="G59" s="42"/>
      <c r="H59" s="42"/>
      <c r="I59" s="42"/>
      <c r="J59" s="48"/>
      <c r="K59" s="48"/>
      <c r="L59" s="45"/>
      <c r="M59" s="44"/>
      <c r="N59" s="46"/>
      <c r="O59" s="46"/>
      <c r="P59" s="46"/>
      <c r="Q59" s="46"/>
      <c r="R59" s="46"/>
      <c r="S59" s="46"/>
      <c r="T59" s="44"/>
      <c r="U59" s="44"/>
      <c r="V59" s="46"/>
      <c r="W59" s="46"/>
      <c r="X59" s="46"/>
      <c r="Y59" s="46"/>
      <c r="Z59" s="46"/>
      <c r="AA59" s="46"/>
      <c r="AB59" s="46"/>
      <c r="AC59" s="46"/>
      <c r="AD59" s="46"/>
      <c r="AE59" s="43"/>
      <c r="AF59" s="43"/>
    </row>
    <row r="60" spans="1:36" x14ac:dyDescent="0.25">
      <c r="A60" s="43"/>
      <c r="B60" s="47"/>
      <c r="C60" s="47"/>
      <c r="D60" s="43"/>
      <c r="E60" s="43"/>
      <c r="F60" s="48"/>
      <c r="G60" s="42"/>
      <c r="H60" s="42"/>
      <c r="I60" s="42"/>
      <c r="J60" s="48"/>
      <c r="K60" s="48"/>
      <c r="L60" s="45"/>
      <c r="M60" s="44"/>
      <c r="N60" s="46"/>
      <c r="O60" s="46"/>
      <c r="P60" s="46"/>
      <c r="Q60" s="46"/>
      <c r="R60" s="46"/>
      <c r="S60" s="46"/>
      <c r="T60" s="44"/>
      <c r="U60" s="44"/>
      <c r="V60" s="46"/>
      <c r="W60" s="46"/>
      <c r="X60" s="46"/>
      <c r="Y60" s="46"/>
      <c r="Z60" s="46"/>
      <c r="AA60" s="46"/>
      <c r="AB60" s="46"/>
      <c r="AC60" s="46"/>
      <c r="AD60" s="46"/>
      <c r="AE60" s="43"/>
      <c r="AF60" s="43"/>
      <c r="AH60" s="43"/>
      <c r="AI60" s="43"/>
      <c r="AJ60" s="43"/>
    </row>
    <row r="61" spans="1:36" x14ac:dyDescent="0.25">
      <c r="A61" s="43"/>
      <c r="B61" s="47"/>
      <c r="C61" s="47"/>
      <c r="D61" s="43"/>
      <c r="E61" s="43"/>
      <c r="F61" s="48"/>
      <c r="G61" s="42"/>
      <c r="H61" s="42"/>
      <c r="I61" s="42"/>
      <c r="J61" s="48"/>
      <c r="K61" s="48"/>
      <c r="L61" s="45"/>
      <c r="M61" s="44"/>
      <c r="N61" s="46"/>
      <c r="O61" s="46"/>
      <c r="P61" s="46"/>
      <c r="Q61" s="46"/>
      <c r="R61" s="46"/>
      <c r="S61" s="46"/>
      <c r="T61" s="44"/>
      <c r="U61" s="44"/>
      <c r="V61" s="46"/>
      <c r="W61" s="46"/>
      <c r="X61" s="46"/>
      <c r="Y61" s="46"/>
      <c r="Z61" s="46"/>
      <c r="AA61" s="46"/>
      <c r="AB61" s="46"/>
      <c r="AC61" s="46"/>
      <c r="AD61" s="46"/>
      <c r="AE61" s="43"/>
      <c r="AF61" s="43"/>
      <c r="AH61" s="43"/>
      <c r="AI61" s="43"/>
      <c r="AJ61" s="43"/>
    </row>
    <row r="62" spans="1:36" x14ac:dyDescent="0.25">
      <c r="A62" s="39"/>
      <c r="C62" s="2"/>
      <c r="D62" s="41"/>
      <c r="E62" s="41"/>
      <c r="F62" s="41"/>
      <c r="G62" s="41"/>
      <c r="H62" s="41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3"/>
      <c r="AI62" s="43"/>
      <c r="AJ62" s="43"/>
    </row>
    <row r="63" spans="1:36" x14ac:dyDescent="0.25">
      <c r="A63" s="39"/>
      <c r="C63" s="2"/>
      <c r="D63" s="41"/>
      <c r="E63" s="41"/>
      <c r="F63" s="41"/>
      <c r="G63" s="41"/>
      <c r="H63" s="41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3"/>
      <c r="AI63" s="43"/>
      <c r="AJ63" s="43"/>
    </row>
    <row r="64" spans="1:36" x14ac:dyDescent="0.25">
      <c r="A64" s="39"/>
      <c r="C64" s="2"/>
      <c r="D64" s="41"/>
      <c r="E64" s="41"/>
      <c r="F64" s="41"/>
      <c r="G64" s="41"/>
      <c r="H64" s="41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3"/>
      <c r="AI64" s="43"/>
      <c r="AJ64" s="43"/>
    </row>
    <row r="65" spans="1:36" x14ac:dyDescent="0.25">
      <c r="A65" s="39"/>
      <c r="C65" s="2"/>
      <c r="D65" s="41"/>
      <c r="E65" s="41"/>
      <c r="F65" s="41"/>
      <c r="G65" s="41"/>
      <c r="H65" s="41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3"/>
      <c r="AI65" s="43"/>
      <c r="AJ65" s="43"/>
    </row>
    <row r="66" spans="1:36" x14ac:dyDescent="0.25">
      <c r="A66" s="39"/>
      <c r="C66" s="2"/>
      <c r="D66" s="41"/>
      <c r="E66" s="41"/>
      <c r="F66" s="41"/>
      <c r="G66" s="41"/>
      <c r="H66" s="41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3"/>
      <c r="AI66" s="43"/>
      <c r="AJ66" s="43"/>
    </row>
    <row r="67" spans="1:36" x14ac:dyDescent="0.25">
      <c r="A67" s="39"/>
      <c r="C67" s="2"/>
      <c r="D67" s="41"/>
      <c r="E67" s="41"/>
      <c r="F67" s="41"/>
      <c r="G67" s="41"/>
      <c r="H67" s="41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39"/>
      <c r="C68" s="2"/>
      <c r="D68" s="41"/>
      <c r="E68" s="41"/>
      <c r="F68" s="41"/>
      <c r="G68" s="41"/>
      <c r="H68" s="41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39"/>
      <c r="C69" s="2"/>
      <c r="D69" s="41"/>
      <c r="E69" s="41"/>
      <c r="F69" s="41"/>
      <c r="G69" s="41"/>
      <c r="H69" s="41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39"/>
      <c r="C70" s="2"/>
      <c r="D70" s="41"/>
      <c r="E70" s="41"/>
      <c r="F70" s="41"/>
      <c r="G70" s="41"/>
      <c r="H70" s="41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39"/>
      <c r="C71" s="2"/>
      <c r="D71" s="41"/>
      <c r="E71" s="41"/>
      <c r="F71" s="41"/>
      <c r="G71" s="41"/>
      <c r="H71" s="41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39"/>
      <c r="C72" s="2"/>
      <c r="D72" s="41"/>
      <c r="E72" s="41"/>
      <c r="F72" s="41"/>
      <c r="G72" s="41"/>
      <c r="H72" s="41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39"/>
      <c r="C73" s="2"/>
      <c r="D73" s="41"/>
      <c r="E73" s="41"/>
      <c r="F73" s="41"/>
      <c r="G73" s="41"/>
      <c r="H73" s="41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39"/>
      <c r="C74" s="2"/>
      <c r="D74" s="41"/>
      <c r="E74" s="41"/>
      <c r="F74" s="41"/>
      <c r="G74" s="41"/>
      <c r="H74" s="41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6"/>
      <c r="C75" s="2"/>
      <c r="D75" s="41"/>
      <c r="E75" s="41"/>
      <c r="F75" s="41"/>
      <c r="G75" s="41"/>
      <c r="H75" s="41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6"/>
      <c r="C76" s="2"/>
      <c r="D76" s="41"/>
      <c r="E76" s="41"/>
      <c r="F76" s="41"/>
      <c r="G76" s="41"/>
      <c r="H76" s="41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6"/>
      <c r="C77" s="2"/>
      <c r="D77" s="41"/>
      <c r="E77" s="41"/>
      <c r="F77" s="41"/>
      <c r="G77" s="41"/>
      <c r="H77" s="41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6"/>
      <c r="C78" s="2"/>
      <c r="D78" s="41"/>
      <c r="E78" s="41"/>
      <c r="F78" s="41"/>
      <c r="G78" s="41"/>
      <c r="H78" s="41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6"/>
      <c r="C79" s="2"/>
      <c r="D79" s="41"/>
      <c r="E79" s="41"/>
      <c r="F79" s="41"/>
      <c r="G79" s="41"/>
      <c r="H79" s="41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6"/>
      <c r="C80" s="2"/>
      <c r="D80" s="41"/>
      <c r="E80" s="41"/>
      <c r="F80" s="41"/>
      <c r="G80" s="41"/>
      <c r="H80" s="41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6"/>
      <c r="C81" s="2"/>
      <c r="D81" s="41"/>
      <c r="E81" s="41"/>
      <c r="F81" s="41"/>
      <c r="G81" s="41"/>
      <c r="H81" s="41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6"/>
      <c r="C82" s="2"/>
      <c r="D82" s="41"/>
      <c r="E82" s="41"/>
      <c r="F82" s="41"/>
      <c r="G82" s="41"/>
      <c r="H82" s="41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6"/>
      <c r="C83" s="2"/>
      <c r="D83" s="41"/>
      <c r="E83" s="41"/>
      <c r="F83" s="41"/>
      <c r="G83" s="41"/>
      <c r="H83" s="41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6"/>
      <c r="C84" s="2"/>
      <c r="D84" s="41"/>
      <c r="E84" s="41"/>
      <c r="F84" s="41"/>
      <c r="G84" s="41"/>
      <c r="H84" s="41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6"/>
      <c r="C85" s="2"/>
      <c r="D85" s="41"/>
      <c r="E85" s="41"/>
      <c r="F85" s="41"/>
      <c r="G85" s="41"/>
      <c r="H85" s="41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3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2" bestFit="1" customWidth="1"/>
    <col min="4" max="4" width="11.5703125" style="32" customWidth="1"/>
    <col min="5" max="5" width="47.42578125" bestFit="1" customWidth="1"/>
    <col min="6" max="6" width="8.85546875" style="33"/>
  </cols>
  <sheetData>
    <row r="1" spans="1:8" x14ac:dyDescent="0.25">
      <c r="A1" t="s">
        <v>57</v>
      </c>
      <c r="B1" s="32" t="s">
        <v>7</v>
      </c>
      <c r="C1" s="32" t="s">
        <v>6</v>
      </c>
      <c r="D1" s="32" t="s">
        <v>58</v>
      </c>
      <c r="E1" t="s">
        <v>63</v>
      </c>
      <c r="F1" s="33" t="s">
        <v>59</v>
      </c>
      <c r="G1" s="32" t="s">
        <v>61</v>
      </c>
      <c r="H1" s="32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2">
        <f>IF(ISNUMBER(Calculations!N4),CONVERT(Calculations!N4,Units_In,Units_Out),"")</f>
        <v>1532800.6135170604</v>
      </c>
      <c r="C2" s="32">
        <f>IF(ISNUMBER(Calculations!O4),CONVERT(Calculations!O4,Units_In,Units_Out),"")</f>
        <v>3486532.7690288713</v>
      </c>
      <c r="D2" s="32" t="s">
        <v>60</v>
      </c>
      <c r="E2" s="10" t="str">
        <f>CONCATENATE("0503 ",B2,"EUSft ",C2,"NUSft")</f>
        <v>0503 1532800.61351706EUSft 3486532.76902887NUSft</v>
      </c>
      <c r="F2" s="33">
        <v>98</v>
      </c>
      <c r="G2" s="10" t="str">
        <f>IF(F2=98,"Lime",IF(F2=94,"Yellow",""))</f>
        <v>Lime</v>
      </c>
      <c r="H2" s="10" t="str">
        <f>Calculations!$A$1</f>
        <v>CSS9</v>
      </c>
    </row>
    <row r="3" spans="1:8" s="10" customFormat="1" x14ac:dyDescent="0.25">
      <c r="A3" s="10" t="str">
        <f>IF(ISNUMBER(Calculations!M5),CONCATENATE("GPS",Calculations!M5),"")</f>
        <v>GPS1</v>
      </c>
      <c r="B3" s="32">
        <f>IF(ISNUMBER(Calculations!N5),CONVERT(Calculations!N5,Units_In,Units_Out),"")</f>
        <v>1532877.5426509187</v>
      </c>
      <c r="C3" s="32">
        <f>IF(ISNUMBER(Calculations!O5),CONVERT(Calculations!O5,Units_In,Units_Out),"")</f>
        <v>3486577.4114173227</v>
      </c>
      <c r="D3" s="32" t="s">
        <v>60</v>
      </c>
      <c r="E3" s="10" t="str">
        <f t="shared" ref="E3:E4" si="0">CONCATENATE("0503 ",B3,"EUSft ",C3,"NUSft")</f>
        <v>0503 1532877.54265092EUSft 3486577.41141732NUSft</v>
      </c>
      <c r="F3" s="33">
        <v>98</v>
      </c>
      <c r="G3" s="10" t="str">
        <f t="shared" ref="G3:G65" si="1">IF(F3=98,"Lime",IF(F3=94,"Yellow",""))</f>
        <v>Lime</v>
      </c>
      <c r="H3" s="10" t="str">
        <f>Calculations!$A$1</f>
        <v>CSS9</v>
      </c>
    </row>
    <row r="4" spans="1:8" s="10" customFormat="1" x14ac:dyDescent="0.25">
      <c r="A4" s="10" t="str">
        <f>IF(ISNUMBER(Calculations!M6),CONCATENATE("GPS",Calculations!M6),"")</f>
        <v>GPS2</v>
      </c>
      <c r="B4" s="32">
        <f>IF(ISNUMBER(Calculations!N6),CONVERT(Calculations!N6,Units_In,Units_Out),"")</f>
        <v>1532861.1286089239</v>
      </c>
      <c r="C4" s="32">
        <f>IF(ISNUMBER(Calculations!O6),CONVERT(Calculations!O6,Units_In,Units_Out),"")</f>
        <v>3486596.125328084</v>
      </c>
      <c r="D4" s="32" t="s">
        <v>60</v>
      </c>
      <c r="E4" s="10" t="str">
        <f t="shared" si="0"/>
        <v>0503 1532861.12860892EUSft 3486596.12532808NUSft</v>
      </c>
      <c r="F4" s="33">
        <v>98</v>
      </c>
      <c r="G4" s="10" t="str">
        <f t="shared" si="1"/>
        <v>Lime</v>
      </c>
      <c r="H4" s="10" t="str">
        <f>Calculations!$A$1</f>
        <v>CSS9</v>
      </c>
    </row>
    <row r="5" spans="1:8" x14ac:dyDescent="0.25">
      <c r="A5">
        <f>IF(ISNUMBER(Calculations!A21),Calculations!A21,"")</f>
        <v>1</v>
      </c>
      <c r="B5" s="32">
        <f ca="1">IF(ISNUMBER(A5),CONVERT(Calculations!T21,Units_In,Units_Out),"")</f>
        <v>1532849.8068969909</v>
      </c>
      <c r="C5" s="32">
        <f ca="1">IF(ISNUMBER(A5),CONVERT(Calculations!U21,Units_In,Units_Out),"")</f>
        <v>3486584.5465722689</v>
      </c>
      <c r="D5" s="32" t="str">
        <f>IF(ISTEXT(Calculations!F21),Calculations!F21,"")</f>
        <v>BS</v>
      </c>
      <c r="E5" t="str">
        <f ca="1">IF(ISNUMBER(A5),CONCATENATE("0503 ",B5,"EUSft ",C5,"NUSft"),"")</f>
        <v>0503 1532849.80689699EUSft 3486584.54657227NUSft</v>
      </c>
      <c r="F5" s="33">
        <f>IF(ISNUMBER(A5),94,"")</f>
        <v>94</v>
      </c>
      <c r="G5" s="10" t="str">
        <f t="shared" si="1"/>
        <v>Yellow</v>
      </c>
      <c r="H5" s="10" t="str">
        <f>IF(ISNUMBER(A5),Calculations!$A$1,"")</f>
        <v>CSS9</v>
      </c>
    </row>
    <row r="6" spans="1:8" x14ac:dyDescent="0.25">
      <c r="A6" s="10">
        <f>IF(ISNUMBER(Calculations!A22),Calculations!A22,"")</f>
        <v>2</v>
      </c>
      <c r="B6" s="32">
        <f ca="1">IF(ISNUMBER(A6),CONVERT(Calculations!T22,Units_In,Units_Out),"")</f>
        <v>1532874.5528257084</v>
      </c>
      <c r="C6" s="32">
        <f ca="1">IF(ISNUMBER(A6),CONVERT(Calculations!U22,Units_In,Units_Out),"")</f>
        <v>3486550.9910205756</v>
      </c>
      <c r="D6" s="32" t="str">
        <f>IF(ISTEXT(Calculations!F22),Calculations!F22,"")</f>
        <v>BS</v>
      </c>
      <c r="E6" s="10" t="str">
        <f t="shared" ref="E6:E65" ca="1" si="2">IF(ISNUMBER(A6),CONCATENATE("0503 ",B6,"EUSft ",C6,"NUSft"),"")</f>
        <v>0503 1532874.55282571EUSft 3486550.99102058NUSft</v>
      </c>
      <c r="F6" s="33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CSS9</v>
      </c>
    </row>
    <row r="7" spans="1:8" x14ac:dyDescent="0.25">
      <c r="A7" s="10">
        <f>IF(ISNUMBER(Calculations!A23),Calculations!A23,"")</f>
        <v>3</v>
      </c>
      <c r="B7" s="32">
        <f ca="1">IF(ISNUMBER(A7),CONVERT(Calculations!T23,Units_In,Units_Out),"")</f>
        <v>1532816.3108405974</v>
      </c>
      <c r="C7" s="32">
        <f ca="1">IF(ISNUMBER(A7),CONVERT(Calculations!U23,Units_In,Units_Out),"")</f>
        <v>3486524.7550976318</v>
      </c>
      <c r="D7" s="32" t="str">
        <f>IF(ISTEXT(Calculations!F23),Calculations!F23,"")</f>
        <v/>
      </c>
      <c r="E7" s="10" t="str">
        <f t="shared" ca="1" si="2"/>
        <v>0503 1532816.3108406EUSft 3486524.75509763NUSft</v>
      </c>
      <c r="F7" s="33">
        <f t="shared" si="3"/>
        <v>94</v>
      </c>
      <c r="G7" s="10" t="str">
        <f t="shared" si="1"/>
        <v>Yellow</v>
      </c>
      <c r="H7" s="10" t="str">
        <f>IF(ISNUMBER(A7),Calculations!$A$1,"")</f>
        <v>CSS9</v>
      </c>
    </row>
    <row r="8" spans="1:8" x14ac:dyDescent="0.25">
      <c r="A8" s="10">
        <f>IF(ISNUMBER(Calculations!A24),Calculations!A24,"")</f>
        <v>4</v>
      </c>
      <c r="B8" s="32">
        <f ca="1">IF(ISNUMBER(A8),CONVERT(Calculations!T24,Units_In,Units_Out),"")</f>
        <v>1532815.9005797638</v>
      </c>
      <c r="C8" s="32">
        <f ca="1">IF(ISNUMBER(A8),CONVERT(Calculations!U24,Units_In,Units_Out),"")</f>
        <v>3486524.0440206025</v>
      </c>
      <c r="D8" s="32" t="str">
        <f>IF(ISTEXT(Calculations!F24),Calculations!F24,"")</f>
        <v/>
      </c>
      <c r="E8" s="10" t="str">
        <f t="shared" ca="1" si="2"/>
        <v>0503 1532815.90057976EUSft 3486524.0440206NUSft</v>
      </c>
      <c r="F8" s="33">
        <f t="shared" si="3"/>
        <v>94</v>
      </c>
      <c r="G8" s="10" t="str">
        <f t="shared" si="1"/>
        <v>Yellow</v>
      </c>
      <c r="H8" s="10" t="str">
        <f>IF(ISNUMBER(A8),Calculations!$A$1,"")</f>
        <v>CSS9</v>
      </c>
    </row>
    <row r="9" spans="1:8" x14ac:dyDescent="0.25">
      <c r="A9" s="10">
        <f>IF(ISNUMBER(Calculations!A25),Calculations!A25,"")</f>
        <v>5</v>
      </c>
      <c r="B9" s="32">
        <f ca="1">IF(ISNUMBER(A9),CONVERT(Calculations!T25,Units_In,Units_Out),"")</f>
        <v>1532815.662498523</v>
      </c>
      <c r="C9" s="32">
        <f ca="1">IF(ISNUMBER(A9),CONVERT(Calculations!U25,Units_In,Units_Out),"")</f>
        <v>3486523.1553694666</v>
      </c>
      <c r="D9" s="32" t="str">
        <f>IF(ISTEXT(Calculations!F25),Calculations!F25,"")</f>
        <v>WS</v>
      </c>
      <c r="E9" s="10" t="str">
        <f t="shared" ca="1" si="2"/>
        <v>0503 1532815.66249852EUSft 3486523.15536947NUSft</v>
      </c>
      <c r="F9" s="33">
        <f t="shared" si="3"/>
        <v>94</v>
      </c>
      <c r="G9" s="10" t="str">
        <f t="shared" si="1"/>
        <v>Yellow</v>
      </c>
      <c r="H9" s="10" t="str">
        <f>IF(ISNUMBER(A9),Calculations!$A$1,"")</f>
        <v>CSS9</v>
      </c>
    </row>
    <row r="10" spans="1:8" x14ac:dyDescent="0.25">
      <c r="A10" s="10">
        <f>IF(ISNUMBER(Calculations!A26),Calculations!A26,"")</f>
        <v>6</v>
      </c>
      <c r="B10" s="32">
        <f ca="1">IF(ISNUMBER(A10),CONVERT(Calculations!T26,Units_In,Units_Out),"")</f>
        <v>1532815.3471295948</v>
      </c>
      <c r="C10" s="32">
        <f ca="1">IF(ISNUMBER(A10),CONVERT(Calculations!U26,Units_In,Units_Out),"")</f>
        <v>3486522.19861355</v>
      </c>
      <c r="D10" s="32" t="str">
        <f>IF(ISTEXT(Calculations!F26),Calculations!F26,"")</f>
        <v/>
      </c>
      <c r="E10" s="10" t="str">
        <f t="shared" ca="1" si="2"/>
        <v>0503 1532815.34712959EUSft 3486522.19861355NUSft</v>
      </c>
      <c r="F10" s="33">
        <f t="shared" si="3"/>
        <v>94</v>
      </c>
      <c r="G10" s="10" t="str">
        <f t="shared" si="1"/>
        <v>Yellow</v>
      </c>
      <c r="H10" s="10" t="str">
        <f>IF(ISNUMBER(A10),Calculations!$A$1,"")</f>
        <v>CSS9</v>
      </c>
    </row>
    <row r="11" spans="1:8" x14ac:dyDescent="0.25">
      <c r="A11" s="10">
        <f>IF(ISNUMBER(Calculations!A27),Calculations!A27,"")</f>
        <v>7</v>
      </c>
      <c r="B11" s="32">
        <f ca="1">IF(ISNUMBER(A11),CONVERT(Calculations!T27,Units_In,Units_Out),"")</f>
        <v>1532799.8074335512</v>
      </c>
      <c r="C11" s="32">
        <f ca="1">IF(ISNUMBER(A11),CONVERT(Calculations!U27,Units_In,Units_Out),"")</f>
        <v>3486470.7138966266</v>
      </c>
      <c r="D11" s="32" t="str">
        <f>IF(ISTEXT(Calculations!F27),Calculations!F27,"")</f>
        <v>SAND BAR</v>
      </c>
      <c r="E11" s="10" t="str">
        <f t="shared" ca="1" si="2"/>
        <v>0503 1532799.80743355EUSft 3486470.71389663NUSft</v>
      </c>
      <c r="F11" s="33">
        <f t="shared" si="3"/>
        <v>94</v>
      </c>
      <c r="G11" s="10" t="str">
        <f t="shared" si="1"/>
        <v>Yellow</v>
      </c>
      <c r="H11" s="10" t="str">
        <f>IF(ISNUMBER(A11),Calculations!$A$1,"")</f>
        <v>CSS9</v>
      </c>
    </row>
    <row r="12" spans="1:8" x14ac:dyDescent="0.25">
      <c r="A12" s="10">
        <f>IF(ISNUMBER(Calculations!A28),Calculations!A28,"")</f>
        <v>8</v>
      </c>
      <c r="B12" s="32">
        <f ca="1">IF(ISNUMBER(A12),CONVERT(Calculations!T28,Units_In,Units_Out),"")</f>
        <v>1532797.2367508074</v>
      </c>
      <c r="C12" s="32">
        <f ca="1">IF(ISNUMBER(A12),CONVERT(Calculations!U28,Units_In,Units_Out),"")</f>
        <v>3486438.0227534641</v>
      </c>
      <c r="D12" s="32" t="str">
        <f>IF(ISTEXT(Calculations!F28),Calculations!F28,"")</f>
        <v/>
      </c>
      <c r="E12" s="10" t="str">
        <f t="shared" ca="1" si="2"/>
        <v>0503 1532797.23675081EUSft 3486438.02275346NUSft</v>
      </c>
      <c r="F12" s="33">
        <f t="shared" si="3"/>
        <v>94</v>
      </c>
      <c r="G12" s="10" t="str">
        <f t="shared" si="1"/>
        <v>Yellow</v>
      </c>
      <c r="H12" s="10" t="str">
        <f>IF(ISNUMBER(A12),Calculations!$A$1,"")</f>
        <v>CSS9</v>
      </c>
    </row>
    <row r="13" spans="1:8" x14ac:dyDescent="0.25">
      <c r="A13" s="10">
        <f>IF(ISNUMBER(Calculations!A29),Calculations!A29,"")</f>
        <v>9</v>
      </c>
      <c r="B13" s="32">
        <f ca="1">IF(ISNUMBER(A13),CONVERT(Calculations!T29,Units_In,Units_Out),"")</f>
        <v>1532795.0853616269</v>
      </c>
      <c r="C13" s="32">
        <f ca="1">IF(ISNUMBER(A13),CONVERT(Calculations!U29,Units_In,Units_Out),"")</f>
        <v>3486391.1084803883</v>
      </c>
      <c r="D13" s="32" t="str">
        <f>IF(ISTEXT(Calculations!F29),Calculations!F29,"")</f>
        <v>SAND BAR</v>
      </c>
      <c r="E13" s="10" t="str">
        <f t="shared" ca="1" si="2"/>
        <v>0503 1532795.08536163EUSft 3486391.10848039NUSft</v>
      </c>
      <c r="F13" s="33">
        <f t="shared" si="3"/>
        <v>94</v>
      </c>
      <c r="G13" s="10" t="str">
        <f t="shared" si="1"/>
        <v>Yellow</v>
      </c>
      <c r="H13" s="10" t="str">
        <f>IF(ISNUMBER(A13),Calculations!$A$1,"")</f>
        <v>CSS9</v>
      </c>
    </row>
    <row r="14" spans="1:8" x14ac:dyDescent="0.25">
      <c r="A14" s="10">
        <f>IF(ISNUMBER(Calculations!A30),Calculations!A30,"")</f>
        <v>10</v>
      </c>
      <c r="B14" s="32">
        <f ca="1">IF(ISNUMBER(A14),CONVERT(Calculations!T30,Units_In,Units_Out),"")</f>
        <v>1532786.0171665547</v>
      </c>
      <c r="C14" s="32">
        <f ca="1">IF(ISNUMBER(A14),CONVERT(Calculations!U30,Units_In,Units_Out),"")</f>
        <v>3486338.2930566482</v>
      </c>
      <c r="D14" s="32" t="str">
        <f>IF(ISTEXT(Calculations!F30),Calculations!F30,"")</f>
        <v>MID</v>
      </c>
      <c r="E14" s="10" t="str">
        <f t="shared" ca="1" si="2"/>
        <v>0503 1532786.01716655EUSft 3486338.29305665NUSft</v>
      </c>
      <c r="F14" s="33">
        <f t="shared" si="3"/>
        <v>94</v>
      </c>
      <c r="G14" s="10" t="str">
        <f t="shared" si="1"/>
        <v>Yellow</v>
      </c>
      <c r="H14" s="10" t="str">
        <f>IF(ISNUMBER(A14),Calculations!$A$1,"")</f>
        <v>CSS9</v>
      </c>
    </row>
    <row r="15" spans="1:8" x14ac:dyDescent="0.25">
      <c r="A15" s="10">
        <f>IF(ISNUMBER(Calculations!A31),Calculations!A31,"")</f>
        <v>11</v>
      </c>
      <c r="B15" s="32">
        <f ca="1">IF(ISNUMBER(A15),CONVERT(Calculations!T31,Units_In,Units_Out),"")</f>
        <v>1532781.0724476716</v>
      </c>
      <c r="C15" s="32">
        <f ca="1">IF(ISNUMBER(A15),CONVERT(Calculations!U31,Units_In,Units_Out),"")</f>
        <v>3486296.9927765192</v>
      </c>
      <c r="D15" s="32" t="str">
        <f>IF(ISTEXT(Calculations!F31),Calculations!F31,"")</f>
        <v>SAND BAR</v>
      </c>
      <c r="E15" s="10" t="str">
        <f t="shared" ca="1" si="2"/>
        <v>0503 1532781.07244767EUSft 3486296.99277652NUSft</v>
      </c>
      <c r="F15" s="33">
        <f t="shared" si="3"/>
        <v>94</v>
      </c>
      <c r="G15" s="10" t="str">
        <f t="shared" si="1"/>
        <v>Yellow</v>
      </c>
      <c r="H15" s="10" t="str">
        <f>IF(ISNUMBER(A15),Calculations!$A$1,"")</f>
        <v>CSS9</v>
      </c>
    </row>
    <row r="16" spans="1:8" x14ac:dyDescent="0.25">
      <c r="A16" s="10">
        <f>IF(ISNUMBER(Calculations!A32),Calculations!A32,"")</f>
        <v>12</v>
      </c>
      <c r="B16" s="32">
        <f ca="1">IF(ISNUMBER(A16),CONVERT(Calculations!T32,Units_In,Units_Out),"")</f>
        <v>1532781.5632194153</v>
      </c>
      <c r="C16" s="32">
        <f ca="1">IF(ISNUMBER(A16),CONVERT(Calculations!U32,Units_In,Units_Out),"")</f>
        <v>3486285.7860981124</v>
      </c>
      <c r="D16" s="32" t="str">
        <f>IF(ISTEXT(Calculations!F32),Calculations!F32,"")</f>
        <v/>
      </c>
      <c r="E16" s="10" t="str">
        <f t="shared" ca="1" si="2"/>
        <v>0503 1532781.56321942EUSft 3486285.78609811NUSft</v>
      </c>
      <c r="F16" s="33">
        <f t="shared" si="3"/>
        <v>94</v>
      </c>
      <c r="G16" s="10" t="str">
        <f t="shared" si="1"/>
        <v>Yellow</v>
      </c>
      <c r="H16" s="10" t="str">
        <f>IF(ISNUMBER(A16),Calculations!$A$1,"")</f>
        <v>CSS9</v>
      </c>
    </row>
    <row r="17" spans="1:8" x14ac:dyDescent="0.25">
      <c r="A17" s="10">
        <f>IF(ISNUMBER(Calculations!A33),Calculations!A33,"")</f>
        <v>13</v>
      </c>
      <c r="B17" s="32">
        <f ca="1">IF(ISNUMBER(A17),CONVERT(Calculations!T33,Units_In,Units_Out),"")</f>
        <v>1532780.4594968425</v>
      </c>
      <c r="C17" s="32">
        <f ca="1">IF(ISNUMBER(A17),CONVERT(Calculations!U33,Units_In,Units_Out),"")</f>
        <v>3486275.7989652106</v>
      </c>
      <c r="D17" s="32" t="str">
        <f>IF(ISTEXT(Calculations!F33),Calculations!F33,"")</f>
        <v>SAND BAR</v>
      </c>
      <c r="E17" s="10" t="str">
        <f t="shared" ca="1" si="2"/>
        <v>0503 1532780.45949684EUSft 3486275.79896521NUSft</v>
      </c>
      <c r="F17" s="33">
        <f t="shared" si="3"/>
        <v>94</v>
      </c>
      <c r="G17" s="10" t="str">
        <f t="shared" si="1"/>
        <v>Yellow</v>
      </c>
      <c r="H17" s="10" t="str">
        <f>IF(ISNUMBER(A17),Calculations!$A$1,"")</f>
        <v>CSS9</v>
      </c>
    </row>
    <row r="18" spans="1:8" x14ac:dyDescent="0.25">
      <c r="A18" s="10">
        <f>IF(ISNUMBER(Calculations!A34),Calculations!A34,"")</f>
        <v>14</v>
      </c>
      <c r="B18" s="32">
        <f ca="1">IF(ISNUMBER(A18),CONVERT(Calculations!T34,Units_In,Units_Out),"")</f>
        <v>1532682.4083737992</v>
      </c>
      <c r="C18" s="32">
        <f ca="1">IF(ISNUMBER(A18),CONVERT(Calculations!U34,Units_In,Units_Out),"")</f>
        <v>3486221.7334684609</v>
      </c>
      <c r="D18" s="32" t="str">
        <f>IF(ISTEXT(Calculations!F34),Calculations!F34,"")</f>
        <v>D</v>
      </c>
      <c r="E18" s="10" t="str">
        <f t="shared" ca="1" si="2"/>
        <v>0503 1532682.4083738EUSft 3486221.73346846NUSft</v>
      </c>
      <c r="F18" s="33">
        <f t="shared" si="3"/>
        <v>94</v>
      </c>
      <c r="G18" s="10" t="str">
        <f t="shared" si="1"/>
        <v>Yellow</v>
      </c>
      <c r="H18" s="10" t="str">
        <f>IF(ISNUMBER(A18),Calculations!$A$1,"")</f>
        <v>CSS9</v>
      </c>
    </row>
    <row r="19" spans="1:8" x14ac:dyDescent="0.25">
      <c r="A19" s="10">
        <f>IF(ISNUMBER(Calculations!A35),Calculations!A35,"")</f>
        <v>15</v>
      </c>
      <c r="B19" s="32">
        <f ca="1">IF(ISNUMBER(A19),CONVERT(Calculations!T35,Units_In,Units_Out),"")</f>
        <v>1532795.6184063526</v>
      </c>
      <c r="C19" s="32">
        <f ca="1">IF(ISNUMBER(A19),CONVERT(Calculations!U35,Units_In,Units_Out),"")</f>
        <v>3486196.1098895702</v>
      </c>
      <c r="D19" s="32" t="str">
        <f>IF(ISTEXT(Calculations!F35),Calculations!F35,"")</f>
        <v/>
      </c>
      <c r="E19" s="10" t="str">
        <f t="shared" ca="1" si="2"/>
        <v>0503 1532795.61840635EUSft 3486196.10988957NUSft</v>
      </c>
      <c r="F19" s="33">
        <f t="shared" si="3"/>
        <v>94</v>
      </c>
      <c r="G19" s="10" t="str">
        <f t="shared" si="1"/>
        <v>Yellow</v>
      </c>
      <c r="H19" s="10" t="str">
        <f>IF(ISNUMBER(A19),Calculations!$A$1,"")</f>
        <v>CSS9</v>
      </c>
    </row>
    <row r="20" spans="1:8" x14ac:dyDescent="0.25">
      <c r="A20" s="10">
        <f>IF(ISNUMBER(Calculations!A36),Calculations!A36,"")</f>
        <v>16</v>
      </c>
      <c r="B20" s="32">
        <f ca="1">IF(ISNUMBER(A20),CONVERT(Calculations!T36,Units_In,Units_Out),"")</f>
        <v>1532825.9602580755</v>
      </c>
      <c r="C20" s="32">
        <f ca="1">IF(ISNUMBER(A20),CONVERT(Calculations!U36,Units_In,Units_Out),"")</f>
        <v>3486196.4491828196</v>
      </c>
      <c r="D20" s="32" t="str">
        <f>IF(ISTEXT(Calculations!F36),Calculations!F36,"")</f>
        <v>D</v>
      </c>
      <c r="E20" s="10" t="str">
        <f t="shared" ca="1" si="2"/>
        <v>0503 1532825.96025808EUSft 3486196.44918282NUSft</v>
      </c>
      <c r="F20" s="33">
        <f t="shared" si="3"/>
        <v>94</v>
      </c>
      <c r="G20" s="10" t="str">
        <f t="shared" si="1"/>
        <v>Yellow</v>
      </c>
      <c r="H20" s="10" t="str">
        <f>IF(ISNUMBER(A20),Calculations!$A$1,"")</f>
        <v>CSS9</v>
      </c>
    </row>
    <row r="21" spans="1:8" x14ac:dyDescent="0.25">
      <c r="A21" s="10">
        <f>IF(ISNUMBER(Calculations!A37),Calculations!A37,"")</f>
        <v>17</v>
      </c>
      <c r="B21" s="32">
        <f ca="1">IF(ISNUMBER(A21),CONVERT(Calculations!T37,Units_In,Units_Out),"")</f>
        <v>1532795.2764135532</v>
      </c>
      <c r="C21" s="32">
        <f ca="1">IF(ISNUMBER(A21),CONVERT(Calculations!U37,Units_In,Units_Out),"")</f>
        <v>3486195.3374810289</v>
      </c>
      <c r="D21" s="32" t="str">
        <f>IF(ISTEXT(Calculations!F37),Calculations!F37,"")</f>
        <v/>
      </c>
      <c r="E21" s="10" t="str">
        <f t="shared" ca="1" si="2"/>
        <v>0503 1532795.27641355EUSft 3486195.33748103NUSft</v>
      </c>
      <c r="F21" s="33">
        <f t="shared" si="3"/>
        <v>94</v>
      </c>
      <c r="G21" s="10" t="str">
        <f t="shared" si="1"/>
        <v>Yellow</v>
      </c>
      <c r="H21" s="10" t="str">
        <f>IF(ISNUMBER(A21),Calculations!$A$1,"")</f>
        <v>CSS9</v>
      </c>
    </row>
    <row r="22" spans="1:8" x14ac:dyDescent="0.25">
      <c r="A22" s="10">
        <f>IF(ISNUMBER(Calculations!A38),Calculations!A38,"")</f>
        <v>18</v>
      </c>
      <c r="B22" s="32">
        <f ca="1">IF(ISNUMBER(A22),CONVERT(Calculations!T38,Units_In,Units_Out),"")</f>
        <v>1532763.6267422263</v>
      </c>
      <c r="C22" s="32">
        <f ca="1">IF(ISNUMBER(A22),CONVERT(Calculations!U38,Units_In,Units_Out),"")</f>
        <v>3486505.3911485248</v>
      </c>
      <c r="D22" s="32" t="str">
        <f>IF(ISTEXT(Calculations!F38),Calculations!F38,"")</f>
        <v>DAM</v>
      </c>
      <c r="E22" s="10" t="str">
        <f t="shared" ca="1" si="2"/>
        <v>0503 1532763.62674223EUSft 3486505.39114852NUSft</v>
      </c>
      <c r="F22" s="33">
        <f t="shared" si="3"/>
        <v>94</v>
      </c>
      <c r="G22" s="10" t="str">
        <f t="shared" si="1"/>
        <v>Yellow</v>
      </c>
      <c r="H22" s="10" t="str">
        <f>IF(ISNUMBER(A22),Calculations!$A$1,"")</f>
        <v>CSS9</v>
      </c>
    </row>
    <row r="23" spans="1:8" x14ac:dyDescent="0.25">
      <c r="A23" s="10">
        <f>IF(ISNUMBER(Calculations!A39),Calculations!A39,"")</f>
        <v>19</v>
      </c>
      <c r="B23" s="32">
        <f ca="1">IF(ISNUMBER(A23),CONVERT(Calculations!T39,Units_In,Units_Out),"")</f>
        <v>1532752.9242291492</v>
      </c>
      <c r="C23" s="32">
        <f ca="1">IF(ISNUMBER(A23),CONVERT(Calculations!U39,Units_In,Units_Out),"")</f>
        <v>3486555.3051993479</v>
      </c>
      <c r="D23" s="32" t="str">
        <f>IF(ISTEXT(Calculations!F39),Calculations!F39,"")</f>
        <v>START DS</v>
      </c>
      <c r="E23" s="10" t="str">
        <f t="shared" ca="1" si="2"/>
        <v>0503 1532752.92422915EUSft 3486555.30519935NUSft</v>
      </c>
      <c r="F23" s="33">
        <f t="shared" si="3"/>
        <v>94</v>
      </c>
      <c r="G23" s="10" t="str">
        <f t="shared" si="1"/>
        <v>Yellow</v>
      </c>
      <c r="H23" s="10" t="str">
        <f>IF(ISNUMBER(A23),Calculations!$A$1,"")</f>
        <v>CSS9</v>
      </c>
    </row>
    <row r="24" spans="1:8" x14ac:dyDescent="0.25">
      <c r="A24" s="10">
        <f>IF(ISNUMBER(Calculations!A40),Calculations!A40,"")</f>
        <v>20</v>
      </c>
      <c r="B24" s="32">
        <f ca="1">IF(ISNUMBER(A24),CONVERT(Calculations!T40,Units_In,Units_Out),"")</f>
        <v>1532751.5026083516</v>
      </c>
      <c r="C24" s="32">
        <f ca="1">IF(ISNUMBER(A24),CONVERT(Calculations!U40,Units_In,Units_Out),"")</f>
        <v>3486553.0484719411</v>
      </c>
      <c r="D24" s="32" t="str">
        <f>IF(ISTEXT(Calculations!F40),Calculations!F40,"")</f>
        <v/>
      </c>
      <c r="E24" s="10" t="str">
        <f t="shared" ca="1" si="2"/>
        <v>0503 1532751.50260835EUSft 3486553.04847194NUSft</v>
      </c>
      <c r="F24" s="33">
        <f t="shared" si="3"/>
        <v>94</v>
      </c>
      <c r="G24" s="10" t="str">
        <f t="shared" si="1"/>
        <v>Yellow</v>
      </c>
      <c r="H24" s="10" t="str">
        <f>IF(ISNUMBER(A24),Calculations!$A$1,"")</f>
        <v>CSS9</v>
      </c>
    </row>
    <row r="25" spans="1:8" x14ac:dyDescent="0.25">
      <c r="A25" s="10">
        <f>IF(ISNUMBER(Calculations!A41),Calculations!A41,"")</f>
        <v>21</v>
      </c>
      <c r="B25" s="32">
        <f ca="1">IF(ISNUMBER(A25),CONVERT(Calculations!T41,Units_In,Units_Out),"")</f>
        <v>1532746.0372422496</v>
      </c>
      <c r="C25" s="32">
        <f ca="1">IF(ISNUMBER(A25),CONVERT(Calculations!U41,Units_In,Units_Out),"")</f>
        <v>3486545.6801444641</v>
      </c>
      <c r="D25" s="32" t="str">
        <f>IF(ISTEXT(Calculations!F41),Calculations!F41,"")</f>
        <v>WS</v>
      </c>
      <c r="E25" s="10" t="str">
        <f t="shared" ca="1" si="2"/>
        <v>0503 1532746.03724225EUSft 3486545.68014446NUSft</v>
      </c>
      <c r="F25" s="33">
        <f t="shared" si="3"/>
        <v>94</v>
      </c>
      <c r="G25" s="10" t="str">
        <f t="shared" si="1"/>
        <v>Yellow</v>
      </c>
      <c r="H25" s="10" t="str">
        <f>IF(ISNUMBER(A25),Calculations!$A$1,"")</f>
        <v>CSS9</v>
      </c>
    </row>
    <row r="26" spans="1:8" x14ac:dyDescent="0.25">
      <c r="A26" s="10">
        <f>IF(ISNUMBER(Calculations!A42),Calculations!A42,"")</f>
        <v>22</v>
      </c>
      <c r="B26" s="32">
        <f ca="1">IF(ISNUMBER(A26),CONVERT(Calculations!T42,Units_In,Units_Out),"")</f>
        <v>1532744.2529690785</v>
      </c>
      <c r="C26" s="32">
        <f ca="1">IF(ISNUMBER(A26),CONVERT(Calculations!U42,Units_In,Units_Out),"")</f>
        <v>3486543.9588734694</v>
      </c>
      <c r="D26" s="32" t="str">
        <f>IF(ISTEXT(Calculations!F42),Calculations!F42,"")</f>
        <v/>
      </c>
      <c r="E26" s="10" t="str">
        <f t="shared" ca="1" si="2"/>
        <v>0503 1532744.25296908EUSft 3486543.95887347NUSft</v>
      </c>
      <c r="F26" s="33">
        <f t="shared" si="3"/>
        <v>94</v>
      </c>
      <c r="G26" s="10" t="str">
        <f t="shared" si="1"/>
        <v>Yellow</v>
      </c>
      <c r="H26" s="10" t="str">
        <f>IF(ISNUMBER(A26),Calculations!$A$1,"")</f>
        <v>CSS9</v>
      </c>
    </row>
    <row r="27" spans="1:8" x14ac:dyDescent="0.25">
      <c r="A27" s="10">
        <f>IF(ISNUMBER(Calculations!A43),Calculations!A43,"")</f>
        <v>23</v>
      </c>
      <c r="B27" s="32">
        <f ca="1">IF(ISNUMBER(A27),CONVERT(Calculations!T43,Units_In,Units_Out),"")</f>
        <v>1532726.8371479977</v>
      </c>
      <c r="C27" s="32">
        <f ca="1">IF(ISNUMBER(A27),CONVERT(Calculations!U43,Units_In,Units_Out),"")</f>
        <v>3486545.9852272677</v>
      </c>
      <c r="D27" s="32" t="str">
        <f>IF(ISTEXT(Calculations!F43),Calculations!F43,"")</f>
        <v>WS</v>
      </c>
      <c r="E27" s="10" t="str">
        <f t="shared" ca="1" si="2"/>
        <v>0503 1532726.837148EUSft 3486545.98522727NUSft</v>
      </c>
      <c r="F27" s="33">
        <f t="shared" si="3"/>
        <v>94</v>
      </c>
      <c r="G27" s="10" t="str">
        <f t="shared" si="1"/>
        <v>Yellow</v>
      </c>
      <c r="H27" s="10" t="str">
        <f>IF(ISNUMBER(A27),Calculations!$A$1,"")</f>
        <v>CSS9</v>
      </c>
    </row>
    <row r="28" spans="1:8" x14ac:dyDescent="0.25">
      <c r="A28" s="10">
        <f>IF(ISNUMBER(Calculations!A44),Calculations!A44,"")</f>
        <v>24</v>
      </c>
      <c r="B28" s="32">
        <f ca="1">IF(ISNUMBER(A28),CONVERT(Calculations!T44,Units_In,Units_Out),"")</f>
        <v>1532678.1725469609</v>
      </c>
      <c r="C28" s="32">
        <f ca="1">IF(ISNUMBER(A28),CONVERT(Calculations!U44,Units_In,Units_Out),"")</f>
        <v>3486503.9475223864</v>
      </c>
      <c r="D28" s="32" t="str">
        <f>IF(ISTEXT(Calculations!F44),Calculations!F44,"")</f>
        <v>SAND BAR</v>
      </c>
      <c r="E28" s="10" t="str">
        <f t="shared" ca="1" si="2"/>
        <v>0503 1532678.17254696EUSft 3486503.94752239NUSft</v>
      </c>
      <c r="F28" s="33">
        <f t="shared" si="3"/>
        <v>94</v>
      </c>
      <c r="G28" s="10" t="str">
        <f t="shared" si="1"/>
        <v>Yellow</v>
      </c>
      <c r="H28" s="10" t="str">
        <f>IF(ISNUMBER(A28),Calculations!$A$1,"")</f>
        <v>CSS9</v>
      </c>
    </row>
    <row r="29" spans="1:8" x14ac:dyDescent="0.25">
      <c r="A29" s="10">
        <f>IF(ISNUMBER(Calculations!A45),Calculations!A45,"")</f>
        <v>25</v>
      </c>
      <c r="B29" s="32">
        <f ca="1">IF(ISNUMBER(A29),CONVERT(Calculations!T45,Units_In,Units_Out),"")</f>
        <v>1532553.9114644895</v>
      </c>
      <c r="C29" s="32">
        <f ca="1">IF(ISNUMBER(A29),CONVERT(Calculations!U45,Units_In,Units_Out),"")</f>
        <v>3486470.9990405999</v>
      </c>
      <c r="D29" s="32" t="str">
        <f>IF(ISTEXT(Calculations!F45),Calculations!F45,"")</f>
        <v>WS</v>
      </c>
      <c r="E29" s="10" t="str">
        <f t="shared" ca="1" si="2"/>
        <v>0503 1532553.91146449EUSft 3486470.9990406NUSft</v>
      </c>
      <c r="F29" s="33">
        <f t="shared" si="3"/>
        <v>94</v>
      </c>
      <c r="G29" s="10" t="str">
        <f t="shared" si="1"/>
        <v>Yellow</v>
      </c>
      <c r="H29" s="10" t="str">
        <f>IF(ISNUMBER(A29),Calculations!$A$1,"")</f>
        <v>CSS9</v>
      </c>
    </row>
    <row r="30" spans="1:8" x14ac:dyDescent="0.25">
      <c r="A30" s="10">
        <f>IF(ISNUMBER(Calculations!A46),Calculations!A46,"")</f>
        <v>26</v>
      </c>
      <c r="B30" s="32">
        <f ca="1">IF(ISNUMBER(A30),CONVERT(Calculations!T46,Units_In,Units_Out),"")</f>
        <v>1532473.252471373</v>
      </c>
      <c r="C30" s="32">
        <f ca="1">IF(ISNUMBER(A30),CONVERT(Calculations!U46,Units_In,Units_Out),"")</f>
        <v>3486383.1681573768</v>
      </c>
      <c r="D30" s="32" t="str">
        <f>IF(ISTEXT(Calculations!F46),Calculations!F46,"")</f>
        <v>WS</v>
      </c>
      <c r="E30" s="10" t="str">
        <f t="shared" ca="1" si="2"/>
        <v>0503 1532473.25247137EUSft 3486383.16815738NUSft</v>
      </c>
      <c r="F30" s="33">
        <f t="shared" si="3"/>
        <v>94</v>
      </c>
      <c r="G30" s="10" t="str">
        <f t="shared" si="1"/>
        <v>Yellow</v>
      </c>
      <c r="H30" s="10" t="str">
        <f>IF(ISNUMBER(A30),Calculations!$A$1,"")</f>
        <v>CSS9</v>
      </c>
    </row>
    <row r="31" spans="1:8" x14ac:dyDescent="0.25">
      <c r="A31" s="10">
        <f>IF(ISNUMBER(Calculations!A47),Calculations!A47,"")</f>
        <v>27</v>
      </c>
      <c r="B31" s="32">
        <f ca="1">IF(ISNUMBER(A31),CONVERT(Calculations!T47,Units_In,Units_Out),"")</f>
        <v>1532472.0638183462</v>
      </c>
      <c r="C31" s="32">
        <f ca="1">IF(ISNUMBER(A31),CONVERT(Calculations!U47,Units_In,Units_Out),"")</f>
        <v>3486382.2570268624</v>
      </c>
      <c r="D31" s="32" t="str">
        <f>IF(ISTEXT(Calculations!F47),Calculations!F47,"")</f>
        <v/>
      </c>
      <c r="E31" s="10" t="str">
        <f t="shared" ca="1" si="2"/>
        <v>0503 1532472.06381835EUSft 3486382.25702686NUSft</v>
      </c>
      <c r="F31" s="33">
        <f t="shared" si="3"/>
        <v>94</v>
      </c>
      <c r="G31" s="10" t="str">
        <f t="shared" si="1"/>
        <v>Yellow</v>
      </c>
      <c r="H31" s="10" t="str">
        <f>IF(ISNUMBER(A31),Calculations!$A$1,"")</f>
        <v>CSS9</v>
      </c>
    </row>
    <row r="32" spans="1:8" x14ac:dyDescent="0.25">
      <c r="A32" s="10">
        <f>IF(ISNUMBER(Calculations!A48),Calculations!A48,"")</f>
        <v>28</v>
      </c>
      <c r="B32" s="32">
        <f ca="1">IF(ISNUMBER(A32),CONVERT(Calculations!T48,Units_In,Units_Out),"")</f>
        <v>1533159.6593688554</v>
      </c>
      <c r="C32" s="32">
        <f ca="1">IF(ISNUMBER(A32),CONVERT(Calculations!U48,Units_In,Units_Out),"")</f>
        <v>3486583.1192498943</v>
      </c>
      <c r="D32" s="32" t="str">
        <f>IF(ISTEXT(Calculations!F48),Calculations!F48,"")</f>
        <v/>
      </c>
      <c r="E32" s="10" t="str">
        <f t="shared" ca="1" si="2"/>
        <v>0503 1533159.65936886EUSft 3486583.11924989NUSft</v>
      </c>
      <c r="F32" s="33">
        <f t="shared" si="3"/>
        <v>94</v>
      </c>
      <c r="G32" s="10" t="str">
        <f t="shared" si="1"/>
        <v>Yellow</v>
      </c>
      <c r="H32" s="10" t="str">
        <f>IF(ISNUMBER(A32),Calculations!$A$1,"")</f>
        <v>CSS9</v>
      </c>
    </row>
    <row r="33" spans="1:8" x14ac:dyDescent="0.25">
      <c r="A33" s="10">
        <f>IF(ISNUMBER(Calculations!A49),Calculations!A49,"")</f>
        <v>29</v>
      </c>
      <c r="B33" s="32">
        <f ca="1">IF(ISNUMBER(A33),CONVERT(Calculations!T49,Units_In,Units_Out),"")</f>
        <v>1532464.5099338926</v>
      </c>
      <c r="C33" s="32">
        <f ca="1">IF(ISNUMBER(A33),CONVERT(Calculations!U49,Units_In,Units_Out),"")</f>
        <v>3486371.2103037597</v>
      </c>
      <c r="D33" s="32" t="str">
        <f>IF(ISTEXT(Calculations!F49),Calculations!F49,"")</f>
        <v/>
      </c>
      <c r="E33" s="10" t="str">
        <f t="shared" ca="1" si="2"/>
        <v>0503 1532464.50993389EUSft 3486371.21030376NUSft</v>
      </c>
      <c r="F33" s="33">
        <f t="shared" si="3"/>
        <v>94</v>
      </c>
      <c r="G33" s="10" t="str">
        <f t="shared" si="1"/>
        <v>Yellow</v>
      </c>
      <c r="H33" s="10" t="str">
        <f>IF(ISNUMBER(A33),Calculations!$A$1,"")</f>
        <v>CSS9</v>
      </c>
    </row>
    <row r="34" spans="1:8" x14ac:dyDescent="0.25">
      <c r="A34" s="10">
        <f>IF(ISNUMBER(Calculations!A50),Calculations!A50,"")</f>
        <v>30</v>
      </c>
      <c r="B34" s="32">
        <f ca="1">IF(ISNUMBER(A34),CONVERT(Calculations!T50,Units_In,Units_Out),"")</f>
        <v>1532849.9015764766</v>
      </c>
      <c r="C34" s="32">
        <f ca="1">IF(ISNUMBER(A34),CONVERT(Calculations!U50,Units_In,Units_Out),"")</f>
        <v>3486584.5652002296</v>
      </c>
      <c r="D34" s="32" t="str">
        <f>IF(ISTEXT(Calculations!F50),Calculations!F50,"")</f>
        <v>PT1</v>
      </c>
      <c r="E34" s="10" t="str">
        <f t="shared" ca="1" si="2"/>
        <v>0503 1532849.90157648EUSft 3486584.56520023NUSft</v>
      </c>
      <c r="F34" s="33">
        <f t="shared" si="3"/>
        <v>94</v>
      </c>
      <c r="G34" s="10" t="str">
        <f t="shared" si="1"/>
        <v>Yellow</v>
      </c>
      <c r="H34" s="10" t="str">
        <f>IF(ISNUMBER(A34),Calculations!$A$1,"")</f>
        <v>CSS9</v>
      </c>
    </row>
    <row r="35" spans="1:8" x14ac:dyDescent="0.25">
      <c r="A35" s="10">
        <f>IF(ISNUMBER(Calculations!A51),Calculations!A51,"")</f>
        <v>31</v>
      </c>
      <c r="B35" s="32">
        <f ca="1">IF(ISNUMBER(A35),CONVERT(Calculations!T51,Units_In,Units_Out),"")</f>
        <v>1532874.5714947805</v>
      </c>
      <c r="C35" s="32">
        <f ca="1">IF(ISNUMBER(A35),CONVERT(Calculations!U51,Units_In,Units_Out),"")</f>
        <v>3486550.9013261623</v>
      </c>
      <c r="D35" s="32" t="str">
        <f>IF(ISTEXT(Calculations!F51),Calculations!F51,"")</f>
        <v>PT2</v>
      </c>
      <c r="E35" s="10" t="str">
        <f t="shared" ca="1" si="2"/>
        <v>0503 1532874.57149478EUSft 3486550.90132616NUSft</v>
      </c>
      <c r="F35" s="33">
        <f t="shared" si="3"/>
        <v>94</v>
      </c>
      <c r="G35" s="10" t="str">
        <f t="shared" si="1"/>
        <v>Yellow</v>
      </c>
      <c r="H35" s="10" t="str">
        <f>IF(ISNUMBER(A35),Calculations!$A$1,"")</f>
        <v>CSS9</v>
      </c>
    </row>
    <row r="36" spans="1:8" x14ac:dyDescent="0.25">
      <c r="A36" s="10" t="str">
        <f>IF(ISNUMBER(Calculations!A52),Calculations!A52,"")</f>
        <v/>
      </c>
      <c r="B36" s="32" t="str">
        <f>IF(ISNUMBER(A36),CONVERT(Calculations!U52,Units_In,Units_Out),"")</f>
        <v/>
      </c>
      <c r="C36" s="32" t="str">
        <f>IF(ISNUMBER(A36),CONVERT(Calculations!V52,Units_In,Units_Out),"")</f>
        <v/>
      </c>
      <c r="D36" s="32" t="str">
        <f>IF(ISTEXT(Calculations!F52),Calculations!F52,"")</f>
        <v/>
      </c>
      <c r="E36" s="10" t="str">
        <f t="shared" si="2"/>
        <v/>
      </c>
      <c r="F36" s="33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2" t="str">
        <f>IF(ISNUMBER(A37),CONVERT(Calculations!U53,Units_In,Units_Out),"")</f>
        <v/>
      </c>
      <c r="C37" s="32" t="str">
        <f>IF(ISNUMBER(A37),CONVERT(Calculations!V53,Units_In,Units_Out),"")</f>
        <v/>
      </c>
      <c r="D37" s="32" t="str">
        <f>IF(ISTEXT(Calculations!F53),Calculations!F53,"")</f>
        <v/>
      </c>
      <c r="E37" s="10" t="str">
        <f t="shared" si="2"/>
        <v/>
      </c>
      <c r="F37" s="33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2" t="str">
        <f>IF(ISNUMBER(A38),CONVERT(Calculations!#REF!,Units_In,Units_Out),"")</f>
        <v/>
      </c>
      <c r="C38" s="32" t="str">
        <f>IF(ISNUMBER(A38),CONVERT(Calculations!#REF!,Units_In,Units_Out),"")</f>
        <v/>
      </c>
      <c r="D38" s="32" t="str">
        <f>IF(ISTEXT(Calculations!#REF!),Calculations!#REF!,"")</f>
        <v/>
      </c>
      <c r="E38" s="10" t="str">
        <f t="shared" si="2"/>
        <v/>
      </c>
      <c r="F38" s="33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2" t="str">
        <f>IF(ISNUMBER(A39),CONVERT(Calculations!#REF!,Units_In,Units_Out),"")</f>
        <v/>
      </c>
      <c r="C39" s="32" t="str">
        <f>IF(ISNUMBER(A39),CONVERT(Calculations!#REF!,Units_In,Units_Out),"")</f>
        <v/>
      </c>
      <c r="D39" s="32" t="str">
        <f>IF(ISTEXT(Calculations!#REF!),Calculations!#REF!,"")</f>
        <v/>
      </c>
      <c r="E39" s="10" t="str">
        <f t="shared" si="2"/>
        <v/>
      </c>
      <c r="F39" s="33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2" t="str">
        <f>IF(ISNUMBER(A40),CONVERT(Calculations!#REF!,Units_In,Units_Out),"")</f>
        <v/>
      </c>
      <c r="C40" s="32" t="str">
        <f>IF(ISNUMBER(A40),CONVERT(Calculations!#REF!,Units_In,Units_Out),"")</f>
        <v/>
      </c>
      <c r="D40" s="32" t="str">
        <f>IF(ISTEXT(Calculations!#REF!),Calculations!#REF!,"")</f>
        <v/>
      </c>
      <c r="E40" s="10" t="str">
        <f t="shared" si="2"/>
        <v/>
      </c>
      <c r="F40" s="33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2" t="str">
        <f>IF(ISNUMBER(A41),CONVERT(Calculations!#REF!,Units_In,Units_Out),"")</f>
        <v/>
      </c>
      <c r="C41" s="32" t="str">
        <f>IF(ISNUMBER(A41),CONVERT(Calculations!#REF!,Units_In,Units_Out),"")</f>
        <v/>
      </c>
      <c r="D41" s="32" t="str">
        <f>IF(ISTEXT(Calculations!#REF!),Calculations!#REF!,"")</f>
        <v/>
      </c>
      <c r="E41" s="10" t="str">
        <f t="shared" si="2"/>
        <v/>
      </c>
      <c r="F41" s="33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2" t="str">
        <f>IF(ISNUMBER(A42),CONVERT(Calculations!#REF!,Units_In,Units_Out),"")</f>
        <v/>
      </c>
      <c r="C42" s="32" t="str">
        <f>IF(ISNUMBER(A42),CONVERT(Calculations!#REF!,Units_In,Units_Out),"")</f>
        <v/>
      </c>
      <c r="D42" s="32" t="str">
        <f>IF(ISTEXT(Calculations!#REF!),Calculations!#REF!,"")</f>
        <v/>
      </c>
      <c r="E42" s="10" t="str">
        <f t="shared" si="2"/>
        <v/>
      </c>
      <c r="F42" s="33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2" t="str">
        <f>IF(ISNUMBER(A43),CONVERT(Calculations!#REF!,Units_In,Units_Out),"")</f>
        <v/>
      </c>
      <c r="C43" s="32" t="str">
        <f>IF(ISNUMBER(A43),CONVERT(Calculations!#REF!,Units_In,Units_Out),"")</f>
        <v/>
      </c>
      <c r="D43" s="32" t="str">
        <f>IF(ISTEXT(Calculations!#REF!),Calculations!#REF!,"")</f>
        <v/>
      </c>
      <c r="E43" s="10" t="str">
        <f t="shared" si="2"/>
        <v/>
      </c>
      <c r="F43" s="33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2" t="str">
        <f>IF(ISNUMBER(A44),CONVERT(Calculations!#REF!,Units_In,Units_Out),"")</f>
        <v/>
      </c>
      <c r="C44" s="32" t="str">
        <f>IF(ISNUMBER(A44),CONVERT(Calculations!#REF!,Units_In,Units_Out),"")</f>
        <v/>
      </c>
      <c r="D44" s="32" t="str">
        <f>IF(ISTEXT(Calculations!#REF!),Calculations!#REF!,"")</f>
        <v/>
      </c>
      <c r="E44" s="10" t="str">
        <f t="shared" si="2"/>
        <v/>
      </c>
      <c r="F44" s="33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2" t="str">
        <f>IF(ISNUMBER(A45),CONVERT(Calculations!#REF!,Units_In,Units_Out),"")</f>
        <v/>
      </c>
      <c r="C45" s="32" t="str">
        <f>IF(ISNUMBER(A45),CONVERT(Calculations!#REF!,Units_In,Units_Out),"")</f>
        <v/>
      </c>
      <c r="D45" s="32" t="str">
        <f>IF(ISTEXT(Calculations!#REF!),Calculations!#REF!,"")</f>
        <v/>
      </c>
      <c r="E45" s="10" t="str">
        <f t="shared" si="2"/>
        <v/>
      </c>
      <c r="F45" s="33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2" t="str">
        <f>IF(ISNUMBER(A46),CONVERT(Calculations!#REF!,Units_In,Units_Out),"")</f>
        <v/>
      </c>
      <c r="C46" s="32" t="str">
        <f>IF(ISNUMBER(A46),CONVERT(Calculations!#REF!,Units_In,Units_Out),"")</f>
        <v/>
      </c>
      <c r="D46" s="32" t="str">
        <f>IF(ISTEXT(Calculations!#REF!),Calculations!#REF!,"")</f>
        <v/>
      </c>
      <c r="E46" s="10" t="str">
        <f t="shared" si="2"/>
        <v/>
      </c>
      <c r="F46" s="33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2" t="str">
        <f>IF(ISNUMBER(A47),CONVERT(Calculations!#REF!,Units_In,Units_Out),"")</f>
        <v/>
      </c>
      <c r="C47" s="32" t="str">
        <f>IF(ISNUMBER(A47),CONVERT(Calculations!#REF!,Units_In,Units_Out),"")</f>
        <v/>
      </c>
      <c r="D47" s="32" t="str">
        <f>IF(ISTEXT(Calculations!#REF!),Calculations!#REF!,"")</f>
        <v/>
      </c>
      <c r="E47" s="10" t="str">
        <f t="shared" si="2"/>
        <v/>
      </c>
      <c r="F47" s="33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2" t="str">
        <f>IF(ISNUMBER(A48),CONVERT(Calculations!#REF!,Units_In,Units_Out),"")</f>
        <v/>
      </c>
      <c r="C48" s="32" t="str">
        <f>IF(ISNUMBER(A48),CONVERT(Calculations!#REF!,Units_In,Units_Out),"")</f>
        <v/>
      </c>
      <c r="D48" s="32" t="str">
        <f>IF(ISTEXT(Calculations!#REF!),Calculations!#REF!,"")</f>
        <v/>
      </c>
      <c r="E48" s="10" t="str">
        <f t="shared" si="2"/>
        <v/>
      </c>
      <c r="F48" s="33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2" t="str">
        <f>IF(ISNUMBER(A49),CONVERT(Calculations!#REF!,Units_In,Units_Out),"")</f>
        <v/>
      </c>
      <c r="C49" s="32" t="str">
        <f>IF(ISNUMBER(A49),CONVERT(Calculations!#REF!,Units_In,Units_Out),"")</f>
        <v/>
      </c>
      <c r="D49" s="32" t="str">
        <f>IF(ISTEXT(Calculations!#REF!),Calculations!#REF!,"")</f>
        <v/>
      </c>
      <c r="E49" s="10" t="str">
        <f t="shared" si="2"/>
        <v/>
      </c>
      <c r="F49" s="33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2" t="str">
        <f>IF(ISNUMBER(A50),CONVERT(Calculations!#REF!,Units_In,Units_Out),"")</f>
        <v/>
      </c>
      <c r="C50" s="32" t="str">
        <f>IF(ISNUMBER(A50),CONVERT(Calculations!#REF!,Units_In,Units_Out),"")</f>
        <v/>
      </c>
      <c r="D50" s="32" t="str">
        <f>IF(ISTEXT(Calculations!#REF!),Calculations!#REF!,"")</f>
        <v/>
      </c>
      <c r="E50" s="10" t="str">
        <f t="shared" si="2"/>
        <v/>
      </c>
      <c r="F50" s="33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2" t="str">
        <f>IF(ISNUMBER(A51),CONVERT(Calculations!#REF!,Units_In,Units_Out),"")</f>
        <v/>
      </c>
      <c r="C51" s="32" t="str">
        <f>IF(ISNUMBER(A51),CONVERT(Calculations!#REF!,Units_In,Units_Out),"")</f>
        <v/>
      </c>
      <c r="D51" s="32" t="str">
        <f>IF(ISTEXT(Calculations!#REF!),Calculations!#REF!,"")</f>
        <v/>
      </c>
      <c r="E51" s="10" t="str">
        <f t="shared" si="2"/>
        <v/>
      </c>
      <c r="F51" s="33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2" t="str">
        <f>IF(ISNUMBER(A52),CONVERT(Calculations!#REF!,Units_In,Units_Out),"")</f>
        <v/>
      </c>
      <c r="C52" s="32" t="str">
        <f>IF(ISNUMBER(A52),CONVERT(Calculations!#REF!,Units_In,Units_Out),"")</f>
        <v/>
      </c>
      <c r="D52" s="32" t="str">
        <f>IF(ISTEXT(Calculations!#REF!),Calculations!#REF!,"")</f>
        <v/>
      </c>
      <c r="E52" s="10" t="str">
        <f t="shared" si="2"/>
        <v/>
      </c>
      <c r="F52" s="33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2" t="str">
        <f>IF(ISNUMBER(A53),CONVERT(Calculations!#REF!,Units_In,Units_Out),"")</f>
        <v/>
      </c>
      <c r="C53" s="32" t="str">
        <f>IF(ISNUMBER(A53),CONVERT(Calculations!#REF!,Units_In,Units_Out),"")</f>
        <v/>
      </c>
      <c r="D53" s="32" t="str">
        <f>IF(ISTEXT(Calculations!#REF!),Calculations!#REF!,"")</f>
        <v/>
      </c>
      <c r="E53" s="10" t="str">
        <f t="shared" si="2"/>
        <v/>
      </c>
      <c r="F53" s="33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2" t="str">
        <f>IF(ISNUMBER(A54),CONVERT(Calculations!#REF!,Units_In,Units_Out),"")</f>
        <v/>
      </c>
      <c r="C54" s="32" t="str">
        <f>IF(ISNUMBER(A54),CONVERT(Calculations!#REF!,Units_In,Units_Out),"")</f>
        <v/>
      </c>
      <c r="D54" s="32" t="str">
        <f>IF(ISTEXT(Calculations!#REF!),Calculations!#REF!,"")</f>
        <v/>
      </c>
      <c r="E54" s="10" t="str">
        <f t="shared" si="2"/>
        <v/>
      </c>
      <c r="F54" s="33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2" t="str">
        <f>IF(ISNUMBER(A55),CONVERT(Calculations!#REF!,Units_In,Units_Out),"")</f>
        <v/>
      </c>
      <c r="C55" s="32" t="str">
        <f>IF(ISNUMBER(A55),CONVERT(Calculations!#REF!,Units_In,Units_Out),"")</f>
        <v/>
      </c>
      <c r="D55" s="32" t="str">
        <f>IF(ISTEXT(Calculations!#REF!),Calculations!#REF!,"")</f>
        <v/>
      </c>
      <c r="E55" s="10" t="str">
        <f t="shared" si="2"/>
        <v/>
      </c>
      <c r="F55" s="33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2" t="str">
        <f>IF(ISNUMBER(A56),CONVERT(Calculations!#REF!,Units_In,Units_Out),"")</f>
        <v/>
      </c>
      <c r="C56" s="32" t="str">
        <f>IF(ISNUMBER(A56),CONVERT(Calculations!#REF!,Units_In,Units_Out),"")</f>
        <v/>
      </c>
      <c r="D56" s="32" t="str">
        <f>IF(ISTEXT(Calculations!#REF!),Calculations!#REF!,"")</f>
        <v/>
      </c>
      <c r="E56" s="10" t="str">
        <f t="shared" si="2"/>
        <v/>
      </c>
      <c r="F56" s="33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2" t="str">
        <f>IF(ISNUMBER(A57),CONVERT(Calculations!#REF!,Units_In,Units_Out),"")</f>
        <v/>
      </c>
      <c r="C57" s="32" t="str">
        <f>IF(ISNUMBER(A57),CONVERT(Calculations!#REF!,Units_In,Units_Out),"")</f>
        <v/>
      </c>
      <c r="D57" s="32" t="str">
        <f>IF(ISTEXT(Calculations!#REF!),Calculations!#REF!,"")</f>
        <v/>
      </c>
      <c r="E57" s="10" t="str">
        <f t="shared" si="2"/>
        <v/>
      </c>
      <c r="F57" s="33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2" t="str">
        <f>IF(ISNUMBER(A58),CONVERT(Calculations!#REF!,Units_In,Units_Out),"")</f>
        <v/>
      </c>
      <c r="C58" s="32" t="str">
        <f>IF(ISNUMBER(A58),CONVERT(Calculations!#REF!,Units_In,Units_Out),"")</f>
        <v/>
      </c>
      <c r="D58" s="32" t="str">
        <f>IF(ISTEXT(Calculations!#REF!),Calculations!#REF!,"")</f>
        <v/>
      </c>
      <c r="E58" s="10" t="str">
        <f t="shared" si="2"/>
        <v/>
      </c>
      <c r="F58" s="33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2" t="str">
        <f>IF(ISNUMBER(A59),CONVERT(Calculations!#REF!,Units_In,Units_Out),"")</f>
        <v/>
      </c>
      <c r="C59" s="32" t="str">
        <f>IF(ISNUMBER(A59),CONVERT(Calculations!#REF!,Units_In,Units_Out),"")</f>
        <v/>
      </c>
      <c r="D59" s="32" t="str">
        <f>IF(ISTEXT(Calculations!#REF!),Calculations!#REF!,"")</f>
        <v/>
      </c>
      <c r="E59" s="10" t="str">
        <f t="shared" si="2"/>
        <v/>
      </c>
      <c r="F59" s="33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2" t="str">
        <f>IF(ISNUMBER(A60),CONVERT(Calculations!#REF!,Units_In,Units_Out),"")</f>
        <v/>
      </c>
      <c r="C60" s="32" t="str">
        <f>IF(ISNUMBER(A60),CONVERT(Calculations!#REF!,Units_In,Units_Out),"")</f>
        <v/>
      </c>
      <c r="D60" s="32" t="str">
        <f>IF(ISTEXT(Calculations!#REF!),Calculations!#REF!,"")</f>
        <v/>
      </c>
      <c r="E60" s="10" t="str">
        <f t="shared" si="2"/>
        <v/>
      </c>
      <c r="F60" s="33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2" t="str">
        <f>IF(ISNUMBER(A61),CONVERT(Calculations!#REF!,Units_In,Units_Out),"")</f>
        <v/>
      </c>
      <c r="C61" s="32" t="str">
        <f>IF(ISNUMBER(A61),CONVERT(Calculations!#REF!,Units_In,Units_Out),"")</f>
        <v/>
      </c>
      <c r="D61" s="32" t="str">
        <f>IF(ISTEXT(Calculations!#REF!),Calculations!#REF!,"")</f>
        <v/>
      </c>
      <c r="E61" s="10" t="str">
        <f t="shared" si="2"/>
        <v/>
      </c>
      <c r="F61" s="33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2" t="str">
        <f>IF(ISNUMBER(A62),CONVERT(Calculations!#REF!,Units_In,Units_Out),"")</f>
        <v/>
      </c>
      <c r="C62" s="32" t="str">
        <f>IF(ISNUMBER(A62),CONVERT(Calculations!#REF!,Units_In,Units_Out),"")</f>
        <v/>
      </c>
      <c r="D62" s="32" t="str">
        <f>IF(ISTEXT(Calculations!#REF!),Calculations!#REF!,"")</f>
        <v/>
      </c>
      <c r="E62" s="10" t="str">
        <f t="shared" si="2"/>
        <v/>
      </c>
      <c r="F62" s="33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2" t="str">
        <f>IF(ISNUMBER(A63),CONVERT(Calculations!#REF!,Units_In,Units_Out),"")</f>
        <v/>
      </c>
      <c r="C63" s="32" t="str">
        <f>IF(ISNUMBER(A63),CONVERT(Calculations!#REF!,Units_In,Units_Out),"")</f>
        <v/>
      </c>
      <c r="D63" s="32" t="str">
        <f>IF(ISTEXT(Calculations!#REF!),Calculations!#REF!,"")</f>
        <v/>
      </c>
      <c r="E63" s="10" t="str">
        <f t="shared" si="2"/>
        <v/>
      </c>
      <c r="F63" s="33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2" t="str">
        <f>IF(ISNUMBER(A64),CONVERT(Calculations!#REF!,Units_In,Units_Out),"")</f>
        <v/>
      </c>
      <c r="C64" s="32" t="str">
        <f>IF(ISNUMBER(A64),CONVERT(Calculations!#REF!,Units_In,Units_Out),"")</f>
        <v/>
      </c>
      <c r="D64" s="32" t="str">
        <f>IF(ISTEXT(Calculations!#REF!),Calculations!#REF!,"")</f>
        <v/>
      </c>
      <c r="E64" s="10" t="str">
        <f t="shared" si="2"/>
        <v/>
      </c>
      <c r="F64" s="33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2" t="str">
        <f>IF(ISNUMBER(A65),CONVERT(Calculations!#REF!,Units_In,Units_Out),"")</f>
        <v/>
      </c>
      <c r="C65" s="32" t="str">
        <f>IF(ISNUMBER(A65),CONVERT(Calculations!#REF!,Units_In,Units_Out),"")</f>
        <v/>
      </c>
      <c r="D65" s="32" t="str">
        <f>IF(ISTEXT(Calculations!#REF!),Calculations!#REF!,"")</f>
        <v/>
      </c>
      <c r="E65" s="10" t="str">
        <f t="shared" si="2"/>
        <v/>
      </c>
      <c r="F65" s="33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2013-08-28T10:23:01Z</dcterms:modified>
</cp:coreProperties>
</file>