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6"/>
  <workbookPr defaultThemeVersion="166925"/>
  <mc:AlternateContent xmlns:mc="http://schemas.openxmlformats.org/markup-compatibility/2006">
    <mc:Choice Requires="x15">
      <x15ac:absPath xmlns:x15ac="http://schemas.microsoft.com/office/spreadsheetml/2010/11/ac" url="C:\Users\Celia\Documents\Industry Decarbonisation\pypsa_industry_coupled_soft-linked\data\raw\"/>
    </mc:Choice>
  </mc:AlternateContent>
  <xr:revisionPtr revIDLastSave="0" documentId="13_ncr:1_{029217D0-486F-4000-BC52-1CCFB1079E83}" xr6:coauthVersionLast="36" xr6:coauthVersionMax="36" xr10:uidLastSave="{00000000-0000-0000-0000-000000000000}"/>
  <bookViews>
    <workbookView xWindow="0" yWindow="0" windowWidth="17265" windowHeight="4665" activeTab="3" xr2:uid="{69F55029-E6FD-4DAD-9766-3BCD230AD838}"/>
  </bookViews>
  <sheets>
    <sheet name="prices" sheetId="5" r:id="rId1"/>
    <sheet name="additional data" sheetId="6" r:id="rId2"/>
    <sheet name="production" sheetId="3" r:id="rId3"/>
    <sheet name="limits" sheetId="15" r:id="rId4"/>
    <sheet name="material factors" sheetId="14" r:id="rId5"/>
    <sheet name="steel energy" sheetId="7" r:id="rId6"/>
    <sheet name="steel feedstock" sheetId="9" r:id="rId7"/>
    <sheet name="steel cost" sheetId="8" r:id="rId8"/>
    <sheet name="hvc energy" sheetId="1" r:id="rId9"/>
    <sheet name="hvc feedstock" sheetId="2" r:id="rId10"/>
    <sheet name="hvc cost" sheetId="4" r:id="rId11"/>
    <sheet name="cement costs" sheetId="11" r:id="rId12"/>
    <sheet name="cement feedstock" sheetId="12" r:id="rId13"/>
    <sheet name="calculations hvc" sheetId="13" r:id="rId14"/>
  </sheets>
  <externalReferences>
    <externalReference r:id="rId15"/>
  </externalReferences>
  <definedNames>
    <definedName name="_xlnm._FilterDatabase" localSheetId="8" hidden="1">'hvc energy'!$A$1:$N$15</definedName>
    <definedName name="_xlnm._FilterDatabase" localSheetId="4" hidden="1">'material factors'!$A$1:$O$20</definedName>
    <definedName name="_xlnm._FilterDatabase" localSheetId="0" hidden="1">prices!$A$1:$H$1</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6" i="14" l="1"/>
  <c r="H3" i="14"/>
  <c r="H2" i="14"/>
  <c r="C23" i="14"/>
  <c r="C22" i="14"/>
  <c r="C21" i="14" l="1"/>
  <c r="C20" i="14"/>
  <c r="E13" i="14"/>
  <c r="E12" i="14"/>
  <c r="C19" i="14"/>
  <c r="C17" i="14"/>
  <c r="C18" i="14"/>
  <c r="C16" i="14"/>
  <c r="C15" i="14"/>
  <c r="C14" i="14"/>
  <c r="D2" i="4" l="1"/>
  <c r="D23" i="4"/>
  <c r="K11" i="13"/>
  <c r="K14" i="13"/>
  <c r="E22" i="2" l="1"/>
  <c r="F3" i="2"/>
  <c r="E3" i="2"/>
  <c r="E2" i="2"/>
  <c r="F2" i="1"/>
  <c r="E2" i="1"/>
  <c r="B24" i="4"/>
  <c r="B23" i="4"/>
  <c r="F2" i="4"/>
  <c r="F3" i="4" s="1"/>
  <c r="E2" i="4"/>
  <c r="F12" i="4"/>
  <c r="D24" i="4"/>
  <c r="D3" i="4" s="1"/>
  <c r="C23" i="4"/>
  <c r="D2" i="13"/>
  <c r="D3" i="13"/>
  <c r="B3" i="13"/>
  <c r="B2" i="13"/>
  <c r="K3" i="13"/>
  <c r="J3" i="13"/>
  <c r="J15" i="13"/>
  <c r="J5" i="13"/>
  <c r="J6" i="13"/>
  <c r="J7" i="13"/>
  <c r="J8" i="13"/>
  <c r="J9" i="13"/>
  <c r="J10" i="13"/>
  <c r="J4" i="13"/>
  <c r="J14" i="13"/>
  <c r="K5" i="13"/>
  <c r="K6" i="13"/>
  <c r="K7" i="13"/>
  <c r="K8" i="13"/>
  <c r="K9" i="13"/>
  <c r="K10" i="13"/>
  <c r="K4" i="13"/>
  <c r="F13" i="4" l="1"/>
  <c r="F14" i="4" s="1"/>
  <c r="E3" i="4"/>
  <c r="J11" i="13"/>
  <c r="C2" i="13" l="1"/>
  <c r="C3" i="13" s="1"/>
  <c r="B68" i="5" l="1"/>
  <c r="C104" i="5"/>
  <c r="D104" i="5"/>
  <c r="E104" i="5"/>
  <c r="F104" i="5"/>
  <c r="B70" i="5"/>
  <c r="B67" i="5"/>
  <c r="B50" i="5"/>
  <c r="B62" i="5" s="1"/>
  <c r="B74" i="5"/>
  <c r="B73" i="5"/>
  <c r="F5" i="11" l="1"/>
  <c r="F4" i="11"/>
  <c r="D5" i="11"/>
  <c r="E5" i="11"/>
  <c r="C8" i="12"/>
  <c r="D8" i="12"/>
  <c r="E8" i="12"/>
  <c r="F8" i="12"/>
  <c r="B8" i="12"/>
  <c r="C9" i="6" l="1"/>
  <c r="C7" i="6"/>
  <c r="C5" i="11"/>
  <c r="E4" i="11"/>
  <c r="D4" i="11"/>
  <c r="C4" i="11"/>
  <c r="B4" i="11"/>
  <c r="D3" i="11"/>
  <c r="B3" i="11"/>
  <c r="D9" i="9" l="1"/>
  <c r="B84" i="5" l="1"/>
  <c r="B83" i="5"/>
  <c r="B79" i="5"/>
  <c r="B78" i="5"/>
  <c r="B72" i="5"/>
  <c r="B87" i="5" l="1"/>
  <c r="B4" i="9"/>
  <c r="B63" i="5"/>
  <c r="B58" i="5"/>
  <c r="B57" i="5"/>
  <c r="B54" i="5"/>
  <c r="B104" i="5" s="1"/>
  <c r="B33" i="5"/>
  <c r="B12" i="5"/>
  <c r="B11" i="5"/>
  <c r="B10" i="5"/>
  <c r="B15" i="1"/>
  <c r="B30" i="5" l="1"/>
  <c r="B34" i="5"/>
  <c r="B26" i="5"/>
  <c r="B31" i="5"/>
  <c r="B38" i="5"/>
  <c r="B27" i="5"/>
  <c r="B28" i="5"/>
  <c r="B32" i="5"/>
  <c r="B36" i="5"/>
  <c r="B35" i="5"/>
  <c r="B37" i="5"/>
  <c r="B29" i="5"/>
</calcChain>
</file>

<file path=xl/sharedStrings.xml><?xml version="1.0" encoding="utf-8"?>
<sst xmlns="http://schemas.openxmlformats.org/spreadsheetml/2006/main" count="1377" uniqueCount="402">
  <si>
    <t>elec</t>
  </si>
  <si>
    <t>coal</t>
  </si>
  <si>
    <t>biomass</t>
  </si>
  <si>
    <t>methane</t>
  </si>
  <si>
    <t>hydrogen</t>
  </si>
  <si>
    <t>heat</t>
  </si>
  <si>
    <t>naphtha</t>
  </si>
  <si>
    <t>ammonia</t>
  </si>
  <si>
    <t>process emission</t>
  </si>
  <si>
    <t>process emission from feedstock</t>
  </si>
  <si>
    <t>process heat</t>
  </si>
  <si>
    <t>furnaces heat</t>
  </si>
  <si>
    <t>Sources</t>
  </si>
  <si>
    <t>MtO</t>
  </si>
  <si>
    <t>Kullmann 2023</t>
  </si>
  <si>
    <t>MWh/t HVC</t>
  </si>
  <si>
    <t>methanol</t>
  </si>
  <si>
    <t>2020 inv_cost [€/t output yearly]</t>
  </si>
  <si>
    <t>2050 inv_cost [€/t output yearly]</t>
  </si>
  <si>
    <t>-</t>
  </si>
  <si>
    <t>production (kt)</t>
  </si>
  <si>
    <t>data</t>
  </si>
  <si>
    <t>unit</t>
  </si>
  <si>
    <t>methanol MWh per t</t>
  </si>
  <si>
    <t>MWh/t</t>
  </si>
  <si>
    <t>value</t>
  </si>
  <si>
    <t>source</t>
  </si>
  <si>
    <t>steamcracker</t>
  </si>
  <si>
    <t>IDEES</t>
  </si>
  <si>
    <t>electric steamcracker</t>
  </si>
  <si>
    <t>mechanical recycling</t>
  </si>
  <si>
    <t>t/t HVC</t>
  </si>
  <si>
    <t>plastic waste</t>
  </si>
  <si>
    <t>chemical recycling</t>
  </si>
  <si>
    <t>Bardow 2020</t>
  </si>
  <si>
    <t>material economics</t>
  </si>
  <si>
    <t>https://www.sciencedirect.com/science/article/pii/S0360319923019705</t>
  </si>
  <si>
    <t>Meys 2023</t>
  </si>
  <si>
    <t>DOI: 10.1126/science.abg9853   Achieving net-zero greenhouse gas emission plastics by a circular carbon economy (Supplementary Material!)</t>
  </si>
  <si>
    <t>Appendix A - Supplementary Information. Towards a Circular Economy for Plastic Packaging Wastes - The Environmental Potential of Chemical Recycling
Raoul Meysa, Felicitas Fricka,c, Stefan Westhuesb, André Sternberga, Jürgen Klankermayerb, André Bardowa,d,e</t>
  </si>
  <si>
    <t>Entwicklungsstand</t>
  </si>
  <si>
    <t>https://www.recovery-worldwide.com/de/artikel/entwicklungsstand-beim-recycling-von-kunststoff-3801128.html</t>
  </si>
  <si>
    <t>PlasticsEurope DE</t>
  </si>
  <si>
    <t>PlasticsEurope-National_ALL.pdf</t>
  </si>
  <si>
    <t>conversio 2022</t>
  </si>
  <si>
    <t>PowerPoint-Präsentation (bkv-gmbh.de)</t>
  </si>
  <si>
    <t>Industrial Transformation 2050. Pathways to Net-Zero Emissions from EU Heavy Industry</t>
  </si>
  <si>
    <t>(vci roadmap 2050, p.45)</t>
  </si>
  <si>
    <t>material</t>
  </si>
  <si>
    <t>price 2020</t>
  </si>
  <si>
    <t xml:space="preserve">region </t>
  </si>
  <si>
    <t>page</t>
  </si>
  <si>
    <t>comment</t>
  </si>
  <si>
    <t>prices 2045</t>
  </si>
  <si>
    <t>€/MWh</t>
  </si>
  <si>
    <t>Agora 2022</t>
  </si>
  <si>
    <t>€/t</t>
  </si>
  <si>
    <t>coke</t>
  </si>
  <si>
    <t>PyPSA</t>
  </si>
  <si>
    <t>bio-methane</t>
  </si>
  <si>
    <t>green H2</t>
  </si>
  <si>
    <t>todo</t>
  </si>
  <si>
    <t>feedstock-CO2</t>
  </si>
  <si>
    <t>Tabelle 8: Pfad 3: Pfad zur Treibhausgasneutralität bis 2050 (Änderungen ggü. Pfad 1 in rot</t>
  </si>
  <si>
    <t xml:space="preserve">VCI </t>
  </si>
  <si>
    <t>1 kg Braunkohle</t>
  </si>
  <si>
    <t>15 MJ/kg</t>
  </si>
  <si>
    <t>convert unit</t>
  </si>
  <si>
    <t>1 kg Steinkohle</t>
  </si>
  <si>
    <t>29 MJ/kg</t>
  </si>
  <si>
    <t>1 kg Koks</t>
  </si>
  <si>
    <t>Holzpellets</t>
  </si>
  <si>
    <t>1 kg Holz-Pellets</t>
  </si>
  <si>
    <t>18 MJ/kg</t>
  </si>
  <si>
    <t>CCS T&amp;S</t>
  </si>
  <si>
    <t>USD/t CO2</t>
  </si>
  <si>
    <t>Europe</t>
  </si>
  <si>
    <t>Taken as Tier 4 - shipping cost region in paper.</t>
  </si>
  <si>
    <t>https://papers.ssrn.com/sol3/papers.cfm?abstract_id=3816593</t>
  </si>
  <si>
    <t>from meng 2023</t>
  </si>
  <si>
    <t>feedstock-co2</t>
  </si>
  <si>
    <t>Same regional tier as CCS T&amp;S cost, but just taking transport costs as assumed cost of green CO2. Note that for Tier 4, we assumed 1/3 of total T&amp;S cost is T.</t>
  </si>
  <si>
    <t>USD/GJ</t>
  </si>
  <si>
    <t>MPP Central model</t>
  </si>
  <si>
    <t>USD/t</t>
  </si>
  <si>
    <t>See feedstock cost model</t>
  </si>
  <si>
    <t>taking into account cost of CCS incinerator</t>
  </si>
  <si>
    <t>Ethane</t>
  </si>
  <si>
    <t>Propane</t>
  </si>
  <si>
    <t>Bioethanol</t>
  </si>
  <si>
    <t>methane - sensitivity</t>
  </si>
  <si>
    <t>naphtha - sensitivity</t>
  </si>
  <si>
    <t>Ethane - sensitivity</t>
  </si>
  <si>
    <t>Propane - sensitivity</t>
  </si>
  <si>
    <t>coal - sensitivity</t>
  </si>
  <si>
    <t>€/dollar*GJ/MWh</t>
  </si>
  <si>
    <t>€/dollar</t>
  </si>
  <si>
    <t>Waste polymer</t>
  </si>
  <si>
    <t>World</t>
  </si>
  <si>
    <t>tab "prices and availability"</t>
  </si>
  <si>
    <t>todo: find price</t>
  </si>
  <si>
    <t>NaCl</t>
  </si>
  <si>
    <t>Brée et al. 2019</t>
  </si>
  <si>
    <t>H2O</t>
  </si>
  <si>
    <t>Brée et al. 2020</t>
  </si>
  <si>
    <t>Cl2</t>
  </si>
  <si>
    <t>Brée et al. 2021</t>
  </si>
  <si>
    <t>O2</t>
  </si>
  <si>
    <t>Allam 2007 or Wernet 2016</t>
  </si>
  <si>
    <t>bentonite (clay)</t>
  </si>
  <si>
    <t>$/t</t>
  </si>
  <si>
    <t>US</t>
  </si>
  <si>
    <t>Mineral Commodity Summaries 2023 (usgs.gov)</t>
  </si>
  <si>
    <t>Ball clay</t>
  </si>
  <si>
    <t>Common clay</t>
  </si>
  <si>
    <t>p.58 Domestic Production and Use: common clay is used 23% for cement (other clays have other applications), price for 2022</t>
  </si>
  <si>
    <t>Fire clay</t>
  </si>
  <si>
    <t>Fuller’s earth (clay)</t>
  </si>
  <si>
    <t>Kaolin (clay)</t>
  </si>
  <si>
    <t>clay</t>
  </si>
  <si>
    <t xml:space="preserve">converted 'common clay' to Euro </t>
  </si>
  <si>
    <t>gypsum crude</t>
  </si>
  <si>
    <t>p. 88, for 2022</t>
  </si>
  <si>
    <t>gypsum calcined</t>
  </si>
  <si>
    <t>iron and steel slag</t>
  </si>
  <si>
    <t>The FOB plant price represents the value of the mineral commodity once it has been extracted, processed, and is ready for shipment from the production site. It is the price at which the producer sells the commodity, and it does not include expenses related to transportation, insurance, loading, or unloading.</t>
  </si>
  <si>
    <t>Air-cooled iron slag and steel slag are used primarily as aggregates in concrete (air-cooled iron slag only); asphaltic paving, fill, and road bases; both slag types also can be used as a feed for cement kilns. Almost all GGBFS is used as a partial substitute for portland cement in concrete mixes or in blended cements</t>
  </si>
  <si>
    <t>lime - quicklime</t>
  </si>
  <si>
    <t>Lime: Lime is a generic term used to describe various chemical compounds derived from limestone or other calcium-rich materials through a process called calcination. Calcination involves heating limestone or other calcium carbonate-containing materials at high temperatures to drive off carbon dioxide (CO2) and produce a calcium oxide (CaO) residue. The resulting product is known as quicklime or burnt lime. Quicklime can further react with water to produce hydrated lime, also known as slaked lime or calcium hydroxide (Ca(OH)2).</t>
  </si>
  <si>
    <t>lime - hydrated</t>
  </si>
  <si>
    <t>lime</t>
  </si>
  <si>
    <t>EU</t>
  </si>
  <si>
    <t>Agora steel</t>
  </si>
  <si>
    <t>sand and gravel</t>
  </si>
  <si>
    <t>An estimated 42% of construction sand and gravel was used as portland cement concrete aggregates, 26% for road base and coverings, 13% for construction fill, 10% for asphaltic concrete aggregate</t>
  </si>
  <si>
    <t>crushed stone, of which 70% is limestone</t>
  </si>
  <si>
    <t>Of the total domestic crushed stone produced in 2022, about 70% was limestone and dolomite; 15%, granite; 6%, traprock; 5%, miscellaneous stone; 3%, sandstone and quartzite.</t>
  </si>
  <si>
    <t>Estimated 74% of crushed stone was used as a construction aggregate, mostly for road construction and 
maintenance; 17% for cement manufacturing; 5% for lime manufacturing. limestone is a sedimentary rock composed mainly of calcium carbonate (CaCO3), while lime refers to the chemical compounds derived from limestone through the process of calcination.</t>
  </si>
  <si>
    <t>limestone</t>
  </si>
  <si>
    <t>calcinated clays</t>
  </si>
  <si>
    <t>1.14 kg clay for 1 kg calcinated clay; assumption that availability is not limited</t>
  </si>
  <si>
    <t>recycled_concrete</t>
  </si>
  <si>
    <t>https://blog.iseekplant.com.au/blog/concrete-recycling-cost-guide</t>
  </si>
  <si>
    <t>SCM</t>
  </si>
  <si>
    <t>own assumption</t>
  </si>
  <si>
    <t>(silica, (non-calcinated) puzzolans, fly ash, shale, REA-gypsum)</t>
  </si>
  <si>
    <t>assumption: price for gypsum</t>
  </si>
  <si>
    <t>other</t>
  </si>
  <si>
    <t>fly ash</t>
  </si>
  <si>
    <t>SCM excl. BF slag</t>
  </si>
  <si>
    <t>average of all SCM</t>
  </si>
  <si>
    <t>clinker</t>
  </si>
  <si>
    <t>4,17 kWh/kg</t>
  </si>
  <si>
    <t>8,06 kWh/kg</t>
  </si>
  <si>
    <t>5,00 kWh/kg</t>
  </si>
  <si>
    <t>Electric arc</t>
  </si>
  <si>
    <t>DRI + Electric arc</t>
  </si>
  <si>
    <t>Integrated steelworks</t>
  </si>
  <si>
    <t>EUR/t</t>
  </si>
  <si>
    <t>Source</t>
  </si>
  <si>
    <t>Only costs for furnace. Agora 2022, p.72</t>
  </si>
  <si>
    <t>Agora 2022, p.72</t>
  </si>
  <si>
    <t>Klimaschutzverträge Stahl</t>
  </si>
  <si>
    <t>iron ore</t>
  </si>
  <si>
    <t>iron ore pellets</t>
  </si>
  <si>
    <t>steel scrap</t>
  </si>
  <si>
    <t>graohite electrode</t>
  </si>
  <si>
    <t>alloying elements</t>
  </si>
  <si>
    <t>synergie2018 and vogl2018 for elec</t>
  </si>
  <si>
    <t>BF slag</t>
  </si>
  <si>
    <t>De</t>
  </si>
  <si>
    <t>default value</t>
  </si>
  <si>
    <t>graphite electrode</t>
  </si>
  <si>
    <t>oxygen</t>
  </si>
  <si>
    <t>aluminium scrap</t>
  </si>
  <si>
    <t>table 3-1</t>
  </si>
  <si>
    <t>Kullmann 2022</t>
  </si>
  <si>
    <t>copper scrap</t>
  </si>
  <si>
    <t>zinc scrap</t>
  </si>
  <si>
    <t>waste glass</t>
  </si>
  <si>
    <t>waste paper</t>
  </si>
  <si>
    <t>product</t>
  </si>
  <si>
    <t>year</t>
  </si>
  <si>
    <t>production</t>
  </si>
  <si>
    <t>Aluminium</t>
  </si>
  <si>
    <t>Mt</t>
  </si>
  <si>
    <t>Wertschöpfung (fraunhofer.de)</t>
  </si>
  <si>
    <t>Ammoniak</t>
  </si>
  <si>
    <t>Chlor</t>
  </si>
  <si>
    <t>Ethylen</t>
  </si>
  <si>
    <t>Flachglas</t>
  </si>
  <si>
    <t>Papier</t>
  </si>
  <si>
    <t>Walzstahl</t>
  </si>
  <si>
    <t>Zement</t>
  </si>
  <si>
    <t xml:space="preserve">ammonia </t>
  </si>
  <si>
    <t>kt</t>
  </si>
  <si>
    <t>C4C</t>
  </si>
  <si>
    <t>p.116</t>
  </si>
  <si>
    <t>methanol | conventional</t>
  </si>
  <si>
    <t>methanol | CO2 and H2</t>
  </si>
  <si>
    <t>chlorine</t>
  </si>
  <si>
    <t>p.25</t>
  </si>
  <si>
    <t>HVC</t>
  </si>
  <si>
    <t>ethylen, propylen, butylen, BTX</t>
  </si>
  <si>
    <t>Harnstoff</t>
  </si>
  <si>
    <t>basic chemicals</t>
  </si>
  <si>
    <t>components</t>
  </si>
  <si>
    <t>CEM I</t>
  </si>
  <si>
    <t>CEM II/C-M</t>
  </si>
  <si>
    <t>CEM II/AB-M</t>
  </si>
  <si>
    <t>CEM III/A</t>
  </si>
  <si>
    <t>*B1.pdf (vdz-online.de)</t>
  </si>
  <si>
    <t>VDZ</t>
  </si>
  <si>
    <t>min value Klinkeranteil</t>
  </si>
  <si>
    <t>Mittelwert Klinkeranteil. The limestone content is limited to a maximum of 35 mass-% in CEM II/B or even only 20 mass-% in CEM II/C and CEM VI cements</t>
  </si>
  <si>
    <t>Mittelwert Klinkeranteil</t>
  </si>
  <si>
    <t>share 2022</t>
  </si>
  <si>
    <t>1.8 % CEM V and CEM VI added to CEM I</t>
  </si>
  <si>
    <t>ECRA AnnexII</t>
  </si>
  <si>
    <t>ECRA 35-38</t>
  </si>
  <si>
    <t>ECRA 34</t>
  </si>
  <si>
    <t>for 2Mio.t clinker capacity. For 1 Mio. T 210 €/annual production. For 0.5 Mio. T clinker production = 310 €/t annual output</t>
  </si>
  <si>
    <t>retrofit_cost  [€/t cement yearly]</t>
  </si>
  <si>
    <t>ECRA 35</t>
  </si>
  <si>
    <t>same retro costs for SCM (except calcinated clays)s: blast furnace, natural pozzolans, silica fume, rice husk ash, limestone, recycled concrete fines</t>
  </si>
  <si>
    <t>https://www.vdz-online.de/fileadmin/wissensportal/publikationen/basiswissen/zement-merkblaetter/B1.pdf</t>
  </si>
  <si>
    <t>dollar to eur</t>
  </si>
  <si>
    <t>mwh to gj</t>
  </si>
  <si>
    <t>dollar per gj to dollar per mwh</t>
  </si>
  <si>
    <t>MWh/GJ</t>
  </si>
  <si>
    <t>DE</t>
  </si>
  <si>
    <t>CEM II C/ Q-L</t>
  </si>
  <si>
    <t>SCM excl. BF slag and limestone</t>
  </si>
  <si>
    <t>limestone excl. clinker</t>
  </si>
  <si>
    <t>Preis für calcinated clay anstatt energy</t>
  </si>
  <si>
    <t>todo: energy demand cost?</t>
  </si>
  <si>
    <t>SCM include</t>
  </si>
  <si>
    <t>tuff, suevit (natürliche Puzzolane)</t>
  </si>
  <si>
    <t>Ölschiefer, gebrannt</t>
  </si>
  <si>
    <t>engl.</t>
  </si>
  <si>
    <t>natürliche Puzzolane</t>
  </si>
  <si>
    <t>VDZ Ressourceneffizienz (SI LCA or ECRA or Favier say 1.14 kg)</t>
  </si>
  <si>
    <t>Kalkstein</t>
  </si>
  <si>
    <t>Betonbrechsand</t>
  </si>
  <si>
    <t>recyclet conceret</t>
  </si>
  <si>
    <t>Schlacken aus Müllverbrennung</t>
  </si>
  <si>
    <t>Calciumsulfat aus REA Gips</t>
  </si>
  <si>
    <t>slag from waste firing</t>
  </si>
  <si>
    <t>gypsum</t>
  </si>
  <si>
    <t>shale oil</t>
  </si>
  <si>
    <t>calcinierte Tone, aus Kaolin</t>
  </si>
  <si>
    <t>Assumption: same price as BF slag</t>
  </si>
  <si>
    <t>chemical recycling: pyrolysis</t>
  </si>
  <si>
    <t>LDPE - CED [MJ/kg]</t>
  </si>
  <si>
    <t>combined</t>
  </si>
  <si>
    <t>Treatment Steps</t>
  </si>
  <si>
    <t>Scenario 1.1.1</t>
  </si>
  <si>
    <t>Scenario 1.1.2</t>
  </si>
  <si>
    <t>Scenario 1.1.3</t>
  </si>
  <si>
    <t>Scenario 1.2.1</t>
  </si>
  <si>
    <t>Scenario 1.2.2</t>
  </si>
  <si>
    <t>Scenario 1.2.3</t>
  </si>
  <si>
    <t>Scenario 2</t>
  </si>
  <si>
    <t>Scenario 3.1</t>
  </si>
  <si>
    <t>Scenario 3.2</t>
  </si>
  <si>
    <t>Mechanical Pretreatment</t>
  </si>
  <si>
    <t>Sensor-based Sorting</t>
  </si>
  <si>
    <t>Regranulation</t>
  </si>
  <si>
    <t>Pyrolysis</t>
  </si>
  <si>
    <t>Steam Cracking</t>
  </si>
  <si>
    <t>Polymer Synthesis</t>
  </si>
  <si>
    <t>Landfilling Heavy Components</t>
  </si>
  <si>
    <t>Rewards Metal Recycling</t>
  </si>
  <si>
    <t>Burdens Incineration</t>
  </si>
  <si>
    <t>Rewards Incineration</t>
  </si>
  <si>
    <t>Substitution Primary Material</t>
  </si>
  <si>
    <t>Sum</t>
  </si>
  <si>
    <t>S17</t>
  </si>
  <si>
    <t xml:space="preserve">output (regranulate) kg </t>
  </si>
  <si>
    <t>S-17</t>
  </si>
  <si>
    <r>
      <rPr>
        <b/>
        <sz val="11"/>
        <color theme="1"/>
        <rFont val="Calibri"/>
        <family val="2"/>
        <scheme val="minor"/>
      </rPr>
      <t>Table S3-5:</t>
    </r>
    <r>
      <rPr>
        <sz val="11"/>
        <color theme="1"/>
        <rFont val="Calibri"/>
        <family val="2"/>
        <scheme val="minor"/>
      </rPr>
      <t xml:space="preserve"> 
Comparison of considered recycling processes and scenarios regarding their CED impact for LDPE [MJ/kg input]. Assessment for 1 kg of input waste.
Data table for Table S2-7.</t>
    </r>
  </si>
  <si>
    <t>output sorting residues</t>
  </si>
  <si>
    <t>scenario 1.1.3: incineration 18% MSWI plant, 58% RDF combustion plant, 13% cement plant, 11%
coal-powered plant</t>
  </si>
  <si>
    <t xml:space="preserve">Mechanical Pretreatment </t>
  </si>
  <si>
    <t>kg output (regranulate)</t>
  </si>
  <si>
    <t>kg input</t>
  </si>
  <si>
    <t>kg output unidentified plastic waste</t>
  </si>
  <si>
    <t>[kWh/kg output]</t>
  </si>
  <si>
    <t>mechanical recycling best case, incineration see cell Q2</t>
  </si>
  <si>
    <t>from SI volk 2021:</t>
  </si>
  <si>
    <t>energy and feedstock calculations, based on Volk 2021 SI:</t>
  </si>
  <si>
    <t>mechanical recycling: sorting plant</t>
  </si>
  <si>
    <t>annualised investment cost per 1t input</t>
  </si>
  <si>
    <t>annualised investment cost per 1t output</t>
  </si>
  <si>
    <t>investment costs per t input</t>
  </si>
  <si>
    <t>investment costs per t output</t>
  </si>
  <si>
    <t>Volk 2021</t>
  </si>
  <si>
    <t>Volk 2022</t>
  </si>
  <si>
    <t>average of central and decentral divided by respective capacities. Divided by output per input.</t>
  </si>
  <si>
    <t>10f.</t>
  </si>
  <si>
    <t>costs for steamcracker must be added</t>
  </si>
  <si>
    <t>does not include costs for pelletizing (relevant?)</t>
  </si>
  <si>
    <t>EUR/t output</t>
  </si>
  <si>
    <t>lifetime</t>
  </si>
  <si>
    <t>https://www.duncanseddon.com/docs/pdf/steam-cracking-operations-forum-docs.pdf</t>
  </si>
  <si>
    <t>850 Mio. Dollar for 500000t/a</t>
  </si>
  <si>
    <t>Volk 2024</t>
  </si>
  <si>
    <t>Volk 2024, p.110</t>
  </si>
  <si>
    <t>CRF</t>
  </si>
  <si>
    <t>capex/yr</t>
  </si>
  <si>
    <t>3, table 2</t>
  </si>
  <si>
    <t>Gu 2022</t>
  </si>
  <si>
    <t>https://doi.org/10.1016/j.enconman.2022.116256</t>
  </si>
  <si>
    <t>capex/yr in $</t>
  </si>
  <si>
    <t>Similar to value of 250 EUR/t given in Kullmann 2022 for electric steamcracking. Non-annualised investment given in page 2 (comma error, should be 275.338 Mdollar to corrspond to annualised value given in table 6). Annualised capex calculated below with lifetime and i from paper (table 2), corresponds to data in table 4.</t>
  </si>
  <si>
    <t>Large difference to 1700 $/t given in Kullmann 2022, but source of Kullmann seems odd (https://www.duncanseddon.com/docs/pdf/steam-cracking-operations-forum-docs.pdf, p.110). Non-annualised investment given in page 2 (comma error, should be 275.338 Mdollar to corrspond to annualised value given in table 6). Annualised capex calculated below with lifetime and i from paper (table 2), corresponds to data in table 4.</t>
  </si>
  <si>
    <t>For calculation or comparison, not used directly by code</t>
  </si>
  <si>
    <t>cost from vci per t oil*oil demand for steamcracking (1.22t from Kullmann 2023) (vci roadmap 2050, p.45)</t>
  </si>
  <si>
    <t>chemical recycling: pyrolysis (other source)</t>
  </si>
  <si>
    <t>steamcracker (other source)</t>
  </si>
  <si>
    <t>cost of pyrolysis (per t plastic output) + cost of electric steamcracking</t>
  </si>
  <si>
    <t>similar to costs of VCI</t>
  </si>
  <si>
    <t>?</t>
  </si>
  <si>
    <t>Volk 2024, Gu 2022</t>
  </si>
  <si>
    <t>Volk 2024, Gu 2023</t>
  </si>
  <si>
    <t>110, 6</t>
  </si>
  <si>
    <t>same lifetimes pyrolysis and el. Steamctracking</t>
  </si>
  <si>
    <t>assume same as chemical recycling</t>
  </si>
  <si>
    <t>assume same as steamcracking</t>
  </si>
  <si>
    <t>https://doi.org/10.3390/
su141710913</t>
  </si>
  <si>
    <t>https://doi.org/10.1016/j.wasman.2024.01.035</t>
  </si>
  <si>
    <t>Volk 2021 (see hvc calculations tab)</t>
  </si>
  <si>
    <t xml:space="preserve">Volk 2021 (see hvc calculations tab). Volk 2024 p.106: electrically heated pyrolysis reactor (450 °C). Video Plastics Europe on chemical recycling: electricity demand of pyrolysis comparable to electricity demand of sorting and pelletizing in mechanical recycling, but high energy/electricity (?) demand of steamcracking in step after. </t>
  </si>
  <si>
    <t>DOI: 10.1111/jiec.13145</t>
  </si>
  <si>
    <t>light weight plastic waste</t>
  </si>
  <si>
    <t>lightweight plastic waste</t>
  </si>
  <si>
    <t>109-110</t>
  </si>
  <si>
    <t>output ethylene</t>
  </si>
  <si>
    <t>kg output ethylene</t>
  </si>
  <si>
    <t>sum elec MWh/t output (output regranulate or ethylene, excluding landfilling and polymer synthesis)</t>
  </si>
  <si>
    <t>Projektionsbericht Kosten H2-DRI</t>
  </si>
  <si>
    <t>Projektionsbericht 2023</t>
  </si>
  <si>
    <t>Projektionsbericht 2024</t>
  </si>
  <si>
    <t>https://www.engineeringtoolbox.com/fuels-higher-calorific-values-d_169.html</t>
  </si>
  <si>
    <t>t/MW</t>
  </si>
  <si>
    <t>gas CC</t>
  </si>
  <si>
    <t>alu</t>
  </si>
  <si>
    <t>cement</t>
  </si>
  <si>
    <t>steel</t>
  </si>
  <si>
    <t>technology</t>
  </si>
  <si>
    <t>figure9</t>
  </si>
  <si>
    <t>10.5194/egusphere-2023-3035</t>
  </si>
  <si>
    <t>MESSAGEix-Materials v1.0.0: Representation of Material Flows and Stocks in an Integrated Assessment Model</t>
  </si>
  <si>
    <t>sources</t>
  </si>
  <si>
    <t>doi</t>
  </si>
  <si>
    <t>message</t>
  </si>
  <si>
    <t>solar thermal</t>
  </si>
  <si>
    <t>DLR</t>
  </si>
  <si>
    <t>plastic</t>
  </si>
  <si>
    <t>tabelle 3-5, 3-9, 3-11</t>
  </si>
  <si>
    <t>concrete</t>
  </si>
  <si>
    <t>onwind</t>
  </si>
  <si>
    <t>offwind</t>
  </si>
  <si>
    <t>solar</t>
  </si>
  <si>
    <t>gas turbine</t>
  </si>
  <si>
    <t>tabelle 3-2</t>
  </si>
  <si>
    <t>DLR for comparison: 3-4</t>
  </si>
  <si>
    <t>hvc</t>
  </si>
  <si>
    <t>tabelle 3-9</t>
  </si>
  <si>
    <t>H2 Store</t>
  </si>
  <si>
    <t>t/MWh</t>
  </si>
  <si>
    <t>storage technology</t>
  </si>
  <si>
    <t>page/comment</t>
  </si>
  <si>
    <t>DLR comparison</t>
  </si>
  <si>
    <t>tabelle 3-14</t>
  </si>
  <si>
    <t>tabelle 3-16</t>
  </si>
  <si>
    <t>battery Li-Ion</t>
  </si>
  <si>
    <t>tabelle 3-17</t>
  </si>
  <si>
    <t>tabelle 3-18</t>
  </si>
  <si>
    <t>battery VaRedox</t>
  </si>
  <si>
    <t>tabelle 3-19</t>
  </si>
  <si>
    <t>Materialbedarf von Stromerzeugungssystemen - Szenarienpfadanalyse für Deutschland</t>
  </si>
  <si>
    <t>Name</t>
  </si>
  <si>
    <t>materials</t>
  </si>
  <si>
    <t>fuel cell</t>
  </si>
  <si>
    <t>cement low</t>
  </si>
  <si>
    <t>CLEVER</t>
  </si>
  <si>
    <t>steel low</t>
  </si>
  <si>
    <t>HVC low</t>
  </si>
  <si>
    <t>% of today's production</t>
  </si>
  <si>
    <t>Industry paper</t>
  </si>
  <si>
    <t>https://zenodo.org/records/11546125</t>
  </si>
  <si>
    <t>Inputs/Dashboard_DE_v5.22_AG_clean.xlsx</t>
  </si>
  <si>
    <t>resource</t>
  </si>
  <si>
    <t>limit</t>
  </si>
  <si>
    <t>gas storage DE</t>
  </si>
  <si>
    <t>CCS DE</t>
  </si>
  <si>
    <t>MWh</t>
  </si>
  <si>
    <t>t CO2</t>
  </si>
  <si>
    <t>"Langfristszenarien" BMWK</t>
  </si>
  <si>
    <t>https://de.statista.com/statistik/daten/studie/1294810/umfrage/fuellstand-der-gasspeicher-in-deutschland-auf-tagesbasis/</t>
  </si>
  <si>
    <t>https://langfristszenarien.de/enertile-explorer-de/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</si>
</sst>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
  </numFmts>
  <fonts count="8" x14ac:knownFonts="1">
    <font>
      <sz val="11"/>
      <color theme="1"/>
      <name val="Calibri"/>
      <family val="2"/>
      <scheme val="minor"/>
    </font>
    <font>
      <sz val="11"/>
      <color rgb="FFFF0000"/>
      <name val="Calibri"/>
      <family val="2"/>
      <scheme val="minor"/>
    </font>
    <font>
      <b/>
      <sz val="11"/>
      <color theme="1"/>
      <name val="Calibri"/>
      <family val="2"/>
      <scheme val="minor"/>
    </font>
    <font>
      <u/>
      <sz val="11"/>
      <color theme="10"/>
      <name val="Calibri"/>
      <family val="2"/>
      <scheme val="minor"/>
    </font>
    <font>
      <sz val="11"/>
      <name val="Calibri"/>
      <family val="2"/>
      <scheme val="minor"/>
    </font>
    <font>
      <u/>
      <sz val="11"/>
      <name val="Calibri"/>
      <family val="2"/>
      <scheme val="minor"/>
    </font>
    <font>
      <sz val="10"/>
      <color theme="1"/>
      <name val="Arial"/>
      <family val="2"/>
    </font>
    <font>
      <sz val="11"/>
      <color rgb="FF006100"/>
      <name val="Calibri"/>
      <family val="2"/>
      <scheme val="minor"/>
    </font>
  </fonts>
  <fills count="8">
    <fill>
      <patternFill patternType="none"/>
    </fill>
    <fill>
      <patternFill patternType="gray125"/>
    </fill>
    <fill>
      <patternFill patternType="solid">
        <fgColor theme="5" tint="0.59999389629810485"/>
        <bgColor indexed="64"/>
      </patternFill>
    </fill>
    <fill>
      <patternFill patternType="solid">
        <fgColor theme="0"/>
        <bgColor indexed="64"/>
      </patternFill>
    </fill>
    <fill>
      <patternFill patternType="solid">
        <fgColor theme="6" tint="0.59999389629810485"/>
        <bgColor indexed="64"/>
      </patternFill>
    </fill>
    <fill>
      <patternFill patternType="solid">
        <fgColor theme="5" tint="0.79998168889431442"/>
        <bgColor indexed="64"/>
      </patternFill>
    </fill>
    <fill>
      <patternFill patternType="solid">
        <fgColor rgb="FFC6EFCE"/>
      </patternFill>
    </fill>
    <fill>
      <patternFill patternType="solid">
        <fgColor theme="9" tint="0.79998168889431442"/>
        <bgColor indexed="64"/>
      </patternFill>
    </fill>
  </fills>
  <borders count="8">
    <border>
      <left/>
      <right/>
      <top/>
      <bottom/>
      <diagonal/>
    </border>
    <border>
      <left/>
      <right/>
      <top style="thin">
        <color theme="1"/>
      </top>
      <bottom/>
      <diagonal/>
    </border>
    <border>
      <left/>
      <right style="thin">
        <color indexed="64"/>
      </right>
      <top/>
      <bottom/>
      <diagonal/>
    </border>
    <border>
      <left/>
      <right/>
      <top style="thin">
        <color indexed="64"/>
      </top>
      <bottom style="thin">
        <color indexed="64"/>
      </bottom>
      <diagonal/>
    </border>
    <border>
      <left/>
      <right/>
      <top/>
      <bottom style="medium">
        <color indexed="64"/>
      </bottom>
      <diagonal/>
    </border>
    <border>
      <left style="thin">
        <color indexed="64"/>
      </left>
      <right/>
      <top/>
      <bottom/>
      <diagonal/>
    </border>
    <border>
      <left style="thin">
        <color indexed="64"/>
      </left>
      <right/>
      <top style="thin">
        <color indexed="64"/>
      </top>
      <bottom style="thin">
        <color indexed="64"/>
      </bottom>
      <diagonal/>
    </border>
    <border>
      <left style="thin">
        <color indexed="64"/>
      </left>
      <right/>
      <top/>
      <bottom style="medium">
        <color indexed="64"/>
      </bottom>
      <diagonal/>
    </border>
  </borders>
  <cellStyleXfs count="4">
    <xf numFmtId="0" fontId="0" fillId="0" borderId="0"/>
    <xf numFmtId="0" fontId="3" fillId="0" borderId="0" applyNumberFormat="0" applyFill="0" applyBorder="0" applyAlignment="0" applyProtection="0"/>
    <xf numFmtId="0" fontId="6" fillId="0" borderId="0"/>
    <xf numFmtId="0" fontId="7" fillId="6" borderId="0" applyNumberFormat="0" applyBorder="0" applyAlignment="0" applyProtection="0"/>
  </cellStyleXfs>
  <cellXfs count="80">
    <xf numFmtId="0" fontId="0" fillId="0" borderId="0" xfId="0"/>
    <xf numFmtId="0" fontId="0" fillId="0" borderId="0" xfId="0" applyAlignment="1">
      <alignment wrapText="1"/>
    </xf>
    <xf numFmtId="0" fontId="0" fillId="2" borderId="0" xfId="0" applyFill="1"/>
    <xf numFmtId="0" fontId="1" fillId="0" borderId="0" xfId="0" applyFont="1"/>
    <xf numFmtId="0" fontId="0" fillId="0" borderId="0" xfId="0" applyAlignment="1"/>
    <xf numFmtId="0" fontId="3" fillId="0" borderId="0" xfId="1"/>
    <xf numFmtId="0" fontId="2" fillId="0" borderId="0" xfId="0" applyFont="1"/>
    <xf numFmtId="0" fontId="4" fillId="0" borderId="0" xfId="0" applyFont="1"/>
    <xf numFmtId="0" fontId="4" fillId="0" borderId="0" xfId="0" applyFont="1" applyFill="1" applyBorder="1"/>
    <xf numFmtId="0" fontId="0" fillId="3" borderId="0" xfId="0" applyFill="1"/>
    <xf numFmtId="0" fontId="0" fillId="4" borderId="0" xfId="0" applyFill="1"/>
    <xf numFmtId="0" fontId="0" fillId="0" borderId="0" xfId="0" applyFill="1"/>
    <xf numFmtId="0" fontId="3" fillId="0" borderId="0" xfId="1" applyFill="1"/>
    <xf numFmtId="0" fontId="4" fillId="0" borderId="0" xfId="1" applyFont="1" applyFill="1"/>
    <xf numFmtId="11" fontId="0" fillId="0" borderId="0" xfId="0" applyNumberFormat="1"/>
    <xf numFmtId="0" fontId="0" fillId="5" borderId="0" xfId="0" applyFill="1"/>
    <xf numFmtId="0" fontId="6" fillId="0" borderId="0" xfId="2"/>
    <xf numFmtId="1" fontId="6" fillId="0" borderId="0" xfId="2" applyNumberFormat="1"/>
    <xf numFmtId="165" fontId="6" fillId="0" borderId="0" xfId="2" applyNumberFormat="1"/>
    <xf numFmtId="0" fontId="6" fillId="0" borderId="0" xfId="2" applyFill="1"/>
    <xf numFmtId="1" fontId="6" fillId="0" borderId="0" xfId="2" applyNumberFormat="1" applyFill="1"/>
    <xf numFmtId="165" fontId="6" fillId="0" borderId="0" xfId="2" applyNumberFormat="1" applyFill="1"/>
    <xf numFmtId="0" fontId="6" fillId="3" borderId="0" xfId="2" applyFill="1"/>
    <xf numFmtId="1" fontId="6" fillId="3" borderId="0" xfId="2" applyNumberFormat="1" applyFill="1"/>
    <xf numFmtId="0" fontId="3" fillId="3" borderId="0" xfId="1" applyFill="1"/>
    <xf numFmtId="0" fontId="1" fillId="2" borderId="0" xfId="0" applyFont="1" applyFill="1"/>
    <xf numFmtId="2" fontId="4" fillId="0" borderId="0" xfId="0" applyNumberFormat="1" applyFont="1" applyFill="1" applyBorder="1"/>
    <xf numFmtId="0" fontId="5" fillId="0" borderId="0" xfId="1" applyFont="1" applyFill="1" applyBorder="1"/>
    <xf numFmtId="0" fontId="0" fillId="0" borderId="0" xfId="0" applyFill="1" applyBorder="1"/>
    <xf numFmtId="164" fontId="4" fillId="0" borderId="0" xfId="0" applyNumberFormat="1" applyFont="1" applyFill="1" applyBorder="1"/>
    <xf numFmtId="0" fontId="4" fillId="0" borderId="0" xfId="1" applyFont="1" applyFill="1" applyBorder="1"/>
    <xf numFmtId="0" fontId="4" fillId="0" borderId="1" xfId="0" applyFont="1" applyFill="1" applyBorder="1"/>
    <xf numFmtId="0" fontId="0" fillId="0" borderId="0" xfId="0" applyFill="1" applyAlignment="1"/>
    <xf numFmtId="0" fontId="4" fillId="0" borderId="0" xfId="0" applyFont="1" applyFill="1"/>
    <xf numFmtId="0" fontId="1" fillId="0" borderId="0" xfId="0" applyFont="1" applyFill="1"/>
    <xf numFmtId="0" fontId="7" fillId="0" borderId="0" xfId="3" applyFill="1"/>
    <xf numFmtId="0" fontId="0" fillId="0" borderId="2" xfId="0" applyFill="1" applyBorder="1"/>
    <xf numFmtId="0" fontId="0" fillId="0" borderId="0" xfId="0" applyFont="1"/>
    <xf numFmtId="0" fontId="2" fillId="0" borderId="3" xfId="0" applyFont="1" applyBorder="1" applyAlignment="1">
      <alignment vertical="center" wrapText="1"/>
    </xf>
    <xf numFmtId="0" fontId="2" fillId="0" borderId="3" xfId="0" applyFont="1" applyBorder="1" applyAlignment="1">
      <alignment horizontal="center" vertical="center" wrapText="1"/>
    </xf>
    <xf numFmtId="0" fontId="2" fillId="7" borderId="3" xfId="0" applyFont="1" applyFill="1" applyBorder="1" applyAlignment="1">
      <alignment horizontal="center" vertical="center" wrapText="1"/>
    </xf>
    <xf numFmtId="0" fontId="0" fillId="0" borderId="0" xfId="0" applyFont="1" applyAlignment="1">
      <alignment vertical="center" wrapText="1"/>
    </xf>
    <xf numFmtId="0" fontId="0" fillId="0" borderId="0" xfId="0" applyFont="1" applyAlignment="1">
      <alignment horizontal="center" vertical="center" wrapText="1"/>
    </xf>
    <xf numFmtId="0" fontId="0" fillId="7" borderId="0" xfId="0" applyFont="1" applyFill="1" applyAlignment="1">
      <alignment horizontal="center" vertical="center" wrapText="1"/>
    </xf>
    <xf numFmtId="0" fontId="0" fillId="0" borderId="0" xfId="0" applyFont="1" applyAlignment="1">
      <alignment horizontal="center" vertical="center"/>
    </xf>
    <xf numFmtId="0" fontId="0" fillId="7" borderId="0" xfId="0" applyFont="1" applyFill="1" applyAlignment="1">
      <alignment horizontal="center" vertical="center"/>
    </xf>
    <xf numFmtId="0" fontId="0" fillId="0" borderId="4" xfId="0" applyFont="1" applyBorder="1" applyAlignment="1">
      <alignment horizontal="center" vertical="center" wrapText="1"/>
    </xf>
    <xf numFmtId="0" fontId="0" fillId="7" borderId="4" xfId="0" applyFont="1" applyFill="1" applyBorder="1" applyAlignment="1">
      <alignment horizontal="center" vertical="center" wrapText="1"/>
    </xf>
    <xf numFmtId="0" fontId="0" fillId="0" borderId="4" xfId="0" applyFont="1" applyBorder="1" applyAlignment="1">
      <alignment horizontal="center" vertical="center"/>
    </xf>
    <xf numFmtId="0" fontId="0" fillId="7" borderId="4" xfId="0" applyFont="1" applyFill="1" applyBorder="1" applyAlignment="1">
      <alignment horizontal="center" vertical="center"/>
    </xf>
    <xf numFmtId="0" fontId="2" fillId="0" borderId="4" xfId="0" applyFont="1" applyBorder="1" applyAlignment="1">
      <alignment horizontal="center" vertical="center" wrapText="1"/>
    </xf>
    <xf numFmtId="0" fontId="2" fillId="7" borderId="4" xfId="0" applyFont="1" applyFill="1" applyBorder="1" applyAlignment="1">
      <alignment horizontal="center" vertical="center" wrapText="1"/>
    </xf>
    <xf numFmtId="0" fontId="2" fillId="0" borderId="4" xfId="0" applyFont="1" applyBorder="1" applyAlignment="1">
      <alignment horizontal="center" vertical="center"/>
    </xf>
    <xf numFmtId="0" fontId="2" fillId="7" borderId="4" xfId="0" applyFont="1" applyFill="1" applyBorder="1" applyAlignment="1">
      <alignment horizontal="center" vertical="center"/>
    </xf>
    <xf numFmtId="0" fontId="0" fillId="0" borderId="0" xfId="0" applyFont="1" applyFill="1" applyBorder="1" applyAlignment="1">
      <alignment vertical="center" wrapText="1"/>
    </xf>
    <xf numFmtId="0" fontId="0" fillId="0" borderId="0" xfId="0" applyFont="1" applyFill="1" applyBorder="1" applyAlignment="1">
      <alignment horizontal="center" vertical="center" wrapText="1"/>
    </xf>
    <xf numFmtId="0" fontId="0" fillId="7" borderId="0" xfId="0" applyFont="1" applyFill="1" applyBorder="1" applyAlignment="1">
      <alignment horizontal="center" vertical="center" wrapText="1"/>
    </xf>
    <xf numFmtId="0" fontId="0" fillId="0" borderId="0" xfId="0" applyFont="1" applyFill="1" applyBorder="1" applyAlignment="1">
      <alignment horizontal="center" vertical="center"/>
    </xf>
    <xf numFmtId="0" fontId="0" fillId="7" borderId="0" xfId="0" applyFont="1" applyFill="1"/>
    <xf numFmtId="0" fontId="0" fillId="0" borderId="0" xfId="0" applyAlignment="1">
      <alignment vertical="top"/>
    </xf>
    <xf numFmtId="14" fontId="0" fillId="0" borderId="0" xfId="0" applyNumberFormat="1"/>
    <xf numFmtId="0" fontId="0" fillId="0" borderId="5" xfId="0" applyBorder="1"/>
    <xf numFmtId="0" fontId="2" fillId="0" borderId="5" xfId="0" applyFont="1" applyBorder="1"/>
    <xf numFmtId="0" fontId="2" fillId="0" borderId="6" xfId="0" applyFont="1" applyBorder="1" applyAlignment="1">
      <alignment vertical="center" wrapText="1"/>
    </xf>
    <xf numFmtId="0" fontId="0" fillId="0" borderId="5" xfId="0" applyFont="1" applyBorder="1" applyAlignment="1">
      <alignment vertical="center" wrapText="1"/>
    </xf>
    <xf numFmtId="0" fontId="0" fillId="0" borderId="7" xfId="0" applyFont="1" applyBorder="1" applyAlignment="1">
      <alignment vertical="center" wrapText="1"/>
    </xf>
    <xf numFmtId="0" fontId="2" fillId="0" borderId="7" xfId="0" applyFont="1" applyBorder="1" applyAlignment="1">
      <alignment vertical="center" wrapText="1"/>
    </xf>
    <xf numFmtId="0" fontId="0" fillId="0" borderId="5" xfId="0" applyFont="1" applyFill="1" applyBorder="1" applyAlignment="1">
      <alignment vertical="center" wrapText="1"/>
    </xf>
    <xf numFmtId="16" fontId="0" fillId="0" borderId="0" xfId="0" applyNumberFormat="1"/>
    <xf numFmtId="0" fontId="0" fillId="7" borderId="0" xfId="0" applyFill="1"/>
    <xf numFmtId="0" fontId="3" fillId="0" borderId="0" xfId="1" applyAlignment="1"/>
    <xf numFmtId="164" fontId="0" fillId="0" borderId="0" xfId="0" applyNumberFormat="1"/>
    <xf numFmtId="1" fontId="0" fillId="0" borderId="0" xfId="0" applyNumberFormat="1"/>
    <xf numFmtId="164" fontId="4" fillId="0" borderId="0" xfId="0" applyNumberFormat="1" applyFont="1"/>
    <xf numFmtId="164" fontId="2" fillId="0" borderId="0" xfId="0" applyNumberFormat="1" applyFont="1"/>
    <xf numFmtId="0" fontId="2" fillId="0" borderId="0" xfId="0" applyFont="1" applyAlignment="1"/>
    <xf numFmtId="0" fontId="2" fillId="0" borderId="0" xfId="0" applyFont="1" applyFill="1" applyBorder="1"/>
    <xf numFmtId="2" fontId="0" fillId="0" borderId="0" xfId="0" applyNumberFormat="1"/>
    <xf numFmtId="0" fontId="0" fillId="0" borderId="0" xfId="0" applyFont="1" applyAlignment="1">
      <alignment horizontal="center" wrapText="1"/>
    </xf>
    <xf numFmtId="2" fontId="6" fillId="0" borderId="0" xfId="2" applyNumberFormat="1"/>
  </cellXfs>
  <cellStyles count="4">
    <cellStyle name="Good" xfId="3" builtinId="26"/>
    <cellStyle name="Hyperlink" xfId="1" builtinId="8"/>
    <cellStyle name="Normal" xfId="0" builtinId="0"/>
    <cellStyle name="Normal 2" xfId="2" xr:uid="{FAA506AC-9402-469F-BDFF-9C27A9021A9F}"/>
  </cellStyles>
  <dxfs count="13">
    <dxf>
      <fill>
        <patternFill>
          <bgColor rgb="FF92D050"/>
        </patternFill>
      </fill>
    </dxf>
    <dxf>
      <fill>
        <patternFill>
          <bgColor rgb="FFFF0000"/>
        </patternFill>
      </fill>
    </dxf>
    <dxf>
      <fill>
        <patternFill>
          <bgColor rgb="FF92D050"/>
        </patternFill>
      </fill>
    </dxf>
    <dxf>
      <fill>
        <patternFill>
          <bgColor rgb="FFFF0000"/>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pieChart>
        <c:varyColors val="1"/>
        <c:ser>
          <c:idx val="0"/>
          <c:order val="0"/>
          <c:tx>
            <c:strRef>
              <c:f>'cement feedstock'!$B$1</c:f>
              <c:strCache>
                <c:ptCount val="1"/>
                <c:pt idx="0">
                  <c:v>CEM I</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5B7-40D0-9A70-3E08FD5881B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5B7-40D0-9A70-3E08FD5881B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5B7-40D0-9A70-3E08FD5881BE}"/>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15B7-40D0-9A70-3E08FD5881BE}"/>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15B7-40D0-9A70-3E08FD5881BE}"/>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15B7-40D0-9A70-3E08FD5881BE}"/>
              </c:ext>
            </c:extLst>
          </c:dPt>
          <c:cat>
            <c:strRef>
              <c:f>'cement feedstock'!$A$2:$A$7</c:f>
              <c:strCache>
                <c:ptCount val="6"/>
                <c:pt idx="0">
                  <c:v>clinker</c:v>
                </c:pt>
                <c:pt idx="1">
                  <c:v>limestone excl. clinker</c:v>
                </c:pt>
                <c:pt idx="2">
                  <c:v>SCM excl. BF slag and limestone</c:v>
                </c:pt>
                <c:pt idx="3">
                  <c:v>BF slag</c:v>
                </c:pt>
                <c:pt idx="4">
                  <c:v>other</c:v>
                </c:pt>
                <c:pt idx="5">
                  <c:v>calcinated clays</c:v>
                </c:pt>
              </c:strCache>
            </c:strRef>
          </c:cat>
          <c:val>
            <c:numRef>
              <c:f>'cement feedstock'!$B$2:$B$7</c:f>
              <c:numCache>
                <c:formatCode>General</c:formatCode>
                <c:ptCount val="6"/>
                <c:pt idx="0">
                  <c:v>0.95</c:v>
                </c:pt>
                <c:pt idx="1">
                  <c:v>0</c:v>
                </c:pt>
                <c:pt idx="2">
                  <c:v>0</c:v>
                </c:pt>
                <c:pt idx="3">
                  <c:v>0</c:v>
                </c:pt>
                <c:pt idx="4">
                  <c:v>0.05</c:v>
                </c:pt>
                <c:pt idx="5">
                  <c:v>0</c:v>
                </c:pt>
              </c:numCache>
            </c:numRef>
          </c:val>
          <c:extLst>
            <c:ext xmlns:c16="http://schemas.microsoft.com/office/drawing/2014/chart" uri="{C3380CC4-5D6E-409C-BE32-E72D297353CC}">
              <c16:uniqueId val="{00000000-D0F2-4B73-ADF3-7B764BADD7C5}"/>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pieChart>
        <c:varyColors val="1"/>
        <c:ser>
          <c:idx val="0"/>
          <c:order val="0"/>
          <c:tx>
            <c:strRef>
              <c:f>'cement feedstock'!$C$1</c:f>
              <c:strCache>
                <c:ptCount val="1"/>
                <c:pt idx="0">
                  <c:v>CEM II/C-M</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39F-422D-ADF3-227097371C1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39F-422D-ADF3-227097371C1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39F-422D-ADF3-227097371C11}"/>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A39F-422D-ADF3-227097371C11}"/>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A39F-422D-ADF3-227097371C11}"/>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A39F-422D-ADF3-227097371C11}"/>
              </c:ext>
            </c:extLst>
          </c:dPt>
          <c:cat>
            <c:strRef>
              <c:f>'cement feedstock'!$A$2:$A$7</c:f>
              <c:strCache>
                <c:ptCount val="6"/>
                <c:pt idx="0">
                  <c:v>clinker</c:v>
                </c:pt>
                <c:pt idx="1">
                  <c:v>limestone excl. clinker</c:v>
                </c:pt>
                <c:pt idx="2">
                  <c:v>SCM excl. BF slag and limestone</c:v>
                </c:pt>
                <c:pt idx="3">
                  <c:v>BF slag</c:v>
                </c:pt>
                <c:pt idx="4">
                  <c:v>other</c:v>
                </c:pt>
                <c:pt idx="5">
                  <c:v>calcinated clays</c:v>
                </c:pt>
              </c:strCache>
            </c:strRef>
          </c:cat>
          <c:val>
            <c:numRef>
              <c:f>'cement feedstock'!$C$2:$C$7</c:f>
              <c:numCache>
                <c:formatCode>General</c:formatCode>
                <c:ptCount val="6"/>
                <c:pt idx="0">
                  <c:v>0.5</c:v>
                </c:pt>
                <c:pt idx="1">
                  <c:v>0.2</c:v>
                </c:pt>
                <c:pt idx="2">
                  <c:v>0.25</c:v>
                </c:pt>
                <c:pt idx="3">
                  <c:v>0</c:v>
                </c:pt>
                <c:pt idx="4">
                  <c:v>0.05</c:v>
                </c:pt>
                <c:pt idx="5">
                  <c:v>0</c:v>
                </c:pt>
              </c:numCache>
            </c:numRef>
          </c:val>
          <c:extLst>
            <c:ext xmlns:c16="http://schemas.microsoft.com/office/drawing/2014/chart" uri="{C3380CC4-5D6E-409C-BE32-E72D297353CC}">
              <c16:uniqueId val="{00000000-3865-4734-8F51-EDC6284A2276}"/>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pieChart>
        <c:varyColors val="1"/>
        <c:ser>
          <c:idx val="0"/>
          <c:order val="0"/>
          <c:tx>
            <c:strRef>
              <c:f>'cement feedstock'!$D$1</c:f>
              <c:strCache>
                <c:ptCount val="1"/>
                <c:pt idx="0">
                  <c:v>CEM II/AB-M</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D6E-4BBA-A05F-6AE055D3A66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D6E-4BBA-A05F-6AE055D3A66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D6E-4BBA-A05F-6AE055D3A66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AD6E-4BBA-A05F-6AE055D3A663}"/>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AD6E-4BBA-A05F-6AE055D3A663}"/>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AD6E-4BBA-A05F-6AE055D3A663}"/>
              </c:ext>
            </c:extLst>
          </c:dPt>
          <c:cat>
            <c:strRef>
              <c:f>'cement feedstock'!$A$2:$A$7</c:f>
              <c:strCache>
                <c:ptCount val="6"/>
                <c:pt idx="0">
                  <c:v>clinker</c:v>
                </c:pt>
                <c:pt idx="1">
                  <c:v>limestone excl. clinker</c:v>
                </c:pt>
                <c:pt idx="2">
                  <c:v>SCM excl. BF slag and limestone</c:v>
                </c:pt>
                <c:pt idx="3">
                  <c:v>BF slag</c:v>
                </c:pt>
                <c:pt idx="4">
                  <c:v>other</c:v>
                </c:pt>
                <c:pt idx="5">
                  <c:v>calcinated clays</c:v>
                </c:pt>
              </c:strCache>
            </c:strRef>
          </c:cat>
          <c:val>
            <c:numRef>
              <c:f>'cement feedstock'!$D$2:$D$7</c:f>
              <c:numCache>
                <c:formatCode>General</c:formatCode>
                <c:ptCount val="6"/>
                <c:pt idx="0">
                  <c:v>0.74499999999999988</c:v>
                </c:pt>
                <c:pt idx="1">
                  <c:v>0</c:v>
                </c:pt>
                <c:pt idx="2">
                  <c:v>0.20499999999999999</c:v>
                </c:pt>
                <c:pt idx="3">
                  <c:v>0</c:v>
                </c:pt>
                <c:pt idx="4">
                  <c:v>0.05</c:v>
                </c:pt>
                <c:pt idx="5">
                  <c:v>0</c:v>
                </c:pt>
              </c:numCache>
            </c:numRef>
          </c:val>
          <c:extLst>
            <c:ext xmlns:c16="http://schemas.microsoft.com/office/drawing/2014/chart" uri="{C3380CC4-5D6E-409C-BE32-E72D297353CC}">
              <c16:uniqueId val="{00000000-311E-431D-A0A5-57FAB6F896C7}"/>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pieChart>
        <c:varyColors val="1"/>
        <c:ser>
          <c:idx val="0"/>
          <c:order val="0"/>
          <c:tx>
            <c:strRef>
              <c:f>'cement feedstock'!$F$1</c:f>
              <c:strCache>
                <c:ptCount val="1"/>
                <c:pt idx="0">
                  <c:v>CEM II C/ Q-L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929-422F-BF2C-9EE13783A0B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929-422F-BF2C-9EE13783A0B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929-422F-BF2C-9EE13783A0B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E929-422F-BF2C-9EE13783A0B0}"/>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E929-422F-BF2C-9EE13783A0B0}"/>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E929-422F-BF2C-9EE13783A0B0}"/>
              </c:ext>
            </c:extLst>
          </c:dPt>
          <c:cat>
            <c:strRef>
              <c:f>'cement feedstock'!$A$2:$A$7</c:f>
              <c:strCache>
                <c:ptCount val="6"/>
                <c:pt idx="0">
                  <c:v>clinker</c:v>
                </c:pt>
                <c:pt idx="1">
                  <c:v>limestone excl. clinker</c:v>
                </c:pt>
                <c:pt idx="2">
                  <c:v>SCM excl. BF slag and limestone</c:v>
                </c:pt>
                <c:pt idx="3">
                  <c:v>BF slag</c:v>
                </c:pt>
                <c:pt idx="4">
                  <c:v>other</c:v>
                </c:pt>
                <c:pt idx="5">
                  <c:v>calcinated clays</c:v>
                </c:pt>
              </c:strCache>
            </c:strRef>
          </c:cat>
          <c:val>
            <c:numRef>
              <c:f>'cement feedstock'!$F$2:$F$7</c:f>
              <c:numCache>
                <c:formatCode>General</c:formatCode>
                <c:ptCount val="6"/>
                <c:pt idx="0">
                  <c:v>0.5</c:v>
                </c:pt>
                <c:pt idx="1">
                  <c:v>0.15</c:v>
                </c:pt>
                <c:pt idx="2">
                  <c:v>0</c:v>
                </c:pt>
                <c:pt idx="3">
                  <c:v>0</c:v>
                </c:pt>
                <c:pt idx="4">
                  <c:v>0.05</c:v>
                </c:pt>
                <c:pt idx="5">
                  <c:v>0.3</c:v>
                </c:pt>
              </c:numCache>
            </c:numRef>
          </c:val>
          <c:extLst>
            <c:ext xmlns:c16="http://schemas.microsoft.com/office/drawing/2014/chart" uri="{C3380CC4-5D6E-409C-BE32-E72D297353CC}">
              <c16:uniqueId val="{00000000-924F-4BA4-95F9-EE8AC50C98F9}"/>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8</xdr:col>
      <xdr:colOff>171450</xdr:colOff>
      <xdr:row>1</xdr:row>
      <xdr:rowOff>15240</xdr:rowOff>
    </xdr:from>
    <xdr:to>
      <xdr:col>13</xdr:col>
      <xdr:colOff>342900</xdr:colOff>
      <xdr:row>17</xdr:row>
      <xdr:rowOff>110490</xdr:rowOff>
    </xdr:to>
    <xdr:graphicFrame macro="">
      <xdr:nvGraphicFramePr>
        <xdr:cNvPr id="2" name="Chart 1">
          <a:extLst>
            <a:ext uri="{FF2B5EF4-FFF2-40B4-BE49-F238E27FC236}">
              <a16:creationId xmlns:a16="http://schemas.microsoft.com/office/drawing/2014/main" id="{4C99A8B9-705B-4AF6-A9EC-FCC31B99C7A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419100</xdr:colOff>
      <xdr:row>1</xdr:row>
      <xdr:rowOff>30480</xdr:rowOff>
    </xdr:from>
    <xdr:to>
      <xdr:col>19</xdr:col>
      <xdr:colOff>323850</xdr:colOff>
      <xdr:row>17</xdr:row>
      <xdr:rowOff>121920</xdr:rowOff>
    </xdr:to>
    <xdr:graphicFrame macro="">
      <xdr:nvGraphicFramePr>
        <xdr:cNvPr id="3" name="Chart 2">
          <a:extLst>
            <a:ext uri="{FF2B5EF4-FFF2-40B4-BE49-F238E27FC236}">
              <a16:creationId xmlns:a16="http://schemas.microsoft.com/office/drawing/2014/main" id="{1776B39D-AB64-49C2-8F08-628125588C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567690</xdr:colOff>
      <xdr:row>8</xdr:row>
      <xdr:rowOff>64770</xdr:rowOff>
    </xdr:from>
    <xdr:to>
      <xdr:col>14</xdr:col>
      <xdr:colOff>95250</xdr:colOff>
      <xdr:row>23</xdr:row>
      <xdr:rowOff>64770</xdr:rowOff>
    </xdr:to>
    <xdr:graphicFrame macro="">
      <xdr:nvGraphicFramePr>
        <xdr:cNvPr id="4" name="Chart 3">
          <a:extLst>
            <a:ext uri="{FF2B5EF4-FFF2-40B4-BE49-F238E27FC236}">
              <a16:creationId xmlns:a16="http://schemas.microsoft.com/office/drawing/2014/main" id="{622FD4D5-8148-4F94-B4C8-4A83D4B7E57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232410</xdr:colOff>
      <xdr:row>5</xdr:row>
      <xdr:rowOff>91440</xdr:rowOff>
    </xdr:from>
    <xdr:to>
      <xdr:col>13</xdr:col>
      <xdr:colOff>209550</xdr:colOff>
      <xdr:row>20</xdr:row>
      <xdr:rowOff>91440</xdr:rowOff>
    </xdr:to>
    <xdr:graphicFrame macro="">
      <xdr:nvGraphicFramePr>
        <xdr:cNvPr id="5" name="Chart 4">
          <a:extLst>
            <a:ext uri="{FF2B5EF4-FFF2-40B4-BE49-F238E27FC236}">
              <a16:creationId xmlns:a16="http://schemas.microsoft.com/office/drawing/2014/main" id="{E7A45A5F-8E0F-4629-8218-19B1AEB2A4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Celia/Documents/Industry%20Decarbonisation/Industrie%20Paper/Chemie/Master%20template%20-%20python%20cop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Tech Desc and Dates - All"/>
      <sheetName val="Tech Origin-Destination - All"/>
      <sheetName val="Emissions"/>
      <sheetName val="Prices and Availability"/>
      <sheetName val="Unit conversion"/>
      <sheetName val="Multi chemicals ratios"/>
      <sheetName val="Decommission"/>
      <sheetName val="Emissions share"/>
      <sheetName val="Sheet1"/>
      <sheetName val="Values - Ammonia"/>
      <sheetName val="Values - Ammonium Nitrate"/>
      <sheetName val="Values - Urea"/>
      <sheetName val="Values - Ethylene"/>
      <sheetName val="Values - Methanol"/>
      <sheetName val="Values - Benzene"/>
      <sheetName val="Values - Propylene"/>
      <sheetName val="Values - Toluene"/>
      <sheetName val="Values - Xylene"/>
      <sheetName val="Values - Butadiene"/>
      <sheetName val="Sub-model and extra info --&gt;"/>
      <sheetName val="Lists"/>
      <sheetName val="Pivots for error checking"/>
      <sheetName val="Direct RES - CAPEX"/>
      <sheetName val="Power"/>
      <sheetName val="MeOH_Gasification cross-check"/>
      <sheetName val="Upstream scope 3 emissions"/>
      <sheetName val="Green Capex breakdown"/>
      <sheetName val="Hydrogen"/>
      <sheetName val="Demand"/>
      <sheetName val="Bio"/>
      <sheetName val="MeOH_Feedstock_Energy split"/>
      <sheetName val="MeOH_Co-feed hydrogen"/>
      <sheetName val="MeOH_SMR CCS &amp; synthesis plant"/>
      <sheetName val="MeOH_CCS sub-model"/>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pubs.usgs.gov/periodicals/mcs2023/mcs2023.pdf" TargetMode="External"/><Relationship Id="rId13" Type="http://schemas.openxmlformats.org/officeDocument/2006/relationships/hyperlink" Target="https://pubs.usgs.gov/periodicals/mcs2023/mcs2023.pdf" TargetMode="External"/><Relationship Id="rId3" Type="http://schemas.openxmlformats.org/officeDocument/2006/relationships/hyperlink" Target="https://papers.ssrn.com/sol3/papers.cfm?abstract_id=3816593" TargetMode="External"/><Relationship Id="rId7" Type="http://schemas.openxmlformats.org/officeDocument/2006/relationships/hyperlink" Target="https://pubs.usgs.gov/periodicals/mcs2023/mcs2023.pdf" TargetMode="External"/><Relationship Id="rId12" Type="http://schemas.openxmlformats.org/officeDocument/2006/relationships/hyperlink" Target="https://pubs.usgs.gov/periodicals/mcs2023/mcs2023.pdf" TargetMode="External"/><Relationship Id="rId2" Type="http://schemas.openxmlformats.org/officeDocument/2006/relationships/hyperlink" Target="https://papers.ssrn.com/sol3/papers.cfm?abstract_id=3816593" TargetMode="External"/><Relationship Id="rId1" Type="http://schemas.openxmlformats.org/officeDocument/2006/relationships/hyperlink" Target="https://papers.ssrn.com/sol3/papers.cfm?abstract_id=3816593" TargetMode="External"/><Relationship Id="rId6" Type="http://schemas.openxmlformats.org/officeDocument/2006/relationships/hyperlink" Target="https://pubs.usgs.gov/periodicals/mcs2023/mcs2023.pdf" TargetMode="External"/><Relationship Id="rId11" Type="http://schemas.openxmlformats.org/officeDocument/2006/relationships/hyperlink" Target="https://pubs.usgs.gov/periodicals/mcs2023/mcs2023.pdf" TargetMode="External"/><Relationship Id="rId5" Type="http://schemas.openxmlformats.org/officeDocument/2006/relationships/hyperlink" Target="https://pubs.usgs.gov/periodicals/mcs2023/mcs2023.pdf" TargetMode="External"/><Relationship Id="rId10" Type="http://schemas.openxmlformats.org/officeDocument/2006/relationships/hyperlink" Target="https://pubs.usgs.gov/periodicals/mcs2023/mcs2023.pdf" TargetMode="External"/><Relationship Id="rId4" Type="http://schemas.openxmlformats.org/officeDocument/2006/relationships/hyperlink" Target="https://papers.ssrn.com/sol3/papers.cfm?abstract_id=3816593" TargetMode="External"/><Relationship Id="rId9" Type="http://schemas.openxmlformats.org/officeDocument/2006/relationships/hyperlink" Target="https://pubs.usgs.gov/periodicals/mcs2023/mcs2023.pdf" TargetMode="External"/></Relationships>
</file>

<file path=xl/worksheets/_rels/sheet10.xml.rels><?xml version="1.0" encoding="UTF-8" standalone="yes"?>
<Relationships xmlns="http://schemas.openxmlformats.org/package/2006/relationships"><Relationship Id="rId3" Type="http://schemas.openxmlformats.org/officeDocument/2006/relationships/hyperlink" Target="https://www.bkv-gmbh.de/files/bkv-neu/studien/Kurzfassung_Stoffstrombild_2021_13102022_1%20.pdf" TargetMode="External"/><Relationship Id="rId2" Type="http://schemas.openxmlformats.org/officeDocument/2006/relationships/hyperlink" Target="https://plasticseurope.org/wp-content/uploads/2023/02/PlasticsEurope-National_ALL.pdf" TargetMode="External"/><Relationship Id="rId1" Type="http://schemas.openxmlformats.org/officeDocument/2006/relationships/hyperlink" Target="https://www.recovery-worldwide.com/de/artikel/entwicklungsstand-beim-recycling-von-kunststoff-3801128.html" TargetMode="External"/><Relationship Id="rId4" Type="http://schemas.openxmlformats.org/officeDocument/2006/relationships/printerSettings" Target="../printerSettings/printerSettings3.bin"/></Relationships>
</file>

<file path=xl/worksheets/_rels/sheet11.xml.rels><?xml version="1.0" encoding="UTF-8" standalone="yes"?>
<Relationships xmlns="http://schemas.openxmlformats.org/package/2006/relationships"><Relationship Id="rId3" Type="http://schemas.openxmlformats.org/officeDocument/2006/relationships/hyperlink" Target="https://doi.org/10.1016/j.wasman.2024.01.035" TargetMode="External"/><Relationship Id="rId2" Type="http://schemas.openxmlformats.org/officeDocument/2006/relationships/hyperlink" Target="https://doi.org/10.3390/su141710913" TargetMode="External"/><Relationship Id="rId1" Type="http://schemas.openxmlformats.org/officeDocument/2006/relationships/hyperlink" Target="https://www.duncanseddon.com/docs/pdf/steam-cracking-operations-forum-docs.pdf" TargetMode="External"/></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4.bin"/><Relationship Id="rId1" Type="http://schemas.openxmlformats.org/officeDocument/2006/relationships/hyperlink" Target="https://www.vdz-online.de/fileadmin/wissensportal/publikationen/basiswissen/zement-merkblaetter/B1.pdf" TargetMode="External"/></Relationships>
</file>

<file path=xl/worksheets/_rels/sheet3.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Industrie%20Paper\Chemie\final-c4c-broschure-langfassung.pdf" TargetMode="External"/><Relationship Id="rId7" Type="http://schemas.openxmlformats.org/officeDocument/2006/relationships/hyperlink" Target="..\Industrie%20Paper\Chemie\final-c4c-broschure-langfassung.pdf" TargetMode="External"/><Relationship Id="rId2" Type="http://schemas.openxmlformats.org/officeDocument/2006/relationships/hyperlink" Target="..\Industrie%20Paper\Chemie\final-c4c-broschure-langfassung.pdf" TargetMode="External"/><Relationship Id="rId1" Type="http://schemas.openxmlformats.org/officeDocument/2006/relationships/hyperlink" Target="..\Industrie%20Paper\Chemie\final-c4c-broschure-langfassung.pdf" TargetMode="External"/><Relationship Id="rId6" Type="http://schemas.openxmlformats.org/officeDocument/2006/relationships/hyperlink" Target="..\Industrie%20Paper\Chemie\final-c4c-broschure-langfassung.pdf" TargetMode="External"/><Relationship Id="rId5" Type="http://schemas.openxmlformats.org/officeDocument/2006/relationships/hyperlink" Target="..\Industrie%20Paper\Chemie\final-c4c-broschure-langfassung.pdf" TargetMode="External"/><Relationship Id="rId4" Type="http://schemas.openxmlformats.org/officeDocument/2006/relationships/hyperlink" Target="..\Industrie%20Paper\Chemie\final-c4c-broschure-langfassung.pdf"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F80F0E-F64F-4F2A-9CAA-B3599CBF7534}">
  <dimension ref="A1:H109"/>
  <sheetViews>
    <sheetView workbookViewId="0">
      <selection activeCell="G107" sqref="G107"/>
    </sheetView>
  </sheetViews>
  <sheetFormatPr defaultRowHeight="15" x14ac:dyDescent="0.25"/>
  <sheetData>
    <row r="1" spans="1:8" x14ac:dyDescent="0.25">
      <c r="A1" s="6" t="s">
        <v>48</v>
      </c>
      <c r="B1" s="6" t="s">
        <v>49</v>
      </c>
      <c r="C1" s="6" t="s">
        <v>22</v>
      </c>
      <c r="D1" s="6" t="s">
        <v>50</v>
      </c>
      <c r="E1" s="6" t="s">
        <v>51</v>
      </c>
      <c r="F1" s="6" t="s">
        <v>26</v>
      </c>
      <c r="G1" s="6" t="s">
        <v>52</v>
      </c>
      <c r="H1" s="6" t="s">
        <v>53</v>
      </c>
    </row>
    <row r="2" spans="1:8" x14ac:dyDescent="0.25">
      <c r="A2" t="s">
        <v>0</v>
      </c>
      <c r="B2">
        <v>60</v>
      </c>
      <c r="C2" t="s">
        <v>54</v>
      </c>
      <c r="D2" t="s">
        <v>230</v>
      </c>
      <c r="E2">
        <v>75</v>
      </c>
      <c r="F2" t="s">
        <v>55</v>
      </c>
    </row>
    <row r="3" spans="1:8" x14ac:dyDescent="0.25">
      <c r="A3" t="s">
        <v>1</v>
      </c>
      <c r="B3">
        <v>110</v>
      </c>
      <c r="C3" t="s">
        <v>56</v>
      </c>
      <c r="D3" t="s">
        <v>230</v>
      </c>
      <c r="E3">
        <v>75</v>
      </c>
      <c r="F3" t="s">
        <v>55</v>
      </c>
    </row>
    <row r="4" spans="1:8" x14ac:dyDescent="0.25">
      <c r="A4" t="s">
        <v>57</v>
      </c>
      <c r="B4">
        <v>200</v>
      </c>
      <c r="C4" t="s">
        <v>56</v>
      </c>
      <c r="D4" t="s">
        <v>230</v>
      </c>
      <c r="E4">
        <v>75</v>
      </c>
      <c r="F4" t="s">
        <v>55</v>
      </c>
    </row>
    <row r="5" spans="1:8" x14ac:dyDescent="0.25">
      <c r="A5" t="s">
        <v>2</v>
      </c>
      <c r="B5">
        <v>7</v>
      </c>
      <c r="C5" t="s">
        <v>56</v>
      </c>
      <c r="D5" t="s">
        <v>230</v>
      </c>
      <c r="F5" t="s">
        <v>58</v>
      </c>
    </row>
    <row r="6" spans="1:8" x14ac:dyDescent="0.25">
      <c r="A6" t="s">
        <v>3</v>
      </c>
      <c r="B6">
        <v>35</v>
      </c>
      <c r="C6" t="s">
        <v>56</v>
      </c>
      <c r="D6" t="s">
        <v>230</v>
      </c>
      <c r="E6">
        <v>75</v>
      </c>
      <c r="F6" t="s">
        <v>55</v>
      </c>
    </row>
    <row r="7" spans="1:8" x14ac:dyDescent="0.25">
      <c r="A7" t="s">
        <v>59</v>
      </c>
      <c r="B7">
        <v>51</v>
      </c>
      <c r="C7" t="s">
        <v>56</v>
      </c>
      <c r="D7" t="s">
        <v>230</v>
      </c>
      <c r="E7">
        <v>75</v>
      </c>
      <c r="F7" t="s">
        <v>55</v>
      </c>
    </row>
    <row r="8" spans="1:8" x14ac:dyDescent="0.25">
      <c r="A8" s="7" t="s">
        <v>4</v>
      </c>
      <c r="B8">
        <v>140</v>
      </c>
      <c r="C8" t="s">
        <v>56</v>
      </c>
      <c r="D8" t="s">
        <v>230</v>
      </c>
      <c r="E8">
        <v>26</v>
      </c>
      <c r="F8" t="s">
        <v>55</v>
      </c>
      <c r="G8" t="s">
        <v>60</v>
      </c>
    </row>
    <row r="9" spans="1:8" x14ac:dyDescent="0.25">
      <c r="A9" t="s">
        <v>62</v>
      </c>
      <c r="B9">
        <v>25</v>
      </c>
      <c r="C9" t="s">
        <v>56</v>
      </c>
      <c r="D9" t="s">
        <v>61</v>
      </c>
      <c r="E9" t="s">
        <v>63</v>
      </c>
      <c r="F9" t="s">
        <v>64</v>
      </c>
    </row>
    <row r="10" spans="1:8" x14ac:dyDescent="0.25">
      <c r="A10" t="s">
        <v>1</v>
      </c>
      <c r="B10">
        <f>B3/'additional data'!C4</f>
        <v>13.647642679900743</v>
      </c>
      <c r="C10" t="s">
        <v>67</v>
      </c>
      <c r="D10" t="s">
        <v>61</v>
      </c>
      <c r="E10" t="s">
        <v>54</v>
      </c>
    </row>
    <row r="11" spans="1:8" x14ac:dyDescent="0.25">
      <c r="A11" t="s">
        <v>57</v>
      </c>
      <c r="B11">
        <f>B4/'additional data'!C5</f>
        <v>24.813895781637715</v>
      </c>
      <c r="C11" t="s">
        <v>54</v>
      </c>
      <c r="D11" t="s">
        <v>61</v>
      </c>
      <c r="E11" t="s">
        <v>54</v>
      </c>
    </row>
    <row r="12" spans="1:8" x14ac:dyDescent="0.25">
      <c r="A12" t="s">
        <v>2</v>
      </c>
      <c r="B12">
        <f>B5/'additional data'!C6</f>
        <v>1.4</v>
      </c>
      <c r="C12" t="s">
        <v>54</v>
      </c>
      <c r="D12" t="s">
        <v>61</v>
      </c>
      <c r="E12" t="s">
        <v>54</v>
      </c>
      <c r="F12" t="s">
        <v>71</v>
      </c>
    </row>
    <row r="13" spans="1:8" x14ac:dyDescent="0.25">
      <c r="A13" s="8" t="s">
        <v>74</v>
      </c>
      <c r="B13" s="26">
        <v>35.799999999999997</v>
      </c>
      <c r="C13" s="8" t="s">
        <v>75</v>
      </c>
      <c r="D13" s="8" t="s">
        <v>76</v>
      </c>
      <c r="E13" s="8" t="s">
        <v>77</v>
      </c>
      <c r="F13" s="27" t="s">
        <v>78</v>
      </c>
      <c r="G13" s="28" t="s">
        <v>79</v>
      </c>
      <c r="H13" s="26">
        <v>35.799999999999997</v>
      </c>
    </row>
    <row r="14" spans="1:8" x14ac:dyDescent="0.25">
      <c r="A14" s="8" t="s">
        <v>80</v>
      </c>
      <c r="B14" s="26">
        <v>11.814</v>
      </c>
      <c r="C14" s="8" t="s">
        <v>75</v>
      </c>
      <c r="D14" s="8" t="s">
        <v>76</v>
      </c>
      <c r="E14" s="8" t="s">
        <v>81</v>
      </c>
      <c r="F14" s="27" t="s">
        <v>78</v>
      </c>
      <c r="G14" s="28" t="s">
        <v>79</v>
      </c>
      <c r="H14" s="26">
        <v>11.814</v>
      </c>
    </row>
    <row r="15" spans="1:8" x14ac:dyDescent="0.25">
      <c r="A15" s="8" t="s">
        <v>3</v>
      </c>
      <c r="B15" s="29">
        <v>3.3342281306559314</v>
      </c>
      <c r="C15" s="8" t="s">
        <v>82</v>
      </c>
      <c r="D15" s="8" t="s">
        <v>76</v>
      </c>
      <c r="E15" s="8" t="s">
        <v>83</v>
      </c>
      <c r="F15" s="30"/>
      <c r="G15" s="28" t="s">
        <v>79</v>
      </c>
      <c r="H15" s="29">
        <v>7.7251184834123245</v>
      </c>
    </row>
    <row r="16" spans="1:8" x14ac:dyDescent="0.25">
      <c r="A16" s="8" t="s">
        <v>6</v>
      </c>
      <c r="B16" s="29">
        <v>380.81914777466898</v>
      </c>
      <c r="C16" s="8" t="s">
        <v>84</v>
      </c>
      <c r="D16" s="8" t="s">
        <v>76</v>
      </c>
      <c r="E16" s="8" t="s">
        <v>85</v>
      </c>
      <c r="F16" s="30" t="s">
        <v>86</v>
      </c>
      <c r="G16" s="28" t="s">
        <v>79</v>
      </c>
      <c r="H16" s="29">
        <v>1113.6235005823564</v>
      </c>
    </row>
    <row r="17" spans="1:8" x14ac:dyDescent="0.25">
      <c r="A17" s="8" t="s">
        <v>87</v>
      </c>
      <c r="B17" s="29">
        <v>378.56327400008826</v>
      </c>
      <c r="C17" s="8" t="s">
        <v>84</v>
      </c>
      <c r="D17" s="8" t="s">
        <v>76</v>
      </c>
      <c r="E17" s="8" t="s">
        <v>85</v>
      </c>
      <c r="F17" s="30" t="s">
        <v>86</v>
      </c>
      <c r="G17" s="28" t="s">
        <v>79</v>
      </c>
      <c r="H17" s="29">
        <v>1184.1131480840922</v>
      </c>
    </row>
    <row r="18" spans="1:8" x14ac:dyDescent="0.25">
      <c r="A18" s="8" t="s">
        <v>88</v>
      </c>
      <c r="B18" s="29">
        <v>491.26172207286078</v>
      </c>
      <c r="C18" s="8" t="s">
        <v>84</v>
      </c>
      <c r="D18" s="8" t="s">
        <v>76</v>
      </c>
      <c r="E18" s="8" t="s">
        <v>85</v>
      </c>
      <c r="F18" s="30" t="s">
        <v>86</v>
      </c>
      <c r="G18" s="28" t="s">
        <v>79</v>
      </c>
      <c r="H18" s="29">
        <v>1406.9703034883721</v>
      </c>
    </row>
    <row r="19" spans="1:8" x14ac:dyDescent="0.25">
      <c r="A19" s="8" t="s">
        <v>1</v>
      </c>
      <c r="B19" s="29">
        <v>1.7154630703789637</v>
      </c>
      <c r="C19" s="8" t="s">
        <v>82</v>
      </c>
      <c r="D19" s="8" t="s">
        <v>76</v>
      </c>
      <c r="E19" s="8" t="s">
        <v>83</v>
      </c>
      <c r="F19" s="30"/>
      <c r="G19" s="28" t="s">
        <v>79</v>
      </c>
      <c r="H19" s="29">
        <v>2.1837041080933535</v>
      </c>
    </row>
    <row r="20" spans="1:8" x14ac:dyDescent="0.25">
      <c r="A20" s="8" t="s">
        <v>89</v>
      </c>
      <c r="B20" s="26">
        <v>1470</v>
      </c>
      <c r="C20" s="8" t="s">
        <v>84</v>
      </c>
      <c r="D20" s="8" t="s">
        <v>76</v>
      </c>
      <c r="E20" s="8" t="s">
        <v>85</v>
      </c>
      <c r="F20" s="30"/>
      <c r="G20" s="28" t="s">
        <v>79</v>
      </c>
      <c r="H20" s="26">
        <v>1470</v>
      </c>
    </row>
    <row r="21" spans="1:8" x14ac:dyDescent="0.25">
      <c r="A21" s="8" t="s">
        <v>90</v>
      </c>
      <c r="B21" s="29">
        <v>3.3342281306559314</v>
      </c>
      <c r="C21" s="8" t="s">
        <v>82</v>
      </c>
      <c r="D21" s="8" t="s">
        <v>76</v>
      </c>
      <c r="E21" s="8" t="s">
        <v>83</v>
      </c>
      <c r="F21" s="8"/>
      <c r="G21" s="28" t="s">
        <v>79</v>
      </c>
      <c r="H21" s="29">
        <v>3.4834123222748814</v>
      </c>
    </row>
    <row r="22" spans="1:8" x14ac:dyDescent="0.25">
      <c r="A22" s="8" t="s">
        <v>91</v>
      </c>
      <c r="B22" s="29">
        <v>377.09084842582604</v>
      </c>
      <c r="C22" s="8" t="s">
        <v>84</v>
      </c>
      <c r="D22" s="8" t="s">
        <v>76</v>
      </c>
      <c r="E22" s="8" t="s">
        <v>85</v>
      </c>
      <c r="F22" s="8"/>
      <c r="G22" s="28" t="s">
        <v>79</v>
      </c>
      <c r="H22" s="29">
        <v>235.7809650384998</v>
      </c>
    </row>
    <row r="23" spans="1:8" x14ac:dyDescent="0.25">
      <c r="A23" s="8" t="s">
        <v>92</v>
      </c>
      <c r="B23" s="29">
        <v>371.68030538190482</v>
      </c>
      <c r="C23" s="8" t="s">
        <v>84</v>
      </c>
      <c r="D23" s="8" t="s">
        <v>76</v>
      </c>
      <c r="E23" s="8" t="s">
        <v>85</v>
      </c>
      <c r="F23" s="8"/>
      <c r="G23" s="28" t="s">
        <v>79</v>
      </c>
      <c r="H23" s="29">
        <v>260.65742167437077</v>
      </c>
    </row>
    <row r="24" spans="1:8" x14ac:dyDescent="0.25">
      <c r="A24" s="8" t="s">
        <v>93</v>
      </c>
      <c r="B24" s="29">
        <v>492.17315383922971</v>
      </c>
      <c r="C24" s="8" t="s">
        <v>84</v>
      </c>
      <c r="D24" s="8" t="s">
        <v>76</v>
      </c>
      <c r="E24" s="8" t="s">
        <v>85</v>
      </c>
      <c r="F24" s="8"/>
      <c r="G24" s="28" t="s">
        <v>79</v>
      </c>
      <c r="H24" s="29">
        <v>328.49559548978146</v>
      </c>
    </row>
    <row r="25" spans="1:8" x14ac:dyDescent="0.25">
      <c r="A25" s="8" t="s">
        <v>94</v>
      </c>
      <c r="B25" s="29">
        <v>1.7154630703789637</v>
      </c>
      <c r="C25" s="8" t="s">
        <v>82</v>
      </c>
      <c r="D25" s="8" t="s">
        <v>76</v>
      </c>
      <c r="E25" s="8" t="s">
        <v>83</v>
      </c>
      <c r="F25" s="8"/>
      <c r="G25" s="28" t="s">
        <v>79</v>
      </c>
      <c r="H25" s="29">
        <v>1.5695373276920976</v>
      </c>
    </row>
    <row r="26" spans="1:8" x14ac:dyDescent="0.25">
      <c r="A26" s="8" t="s">
        <v>74</v>
      </c>
      <c r="B26" s="11">
        <f>B13*'additional data'!C7</f>
        <v>9.1488888888888891</v>
      </c>
      <c r="C26" s="8" t="s">
        <v>56</v>
      </c>
      <c r="D26" s="8" t="s">
        <v>76</v>
      </c>
      <c r="E26" s="8" t="s">
        <v>77</v>
      </c>
      <c r="F26" s="27" t="s">
        <v>78</v>
      </c>
      <c r="G26" s="28" t="s">
        <v>79</v>
      </c>
      <c r="H26" s="11"/>
    </row>
    <row r="27" spans="1:8" x14ac:dyDescent="0.25">
      <c r="A27" s="8" t="s">
        <v>80</v>
      </c>
      <c r="B27" s="11">
        <f>B14*'additional data'!C7</f>
        <v>3.0191333333333339</v>
      </c>
      <c r="C27" s="8" t="s">
        <v>56</v>
      </c>
      <c r="D27" s="8" t="s">
        <v>76</v>
      </c>
      <c r="E27" s="8" t="s">
        <v>81</v>
      </c>
      <c r="F27" s="27" t="s">
        <v>78</v>
      </c>
      <c r="G27" s="28" t="s">
        <v>79</v>
      </c>
      <c r="H27" s="11"/>
    </row>
    <row r="28" spans="1:8" x14ac:dyDescent="0.25">
      <c r="A28" s="8" t="s">
        <v>3</v>
      </c>
      <c r="B28" s="11">
        <f>B15*'additional data'!C7</f>
        <v>0.8520805222787381</v>
      </c>
      <c r="C28" s="8" t="s">
        <v>54</v>
      </c>
      <c r="D28" s="8" t="s">
        <v>76</v>
      </c>
      <c r="E28" s="8" t="s">
        <v>83</v>
      </c>
      <c r="F28" s="30"/>
      <c r="G28" s="28" t="s">
        <v>79</v>
      </c>
      <c r="H28" s="11"/>
    </row>
    <row r="29" spans="1:8" x14ac:dyDescent="0.25">
      <c r="A29" s="8" t="s">
        <v>6</v>
      </c>
      <c r="B29" s="11">
        <f>B16*'additional data'!C7</f>
        <v>97.320448875748752</v>
      </c>
      <c r="C29" s="8" t="s">
        <v>56</v>
      </c>
      <c r="D29" s="8" t="s">
        <v>76</v>
      </c>
      <c r="E29" s="8" t="s">
        <v>85</v>
      </c>
      <c r="F29" s="30" t="s">
        <v>86</v>
      </c>
      <c r="G29" s="28" t="s">
        <v>79</v>
      </c>
      <c r="H29" s="11"/>
    </row>
    <row r="30" spans="1:8" x14ac:dyDescent="0.25">
      <c r="A30" s="8" t="s">
        <v>87</v>
      </c>
      <c r="B30" s="11">
        <f>B17*'additional data'!C7</f>
        <v>96.743947800022568</v>
      </c>
      <c r="C30" s="8" t="s">
        <v>56</v>
      </c>
      <c r="D30" s="8" t="s">
        <v>76</v>
      </c>
      <c r="E30" s="8" t="s">
        <v>85</v>
      </c>
      <c r="F30" s="30" t="s">
        <v>86</v>
      </c>
      <c r="G30" s="28" t="s">
        <v>79</v>
      </c>
      <c r="H30" s="11"/>
    </row>
    <row r="31" spans="1:8" x14ac:dyDescent="0.25">
      <c r="A31" s="8" t="s">
        <v>88</v>
      </c>
      <c r="B31" s="11">
        <f>B18*'additional data'!C7</f>
        <v>125.54466230750889</v>
      </c>
      <c r="C31" s="8" t="s">
        <v>56</v>
      </c>
      <c r="D31" s="8" t="s">
        <v>76</v>
      </c>
      <c r="E31" s="8" t="s">
        <v>85</v>
      </c>
      <c r="F31" s="30" t="s">
        <v>86</v>
      </c>
      <c r="G31" s="28" t="s">
        <v>79</v>
      </c>
      <c r="H31" s="11"/>
    </row>
    <row r="32" spans="1:8" x14ac:dyDescent="0.25">
      <c r="A32" s="8" t="s">
        <v>1</v>
      </c>
      <c r="B32" s="11">
        <f>B19*'additional data'!C7</f>
        <v>0.43839611798573525</v>
      </c>
      <c r="C32" s="8" t="s">
        <v>54</v>
      </c>
      <c r="D32" s="8" t="s">
        <v>76</v>
      </c>
      <c r="E32" s="8" t="s">
        <v>83</v>
      </c>
      <c r="F32" s="30"/>
      <c r="G32" s="28" t="s">
        <v>79</v>
      </c>
      <c r="H32" s="11"/>
    </row>
    <row r="33" spans="1:8" x14ac:dyDescent="0.25">
      <c r="A33" s="8" t="s">
        <v>89</v>
      </c>
      <c r="B33" s="11">
        <f>B20*'additional data'!C7</f>
        <v>375.66666666666674</v>
      </c>
      <c r="C33" s="8" t="s">
        <v>56</v>
      </c>
      <c r="D33" s="8" t="s">
        <v>76</v>
      </c>
      <c r="E33" s="8" t="s">
        <v>85</v>
      </c>
      <c r="F33" s="30"/>
      <c r="G33" s="28" t="s">
        <v>79</v>
      </c>
      <c r="H33" s="11"/>
    </row>
    <row r="34" spans="1:8" x14ac:dyDescent="0.25">
      <c r="A34" s="8" t="s">
        <v>90</v>
      </c>
      <c r="B34" s="11">
        <f>B21*'additional data'!C7</f>
        <v>0.8520805222787381</v>
      </c>
      <c r="C34" s="8" t="s">
        <v>54</v>
      </c>
      <c r="D34" s="8" t="s">
        <v>76</v>
      </c>
      <c r="E34" s="8" t="s">
        <v>83</v>
      </c>
      <c r="F34" s="8"/>
      <c r="G34" s="28" t="s">
        <v>79</v>
      </c>
      <c r="H34" s="11"/>
    </row>
    <row r="35" spans="1:8" x14ac:dyDescent="0.25">
      <c r="A35" s="8" t="s">
        <v>91</v>
      </c>
      <c r="B35" s="11">
        <f>B22*'additional data'!C7</f>
        <v>96.367661264377773</v>
      </c>
      <c r="C35" s="8" t="s">
        <v>56</v>
      </c>
      <c r="D35" s="8" t="s">
        <v>76</v>
      </c>
      <c r="E35" s="8" t="s">
        <v>85</v>
      </c>
      <c r="F35" s="8"/>
      <c r="G35" s="28" t="s">
        <v>79</v>
      </c>
      <c r="H35" s="11"/>
    </row>
    <row r="36" spans="1:8" x14ac:dyDescent="0.25">
      <c r="A36" s="8" t="s">
        <v>92</v>
      </c>
      <c r="B36" s="11">
        <f>B23*'additional data'!C7</f>
        <v>94.98496693093125</v>
      </c>
      <c r="C36" s="8" t="s">
        <v>56</v>
      </c>
      <c r="D36" s="8" t="s">
        <v>76</v>
      </c>
      <c r="E36" s="8" t="s">
        <v>85</v>
      </c>
      <c r="F36" s="8"/>
      <c r="G36" s="28" t="s">
        <v>79</v>
      </c>
      <c r="H36" s="11"/>
    </row>
    <row r="37" spans="1:8" x14ac:dyDescent="0.25">
      <c r="A37" s="8" t="s">
        <v>93</v>
      </c>
      <c r="B37" s="11">
        <f>B24*'additional data'!C7</f>
        <v>125.77758375891428</v>
      </c>
      <c r="C37" s="8" t="s">
        <v>56</v>
      </c>
      <c r="D37" s="8" t="s">
        <v>76</v>
      </c>
      <c r="E37" s="8" t="s">
        <v>85</v>
      </c>
      <c r="F37" s="8"/>
      <c r="G37" s="28" t="s">
        <v>79</v>
      </c>
      <c r="H37" s="11"/>
    </row>
    <row r="38" spans="1:8" x14ac:dyDescent="0.25">
      <c r="A38" s="8" t="s">
        <v>94</v>
      </c>
      <c r="B38" s="11">
        <f>B25*'additional data'!C7</f>
        <v>0.43839611798573525</v>
      </c>
      <c r="C38" s="8" t="s">
        <v>54</v>
      </c>
      <c r="D38" s="8" t="s">
        <v>76</v>
      </c>
      <c r="E38" s="8" t="s">
        <v>83</v>
      </c>
      <c r="F38" s="8"/>
      <c r="G38" s="28" t="s">
        <v>79</v>
      </c>
      <c r="H38" s="11"/>
    </row>
    <row r="39" spans="1:8" x14ac:dyDescent="0.25">
      <c r="A39" s="31" t="s">
        <v>97</v>
      </c>
      <c r="B39" s="31">
        <v>0</v>
      </c>
      <c r="C39" s="8" t="s">
        <v>56</v>
      </c>
      <c r="D39" s="33" t="s">
        <v>98</v>
      </c>
      <c r="E39" s="8" t="s">
        <v>99</v>
      </c>
      <c r="F39" s="8" t="s">
        <v>83</v>
      </c>
      <c r="G39" s="31" t="s">
        <v>100</v>
      </c>
      <c r="H39" s="31">
        <v>0</v>
      </c>
    </row>
    <row r="40" spans="1:8" x14ac:dyDescent="0.25">
      <c r="A40" s="11" t="s">
        <v>101</v>
      </c>
      <c r="B40" s="11">
        <v>40</v>
      </c>
      <c r="C40" s="8" t="s">
        <v>56</v>
      </c>
      <c r="D40" s="33" t="s">
        <v>76</v>
      </c>
      <c r="E40" s="11"/>
      <c r="F40" s="11" t="s">
        <v>102</v>
      </c>
      <c r="G40" s="11"/>
      <c r="H40" s="11"/>
    </row>
    <row r="41" spans="1:8" x14ac:dyDescent="0.25">
      <c r="A41" s="11" t="s">
        <v>103</v>
      </c>
      <c r="B41" s="11">
        <v>10</v>
      </c>
      <c r="C41" s="8" t="s">
        <v>56</v>
      </c>
      <c r="D41" s="33" t="s">
        <v>76</v>
      </c>
      <c r="E41" s="11"/>
      <c r="F41" s="11" t="s">
        <v>104</v>
      </c>
      <c r="G41" s="11"/>
      <c r="H41" s="11"/>
    </row>
    <row r="42" spans="1:8" x14ac:dyDescent="0.25">
      <c r="A42" s="11" t="s">
        <v>105</v>
      </c>
      <c r="B42" s="11">
        <v>90</v>
      </c>
      <c r="C42" s="8" t="s">
        <v>56</v>
      </c>
      <c r="D42" s="33" t="s">
        <v>76</v>
      </c>
      <c r="E42" s="11"/>
      <c r="F42" s="11" t="s">
        <v>106</v>
      </c>
      <c r="G42" s="11"/>
      <c r="H42" s="11"/>
    </row>
    <row r="43" spans="1:8" x14ac:dyDescent="0.25">
      <c r="A43" s="11" t="s">
        <v>107</v>
      </c>
      <c r="B43" s="11">
        <v>50</v>
      </c>
      <c r="C43" s="8" t="s">
        <v>56</v>
      </c>
      <c r="D43" s="33" t="s">
        <v>76</v>
      </c>
      <c r="E43" s="11"/>
      <c r="F43" s="11" t="s">
        <v>108</v>
      </c>
      <c r="G43" s="11"/>
      <c r="H43" s="11">
        <v>78.8</v>
      </c>
    </row>
    <row r="44" spans="1:8" x14ac:dyDescent="0.25">
      <c r="A44" s="11" t="s">
        <v>109</v>
      </c>
      <c r="B44" s="11">
        <v>58</v>
      </c>
      <c r="C44" s="11" t="s">
        <v>110</v>
      </c>
      <c r="D44" s="11" t="s">
        <v>111</v>
      </c>
      <c r="E44" s="11"/>
      <c r="F44" s="12" t="s">
        <v>112</v>
      </c>
      <c r="G44" s="11">
        <v>2022</v>
      </c>
      <c r="H44" s="11"/>
    </row>
    <row r="45" spans="1:8" x14ac:dyDescent="0.25">
      <c r="A45" s="11" t="s">
        <v>113</v>
      </c>
      <c r="B45" s="11">
        <v>97</v>
      </c>
      <c r="C45" s="11" t="s">
        <v>110</v>
      </c>
      <c r="D45" s="11" t="s">
        <v>111</v>
      </c>
      <c r="E45" s="11"/>
      <c r="F45" s="12" t="s">
        <v>112</v>
      </c>
      <c r="G45" s="11">
        <v>2022</v>
      </c>
      <c r="H45" s="11"/>
    </row>
    <row r="46" spans="1:8" x14ac:dyDescent="0.25">
      <c r="A46" s="11" t="s">
        <v>114</v>
      </c>
      <c r="B46" s="11">
        <v>17</v>
      </c>
      <c r="C46" s="11" t="s">
        <v>110</v>
      </c>
      <c r="D46" s="11" t="s">
        <v>111</v>
      </c>
      <c r="E46" s="11"/>
      <c r="F46" s="12" t="s">
        <v>112</v>
      </c>
      <c r="G46" s="11" t="s">
        <v>115</v>
      </c>
      <c r="H46" s="11"/>
    </row>
    <row r="47" spans="1:8" x14ac:dyDescent="0.25">
      <c r="A47" s="11" t="s">
        <v>116</v>
      </c>
      <c r="B47" s="11">
        <v>12</v>
      </c>
      <c r="C47" s="11" t="s">
        <v>110</v>
      </c>
      <c r="D47" s="11" t="s">
        <v>111</v>
      </c>
      <c r="E47" s="11"/>
      <c r="F47" s="12" t="s">
        <v>112</v>
      </c>
      <c r="G47" s="11">
        <v>2022</v>
      </c>
      <c r="H47" s="11"/>
    </row>
    <row r="48" spans="1:8" x14ac:dyDescent="0.25">
      <c r="A48" s="11" t="s">
        <v>117</v>
      </c>
      <c r="B48" s="11">
        <v>92</v>
      </c>
      <c r="C48" s="11" t="s">
        <v>110</v>
      </c>
      <c r="D48" s="11" t="s">
        <v>111</v>
      </c>
      <c r="E48" s="11"/>
      <c r="F48" s="12" t="s">
        <v>112</v>
      </c>
      <c r="G48" s="11">
        <v>2022</v>
      </c>
      <c r="H48" s="11"/>
    </row>
    <row r="49" spans="1:8" x14ac:dyDescent="0.25">
      <c r="A49" s="11" t="s">
        <v>118</v>
      </c>
      <c r="B49" s="11">
        <v>160</v>
      </c>
      <c r="C49" s="11" t="s">
        <v>110</v>
      </c>
      <c r="D49" s="11" t="s">
        <v>111</v>
      </c>
      <c r="E49" s="11"/>
      <c r="F49" s="12" t="s">
        <v>112</v>
      </c>
      <c r="G49" s="11">
        <v>2022</v>
      </c>
      <c r="H49" s="11"/>
    </row>
    <row r="50" spans="1:8" x14ac:dyDescent="0.25">
      <c r="A50" s="11" t="s">
        <v>118</v>
      </c>
      <c r="B50" s="11">
        <f>B49*0.93</f>
        <v>148.80000000000001</v>
      </c>
      <c r="C50" s="11" t="s">
        <v>56</v>
      </c>
      <c r="D50" s="11" t="s">
        <v>111</v>
      </c>
      <c r="E50" s="11"/>
      <c r="F50" s="12" t="s">
        <v>112</v>
      </c>
      <c r="G50" s="11" t="s">
        <v>120</v>
      </c>
      <c r="H50" s="11"/>
    </row>
    <row r="51" spans="1:8" x14ac:dyDescent="0.25">
      <c r="A51" s="11" t="s">
        <v>121</v>
      </c>
      <c r="B51" s="11">
        <v>12</v>
      </c>
      <c r="C51" s="11" t="s">
        <v>110</v>
      </c>
      <c r="D51" s="11" t="s">
        <v>111</v>
      </c>
      <c r="E51" s="11">
        <v>88</v>
      </c>
      <c r="F51" s="12" t="s">
        <v>112</v>
      </c>
      <c r="G51" s="11" t="s">
        <v>122</v>
      </c>
      <c r="H51" s="11"/>
    </row>
    <row r="52" spans="1:8" x14ac:dyDescent="0.25">
      <c r="A52" s="11" t="s">
        <v>123</v>
      </c>
      <c r="B52" s="11">
        <v>44</v>
      </c>
      <c r="C52" s="11" t="s">
        <v>110</v>
      </c>
      <c r="D52" s="11" t="s">
        <v>111</v>
      </c>
      <c r="E52" s="11">
        <v>88</v>
      </c>
      <c r="F52" s="12" t="s">
        <v>112</v>
      </c>
      <c r="G52" s="11" t="s">
        <v>122</v>
      </c>
      <c r="H52" s="11"/>
    </row>
    <row r="53" spans="1:8" x14ac:dyDescent="0.25">
      <c r="A53" s="11" t="s">
        <v>124</v>
      </c>
      <c r="B53" s="11">
        <v>53</v>
      </c>
      <c r="C53" s="11" t="s">
        <v>110</v>
      </c>
      <c r="D53" s="11" t="s">
        <v>111</v>
      </c>
      <c r="E53" s="11">
        <v>96</v>
      </c>
      <c r="F53" s="12" t="s">
        <v>112</v>
      </c>
      <c r="G53" s="11">
        <v>2022</v>
      </c>
      <c r="H53" s="11" t="s">
        <v>125</v>
      </c>
    </row>
    <row r="54" spans="1:8" x14ac:dyDescent="0.25">
      <c r="A54" s="11" t="s">
        <v>169</v>
      </c>
      <c r="B54" s="11">
        <f>B53*0.93</f>
        <v>49.29</v>
      </c>
      <c r="C54" s="11" t="s">
        <v>56</v>
      </c>
      <c r="D54" s="11" t="s">
        <v>111</v>
      </c>
      <c r="E54" s="11">
        <v>96</v>
      </c>
      <c r="F54" s="12" t="s">
        <v>112</v>
      </c>
      <c r="G54" s="11">
        <v>2022</v>
      </c>
      <c r="H54" s="11" t="s">
        <v>126</v>
      </c>
    </row>
    <row r="55" spans="1:8" x14ac:dyDescent="0.25">
      <c r="A55" s="11" t="s">
        <v>127</v>
      </c>
      <c r="B55" s="11">
        <v>140</v>
      </c>
      <c r="C55" s="11" t="s">
        <v>110</v>
      </c>
      <c r="D55" s="11" t="s">
        <v>111</v>
      </c>
      <c r="E55" s="11">
        <v>110</v>
      </c>
      <c r="F55" s="12" t="s">
        <v>112</v>
      </c>
      <c r="G55" s="11">
        <v>2022</v>
      </c>
      <c r="H55" s="11" t="s">
        <v>128</v>
      </c>
    </row>
    <row r="56" spans="1:8" x14ac:dyDescent="0.25">
      <c r="A56" s="11" t="s">
        <v>129</v>
      </c>
      <c r="B56" s="11">
        <v>160</v>
      </c>
      <c r="C56" s="11" t="s">
        <v>110</v>
      </c>
      <c r="D56" s="11" t="s">
        <v>111</v>
      </c>
      <c r="E56" s="11">
        <v>110</v>
      </c>
      <c r="F56" s="12" t="s">
        <v>112</v>
      </c>
      <c r="G56" s="11">
        <v>2022</v>
      </c>
      <c r="H56" s="11" t="s">
        <v>128</v>
      </c>
    </row>
    <row r="57" spans="1:8" x14ac:dyDescent="0.25">
      <c r="A57" s="11" t="s">
        <v>127</v>
      </c>
      <c r="B57" s="11">
        <f>B55*0.93</f>
        <v>130.20000000000002</v>
      </c>
      <c r="C57" s="11" t="s">
        <v>56</v>
      </c>
      <c r="D57" s="11" t="s">
        <v>111</v>
      </c>
      <c r="E57" s="11">
        <v>110</v>
      </c>
      <c r="F57" s="12" t="s">
        <v>112</v>
      </c>
      <c r="G57" s="11">
        <v>2022</v>
      </c>
      <c r="H57" s="11" t="s">
        <v>128</v>
      </c>
    </row>
    <row r="58" spans="1:8" x14ac:dyDescent="0.25">
      <c r="A58" s="11" t="s">
        <v>129</v>
      </c>
      <c r="B58" s="11">
        <f>B56*0.93</f>
        <v>148.80000000000001</v>
      </c>
      <c r="C58" s="11" t="s">
        <v>56</v>
      </c>
      <c r="D58" s="11" t="s">
        <v>111</v>
      </c>
      <c r="E58" s="11">
        <v>110</v>
      </c>
      <c r="F58" s="12" t="s">
        <v>112</v>
      </c>
      <c r="G58" s="11">
        <v>2022</v>
      </c>
      <c r="H58" s="11" t="s">
        <v>128</v>
      </c>
    </row>
    <row r="59" spans="1:8" x14ac:dyDescent="0.25">
      <c r="A59" s="11" t="s">
        <v>130</v>
      </c>
      <c r="B59" s="11">
        <v>100</v>
      </c>
      <c r="C59" s="11" t="s">
        <v>56</v>
      </c>
      <c r="D59" s="11" t="s">
        <v>131</v>
      </c>
      <c r="E59" s="11">
        <v>75</v>
      </c>
      <c r="F59" s="13" t="s">
        <v>132</v>
      </c>
      <c r="G59" s="11">
        <v>2018</v>
      </c>
      <c r="H59" s="11" t="s">
        <v>128</v>
      </c>
    </row>
    <row r="60" spans="1:8" x14ac:dyDescent="0.25">
      <c r="A60" s="11" t="s">
        <v>133</v>
      </c>
      <c r="B60" s="11">
        <v>11</v>
      </c>
      <c r="C60" s="11" t="s">
        <v>110</v>
      </c>
      <c r="D60" s="11" t="s">
        <v>111</v>
      </c>
      <c r="E60" s="11">
        <v>150</v>
      </c>
      <c r="F60" s="12" t="s">
        <v>112</v>
      </c>
      <c r="G60" s="11">
        <v>2022</v>
      </c>
      <c r="H60" s="11" t="s">
        <v>134</v>
      </c>
    </row>
    <row r="61" spans="1:8" x14ac:dyDescent="0.25">
      <c r="A61" s="11" t="s">
        <v>135</v>
      </c>
      <c r="B61" s="11">
        <v>14</v>
      </c>
      <c r="C61" s="11" t="s">
        <v>110</v>
      </c>
      <c r="D61" s="11" t="s">
        <v>111</v>
      </c>
      <c r="E61" s="11">
        <v>164</v>
      </c>
      <c r="F61" s="12" t="s">
        <v>112</v>
      </c>
      <c r="G61" s="11" t="s">
        <v>136</v>
      </c>
      <c r="H61" s="32" t="s">
        <v>137</v>
      </c>
    </row>
    <row r="62" spans="1:8" x14ac:dyDescent="0.25">
      <c r="A62" s="11" t="s">
        <v>139</v>
      </c>
      <c r="B62" s="11">
        <f>(5.5/4.3)*B50</f>
        <v>190.32558139534885</v>
      </c>
      <c r="C62" s="11" t="s">
        <v>56</v>
      </c>
      <c r="D62" s="11" t="s">
        <v>111</v>
      </c>
      <c r="E62" s="11">
        <v>25</v>
      </c>
      <c r="F62" s="12" t="s">
        <v>241</v>
      </c>
      <c r="G62" s="11" t="s">
        <v>140</v>
      </c>
      <c r="H62" s="32" t="s">
        <v>235</v>
      </c>
    </row>
    <row r="63" spans="1:8" x14ac:dyDescent="0.25">
      <c r="A63" s="11" t="s">
        <v>141</v>
      </c>
      <c r="B63" s="11">
        <f>35*0.93</f>
        <v>32.550000000000004</v>
      </c>
      <c r="C63" s="11" t="s">
        <v>56</v>
      </c>
      <c r="D63" s="11" t="s">
        <v>111</v>
      </c>
      <c r="E63" s="11" t="s">
        <v>19</v>
      </c>
      <c r="F63" s="11" t="s">
        <v>142</v>
      </c>
      <c r="G63" s="11">
        <v>2022</v>
      </c>
      <c r="H63" s="11"/>
    </row>
    <row r="64" spans="1:8" x14ac:dyDescent="0.25">
      <c r="A64" s="11" t="s">
        <v>143</v>
      </c>
      <c r="B64" s="11">
        <v>12</v>
      </c>
      <c r="C64" s="11" t="s">
        <v>56</v>
      </c>
      <c r="D64" s="11" t="s">
        <v>111</v>
      </c>
      <c r="E64" s="11" t="s">
        <v>19</v>
      </c>
      <c r="F64" s="11" t="s">
        <v>144</v>
      </c>
      <c r="G64" s="11" t="s">
        <v>145</v>
      </c>
      <c r="H64" s="11" t="s">
        <v>146</v>
      </c>
    </row>
    <row r="65" spans="1:8" x14ac:dyDescent="0.25">
      <c r="A65" s="11" t="s">
        <v>147</v>
      </c>
      <c r="B65" s="11">
        <v>0</v>
      </c>
      <c r="C65" s="11" t="s">
        <v>56</v>
      </c>
      <c r="D65" s="11" t="s">
        <v>61</v>
      </c>
      <c r="E65" s="11"/>
      <c r="F65" s="11" t="s">
        <v>144</v>
      </c>
      <c r="G65" s="11"/>
      <c r="H65" s="11"/>
    </row>
    <row r="66" spans="1:8" x14ac:dyDescent="0.25">
      <c r="A66" s="11" t="s">
        <v>148</v>
      </c>
      <c r="B66" s="11">
        <v>0</v>
      </c>
      <c r="C66" s="11" t="s">
        <v>56</v>
      </c>
      <c r="D66" s="11" t="s">
        <v>61</v>
      </c>
      <c r="E66" s="11"/>
      <c r="F66" s="11" t="s">
        <v>61</v>
      </c>
      <c r="G66" s="11"/>
      <c r="H66" s="11"/>
    </row>
    <row r="67" spans="1:8" x14ac:dyDescent="0.25">
      <c r="A67" s="11" t="s">
        <v>109</v>
      </c>
      <c r="B67" s="11">
        <f>B44*0.93</f>
        <v>53.940000000000005</v>
      </c>
      <c r="C67" s="11" t="s">
        <v>56</v>
      </c>
      <c r="D67" s="11" t="s">
        <v>111</v>
      </c>
      <c r="E67" s="11"/>
      <c r="F67" s="12" t="s">
        <v>112</v>
      </c>
      <c r="G67" s="11">
        <v>2022</v>
      </c>
      <c r="H67" s="11"/>
    </row>
    <row r="68" spans="1:8" x14ac:dyDescent="0.25">
      <c r="A68" s="11" t="s">
        <v>113</v>
      </c>
      <c r="B68" s="11">
        <f>B45*0.93</f>
        <v>90.210000000000008</v>
      </c>
      <c r="C68" s="11" t="s">
        <v>56</v>
      </c>
      <c r="D68" s="11" t="s">
        <v>111</v>
      </c>
      <c r="E68" s="11"/>
      <c r="F68" s="12" t="s">
        <v>112</v>
      </c>
      <c r="G68" s="11">
        <v>2022</v>
      </c>
      <c r="H68" s="11"/>
    </row>
    <row r="69" spans="1:8" x14ac:dyDescent="0.25">
      <c r="A69" s="11" t="s">
        <v>114</v>
      </c>
      <c r="B69" s="11">
        <v>17</v>
      </c>
      <c r="C69" s="11" t="s">
        <v>110</v>
      </c>
      <c r="D69" s="11" t="s">
        <v>111</v>
      </c>
      <c r="E69" s="11"/>
      <c r="F69" s="12" t="s">
        <v>112</v>
      </c>
      <c r="G69" s="11" t="s">
        <v>115</v>
      </c>
      <c r="H69" s="11"/>
    </row>
    <row r="70" spans="1:8" x14ac:dyDescent="0.25">
      <c r="A70" s="11" t="s">
        <v>116</v>
      </c>
      <c r="B70" s="11">
        <f>B47*0.93</f>
        <v>11.16</v>
      </c>
      <c r="C70" s="11" t="s">
        <v>56</v>
      </c>
      <c r="D70" s="11" t="s">
        <v>111</v>
      </c>
      <c r="E70" s="11"/>
      <c r="F70" s="12" t="s">
        <v>112</v>
      </c>
      <c r="G70" s="11">
        <v>2022</v>
      </c>
      <c r="H70" s="11"/>
    </row>
    <row r="71" spans="1:8" x14ac:dyDescent="0.25">
      <c r="A71" s="11" t="s">
        <v>117</v>
      </c>
      <c r="B71" s="11">
        <v>92</v>
      </c>
      <c r="C71" s="11" t="s">
        <v>110</v>
      </c>
      <c r="D71" s="11" t="s">
        <v>111</v>
      </c>
      <c r="E71" s="11"/>
      <c r="F71" s="12" t="s">
        <v>112</v>
      </c>
      <c r="G71" s="11">
        <v>2022</v>
      </c>
      <c r="H71" s="11"/>
    </row>
    <row r="72" spans="1:8" x14ac:dyDescent="0.25">
      <c r="A72" s="11" t="s">
        <v>119</v>
      </c>
      <c r="B72" s="11">
        <f>B69*0.93</f>
        <v>15.81</v>
      </c>
      <c r="C72" s="11" t="s">
        <v>56</v>
      </c>
      <c r="D72" s="11" t="s">
        <v>111</v>
      </c>
      <c r="E72" s="11"/>
      <c r="F72" s="12" t="s">
        <v>112</v>
      </c>
      <c r="G72" s="11" t="s">
        <v>120</v>
      </c>
      <c r="H72" s="11"/>
    </row>
    <row r="73" spans="1:8" x14ac:dyDescent="0.25">
      <c r="A73" s="11" t="s">
        <v>121</v>
      </c>
      <c r="B73" s="11">
        <f>B51*0.93</f>
        <v>11.16</v>
      </c>
      <c r="C73" s="11" t="s">
        <v>56</v>
      </c>
      <c r="D73" s="11" t="s">
        <v>111</v>
      </c>
      <c r="E73" s="11">
        <v>88</v>
      </c>
      <c r="F73" s="12" t="s">
        <v>112</v>
      </c>
      <c r="G73" s="11" t="s">
        <v>122</v>
      </c>
      <c r="H73" s="11"/>
    </row>
    <row r="74" spans="1:8" x14ac:dyDescent="0.25">
      <c r="A74" s="11" t="s">
        <v>123</v>
      </c>
      <c r="B74" s="11">
        <f>B52*0.93</f>
        <v>40.92</v>
      </c>
      <c r="C74" s="11" t="s">
        <v>56</v>
      </c>
      <c r="D74" s="11" t="s">
        <v>111</v>
      </c>
      <c r="E74" s="11">
        <v>88</v>
      </c>
      <c r="F74" s="12" t="s">
        <v>112</v>
      </c>
      <c r="G74" s="11" t="s">
        <v>122</v>
      </c>
      <c r="H74" s="11"/>
    </row>
    <row r="75" spans="1:8" x14ac:dyDescent="0.25">
      <c r="A75" s="11" t="s">
        <v>124</v>
      </c>
      <c r="B75" s="11">
        <v>53</v>
      </c>
      <c r="C75" s="11" t="s">
        <v>110</v>
      </c>
      <c r="D75" s="11" t="s">
        <v>111</v>
      </c>
      <c r="E75" s="11">
        <v>96</v>
      </c>
      <c r="F75" s="12" t="s">
        <v>112</v>
      </c>
      <c r="G75" s="11">
        <v>2022</v>
      </c>
      <c r="H75" s="11"/>
    </row>
    <row r="76" spans="1:8" x14ac:dyDescent="0.25">
      <c r="A76" s="11" t="s">
        <v>127</v>
      </c>
      <c r="B76" s="11">
        <v>140</v>
      </c>
      <c r="C76" s="11" t="s">
        <v>110</v>
      </c>
      <c r="D76" s="11" t="s">
        <v>111</v>
      </c>
      <c r="E76" s="11">
        <v>110</v>
      </c>
      <c r="F76" s="12" t="s">
        <v>112</v>
      </c>
      <c r="G76" s="11">
        <v>2022</v>
      </c>
      <c r="H76" s="11"/>
    </row>
    <row r="77" spans="1:8" x14ac:dyDescent="0.25">
      <c r="A77" s="11" t="s">
        <v>129</v>
      </c>
      <c r="B77" s="11">
        <v>160</v>
      </c>
      <c r="C77" s="11" t="s">
        <v>110</v>
      </c>
      <c r="D77" s="11" t="s">
        <v>111</v>
      </c>
      <c r="E77" s="11">
        <v>110</v>
      </c>
      <c r="F77" s="12" t="s">
        <v>112</v>
      </c>
      <c r="G77" s="11">
        <v>2022</v>
      </c>
      <c r="H77" s="11"/>
    </row>
    <row r="78" spans="1:8" x14ac:dyDescent="0.25">
      <c r="A78" s="11" t="s">
        <v>127</v>
      </c>
      <c r="B78" s="11">
        <f>B76*0.93</f>
        <v>130.20000000000002</v>
      </c>
      <c r="C78" s="11" t="s">
        <v>56</v>
      </c>
      <c r="D78" s="11" t="s">
        <v>111</v>
      </c>
      <c r="E78" s="11">
        <v>110</v>
      </c>
      <c r="F78" s="12" t="s">
        <v>112</v>
      </c>
      <c r="G78" s="11">
        <v>2022</v>
      </c>
      <c r="H78" s="11"/>
    </row>
    <row r="79" spans="1:8" x14ac:dyDescent="0.25">
      <c r="A79" s="11" t="s">
        <v>129</v>
      </c>
      <c r="B79" s="11">
        <f>B77*0.93</f>
        <v>148.80000000000001</v>
      </c>
      <c r="C79" s="11" t="s">
        <v>56</v>
      </c>
      <c r="D79" s="11" t="s">
        <v>111</v>
      </c>
      <c r="E79" s="11">
        <v>110</v>
      </c>
      <c r="F79" s="12" t="s">
        <v>112</v>
      </c>
      <c r="G79" s="11">
        <v>2022</v>
      </c>
      <c r="H79" s="11"/>
    </row>
    <row r="80" spans="1:8" x14ac:dyDescent="0.25">
      <c r="A80" s="11" t="s">
        <v>130</v>
      </c>
      <c r="B80" s="11">
        <v>100</v>
      </c>
      <c r="C80" s="11" t="s">
        <v>56</v>
      </c>
      <c r="D80" s="11" t="s">
        <v>131</v>
      </c>
      <c r="E80" s="11">
        <v>75</v>
      </c>
      <c r="F80" s="13" t="s">
        <v>132</v>
      </c>
      <c r="G80" s="11">
        <v>2018</v>
      </c>
      <c r="H80" s="11"/>
    </row>
    <row r="81" spans="1:8" x14ac:dyDescent="0.25">
      <c r="A81" s="11" t="s">
        <v>133</v>
      </c>
      <c r="B81" s="11">
        <v>11</v>
      </c>
      <c r="C81" s="11" t="s">
        <v>110</v>
      </c>
      <c r="D81" s="11" t="s">
        <v>111</v>
      </c>
      <c r="E81" s="11">
        <v>150</v>
      </c>
      <c r="F81" s="12" t="s">
        <v>112</v>
      </c>
      <c r="G81" s="11">
        <v>2022</v>
      </c>
      <c r="H81" s="11"/>
    </row>
    <row r="82" spans="1:8" x14ac:dyDescent="0.25">
      <c r="A82" s="11" t="s">
        <v>135</v>
      </c>
      <c r="B82" s="11">
        <v>14</v>
      </c>
      <c r="C82" s="11" t="s">
        <v>110</v>
      </c>
      <c r="D82" s="11" t="s">
        <v>111</v>
      </c>
      <c r="E82" s="11">
        <v>164</v>
      </c>
      <c r="F82" s="12" t="s">
        <v>112</v>
      </c>
      <c r="G82" s="11" t="s">
        <v>136</v>
      </c>
      <c r="H82" s="11"/>
    </row>
    <row r="83" spans="1:8" x14ac:dyDescent="0.25">
      <c r="A83" t="s">
        <v>138</v>
      </c>
      <c r="B83" s="11">
        <f>B82*0.93</f>
        <v>13.020000000000001</v>
      </c>
      <c r="C83" s="11" t="s">
        <v>56</v>
      </c>
      <c r="D83" s="11" t="s">
        <v>111</v>
      </c>
      <c r="E83" s="11">
        <v>164</v>
      </c>
      <c r="F83" s="12" t="s">
        <v>112</v>
      </c>
      <c r="G83" s="11">
        <v>2022</v>
      </c>
      <c r="H83" s="11"/>
    </row>
    <row r="84" spans="1:8" x14ac:dyDescent="0.25">
      <c r="A84" s="11" t="s">
        <v>141</v>
      </c>
      <c r="B84" s="11">
        <f>35*0.93</f>
        <v>32.550000000000004</v>
      </c>
      <c r="C84" s="11" t="s">
        <v>56</v>
      </c>
      <c r="D84" s="11" t="s">
        <v>111</v>
      </c>
      <c r="E84" s="11" t="s">
        <v>19</v>
      </c>
      <c r="F84" s="11" t="s">
        <v>142</v>
      </c>
      <c r="G84" s="11">
        <v>2022</v>
      </c>
      <c r="H84" s="11"/>
    </row>
    <row r="85" spans="1:8" x14ac:dyDescent="0.25">
      <c r="A85" s="11" t="s">
        <v>143</v>
      </c>
      <c r="B85" s="11">
        <v>12</v>
      </c>
      <c r="C85" s="11" t="s">
        <v>56</v>
      </c>
      <c r="D85" s="11" t="s">
        <v>111</v>
      </c>
      <c r="E85" s="11" t="s">
        <v>19</v>
      </c>
      <c r="F85" s="11" t="s">
        <v>144</v>
      </c>
      <c r="G85" s="11" t="s">
        <v>145</v>
      </c>
      <c r="H85" s="11"/>
    </row>
    <row r="86" spans="1:8" x14ac:dyDescent="0.25">
      <c r="A86" s="11" t="s">
        <v>147</v>
      </c>
      <c r="B86" s="11">
        <v>0</v>
      </c>
      <c r="C86" s="11" t="s">
        <v>56</v>
      </c>
      <c r="D86" s="11" t="s">
        <v>61</v>
      </c>
      <c r="E86" s="11"/>
      <c r="F86" s="11" t="s">
        <v>144</v>
      </c>
      <c r="G86" s="11"/>
      <c r="H86" s="11"/>
    </row>
    <row r="87" spans="1:8" x14ac:dyDescent="0.25">
      <c r="A87" s="11" t="s">
        <v>232</v>
      </c>
      <c r="B87" s="11">
        <f>AVERAGE(B84,B72,B73,B74,B83,B70,B67,B68,B104)</f>
        <v>35.340000000000003</v>
      </c>
      <c r="C87" s="11" t="s">
        <v>56</v>
      </c>
      <c r="D87" s="11" t="s">
        <v>111</v>
      </c>
      <c r="E87" s="11"/>
      <c r="F87" s="11" t="s">
        <v>150</v>
      </c>
      <c r="G87" s="11"/>
      <c r="H87" s="11"/>
    </row>
    <row r="88" spans="1:8" x14ac:dyDescent="0.25">
      <c r="A88" s="11" t="s">
        <v>163</v>
      </c>
      <c r="B88" s="11">
        <v>114</v>
      </c>
      <c r="C88" s="11" t="s">
        <v>56</v>
      </c>
      <c r="D88" s="11" t="s">
        <v>170</v>
      </c>
      <c r="E88" s="11">
        <v>75</v>
      </c>
      <c r="F88" s="11" t="s">
        <v>55</v>
      </c>
      <c r="G88" s="11" t="s">
        <v>171</v>
      </c>
      <c r="H88" s="11"/>
    </row>
    <row r="89" spans="1:8" x14ac:dyDescent="0.25">
      <c r="A89" s="11" t="s">
        <v>164</v>
      </c>
      <c r="B89" s="11">
        <v>154</v>
      </c>
      <c r="C89" s="11" t="s">
        <v>56</v>
      </c>
      <c r="D89" s="11" t="s">
        <v>170</v>
      </c>
      <c r="E89" s="11">
        <v>75</v>
      </c>
      <c r="F89" s="11" t="s">
        <v>55</v>
      </c>
      <c r="G89" s="11" t="s">
        <v>171</v>
      </c>
      <c r="H89" s="11"/>
    </row>
    <row r="90" spans="1:8" x14ac:dyDescent="0.25">
      <c r="A90" s="11" t="s">
        <v>165</v>
      </c>
      <c r="B90" s="11">
        <v>234</v>
      </c>
      <c r="C90" s="11" t="s">
        <v>56</v>
      </c>
      <c r="D90" s="11" t="s">
        <v>170</v>
      </c>
      <c r="E90" s="11">
        <v>75</v>
      </c>
      <c r="F90" s="11" t="s">
        <v>55</v>
      </c>
      <c r="G90" s="11" t="s">
        <v>171</v>
      </c>
      <c r="H90" s="11"/>
    </row>
    <row r="91" spans="1:8" x14ac:dyDescent="0.25">
      <c r="A91" s="11" t="s">
        <v>172</v>
      </c>
      <c r="B91" s="11">
        <v>4000</v>
      </c>
      <c r="C91" s="11" t="s">
        <v>56</v>
      </c>
      <c r="D91" s="11" t="s">
        <v>170</v>
      </c>
      <c r="E91" s="11">
        <v>75</v>
      </c>
      <c r="F91" s="11" t="s">
        <v>55</v>
      </c>
      <c r="G91" s="11" t="s">
        <v>171</v>
      </c>
      <c r="H91" s="11"/>
    </row>
    <row r="92" spans="1:8" x14ac:dyDescent="0.25">
      <c r="A92" s="11" t="s">
        <v>173</v>
      </c>
      <c r="B92" s="11">
        <v>61</v>
      </c>
      <c r="C92" s="11" t="s">
        <v>56</v>
      </c>
      <c r="D92" s="11" t="s">
        <v>170</v>
      </c>
      <c r="E92" s="11">
        <v>75</v>
      </c>
      <c r="F92" s="11" t="s">
        <v>55</v>
      </c>
      <c r="G92" s="11" t="s">
        <v>171</v>
      </c>
      <c r="H92" s="11"/>
    </row>
    <row r="93" spans="1:8" x14ac:dyDescent="0.25">
      <c r="A93" s="11" t="s">
        <v>167</v>
      </c>
      <c r="B93" s="11">
        <v>1777</v>
      </c>
      <c r="C93" s="11" t="s">
        <v>56</v>
      </c>
      <c r="D93" s="11" t="s">
        <v>170</v>
      </c>
      <c r="E93" s="11">
        <v>75</v>
      </c>
      <c r="F93" s="11" t="s">
        <v>55</v>
      </c>
      <c r="G93" s="11" t="s">
        <v>171</v>
      </c>
      <c r="H93" s="11"/>
    </row>
    <row r="94" spans="1:8" x14ac:dyDescent="0.25">
      <c r="A94" s="11" t="s">
        <v>174</v>
      </c>
      <c r="B94" s="11">
        <v>350</v>
      </c>
      <c r="C94" s="11" t="s">
        <v>56</v>
      </c>
      <c r="D94" s="11" t="s">
        <v>170</v>
      </c>
      <c r="E94" s="11" t="s">
        <v>175</v>
      </c>
      <c r="F94" s="11" t="s">
        <v>176</v>
      </c>
      <c r="G94" s="11"/>
      <c r="H94" s="11"/>
    </row>
    <row r="95" spans="1:8" x14ac:dyDescent="0.25">
      <c r="A95" s="11" t="s">
        <v>177</v>
      </c>
      <c r="B95" s="11">
        <v>2650</v>
      </c>
      <c r="C95" s="11" t="s">
        <v>56</v>
      </c>
      <c r="D95" s="11" t="s">
        <v>170</v>
      </c>
      <c r="E95" s="11" t="s">
        <v>175</v>
      </c>
      <c r="F95" s="11" t="s">
        <v>176</v>
      </c>
      <c r="G95" s="11"/>
      <c r="H95" s="11"/>
    </row>
    <row r="96" spans="1:8" x14ac:dyDescent="0.25">
      <c r="A96" s="11" t="s">
        <v>178</v>
      </c>
      <c r="B96" s="11">
        <v>1470</v>
      </c>
      <c r="C96" s="11" t="s">
        <v>56</v>
      </c>
      <c r="D96" s="11" t="s">
        <v>170</v>
      </c>
      <c r="E96" s="11" t="s">
        <v>175</v>
      </c>
      <c r="F96" s="11" t="s">
        <v>176</v>
      </c>
      <c r="G96" s="11"/>
      <c r="H96" s="11"/>
    </row>
    <row r="97" spans="1:8" x14ac:dyDescent="0.25">
      <c r="A97" s="11" t="s">
        <v>179</v>
      </c>
      <c r="B97" s="11">
        <v>50</v>
      </c>
      <c r="C97" s="11" t="s">
        <v>56</v>
      </c>
      <c r="D97" s="11" t="s">
        <v>170</v>
      </c>
      <c r="E97" s="11" t="s">
        <v>175</v>
      </c>
      <c r="F97" s="11" t="s">
        <v>176</v>
      </c>
      <c r="G97" s="11"/>
      <c r="H97" s="11"/>
    </row>
    <row r="98" spans="1:8" x14ac:dyDescent="0.25">
      <c r="A98" s="11" t="s">
        <v>180</v>
      </c>
      <c r="B98" s="11">
        <v>50</v>
      </c>
      <c r="C98" s="11" t="s">
        <v>56</v>
      </c>
      <c r="D98" s="11" t="s">
        <v>170</v>
      </c>
      <c r="E98" s="11" t="s">
        <v>175</v>
      </c>
      <c r="F98" s="11" t="s">
        <v>176</v>
      </c>
      <c r="G98" s="11"/>
      <c r="H98" s="11"/>
    </row>
    <row r="100" spans="1:8" x14ac:dyDescent="0.25">
      <c r="B100" s="11"/>
      <c r="C100" s="11"/>
      <c r="D100" s="11"/>
      <c r="E100" s="11"/>
    </row>
    <row r="101" spans="1:8" x14ac:dyDescent="0.25">
      <c r="B101" s="11"/>
      <c r="C101" s="11"/>
      <c r="D101" s="11"/>
      <c r="E101" s="11"/>
    </row>
    <row r="102" spans="1:8" x14ac:dyDescent="0.25">
      <c r="B102" s="11"/>
      <c r="C102" s="11"/>
      <c r="D102" s="11"/>
      <c r="E102" s="11"/>
    </row>
    <row r="103" spans="1:8" x14ac:dyDescent="0.25">
      <c r="A103" t="s">
        <v>237</v>
      </c>
    </row>
    <row r="104" spans="1:8" x14ac:dyDescent="0.25">
      <c r="A104" s="11" t="s">
        <v>247</v>
      </c>
      <c r="B104">
        <f>B54</f>
        <v>49.29</v>
      </c>
      <c r="C104" t="str">
        <f>C54</f>
        <v>€/t</v>
      </c>
      <c r="D104" t="str">
        <f>D54</f>
        <v>US</v>
      </c>
      <c r="E104">
        <f>E54</f>
        <v>96</v>
      </c>
      <c r="F104" t="str">
        <f>F54</f>
        <v>Mineral Commodity Summaries 2023 (usgs.gov)</v>
      </c>
      <c r="G104" t="s">
        <v>251</v>
      </c>
    </row>
    <row r="106" spans="1:8" x14ac:dyDescent="0.25">
      <c r="A106" s="11"/>
    </row>
    <row r="107" spans="1:8" x14ac:dyDescent="0.25">
      <c r="A107" s="11"/>
    </row>
    <row r="109" spans="1:8" x14ac:dyDescent="0.25">
      <c r="A109" s="11"/>
    </row>
  </sheetData>
  <autoFilter ref="A1:H1" xr:uid="{0DD7AB4C-5727-4397-9993-44982B96CD32}"/>
  <conditionalFormatting sqref="D20 A15 A39">
    <cfRule type="containsBlanks" dxfId="12" priority="13">
      <formula>LEN(TRIM(A15))=0</formula>
    </cfRule>
  </conditionalFormatting>
  <conditionalFormatting sqref="A13:A15">
    <cfRule type="containsBlanks" dxfId="11" priority="12">
      <formula>LEN(TRIM(A13))=0</formula>
    </cfRule>
  </conditionalFormatting>
  <conditionalFormatting sqref="D13">
    <cfRule type="containsBlanks" dxfId="10" priority="11">
      <formula>LEN(TRIM(D13))=0</formula>
    </cfRule>
  </conditionalFormatting>
  <conditionalFormatting sqref="D14:D15">
    <cfRule type="containsBlanks" dxfId="9" priority="10">
      <formula>LEN(TRIM(D14))=0</formula>
    </cfRule>
  </conditionalFormatting>
  <conditionalFormatting sqref="A21">
    <cfRule type="containsBlanks" dxfId="8" priority="9">
      <formula>LEN(TRIM(A21))=0</formula>
    </cfRule>
  </conditionalFormatting>
  <conditionalFormatting sqref="D21">
    <cfRule type="containsBlanks" dxfId="7" priority="8">
      <formula>LEN(TRIM(D21))=0</formula>
    </cfRule>
  </conditionalFormatting>
  <conditionalFormatting sqref="A28">
    <cfRule type="containsBlanks" dxfId="6" priority="7">
      <formula>LEN(TRIM(A28))=0</formula>
    </cfRule>
  </conditionalFormatting>
  <conditionalFormatting sqref="A26:A28">
    <cfRule type="containsBlanks" dxfId="5" priority="6">
      <formula>LEN(TRIM(A26))=0</formula>
    </cfRule>
  </conditionalFormatting>
  <conditionalFormatting sqref="A34">
    <cfRule type="containsBlanks" dxfId="4" priority="5">
      <formula>LEN(TRIM(A34))=0</formula>
    </cfRule>
  </conditionalFormatting>
  <conditionalFormatting sqref="G39:H39">
    <cfRule type="cellIs" dxfId="3" priority="3" operator="equal">
      <formula>FALSE</formula>
    </cfRule>
    <cfRule type="cellIs" dxfId="2" priority="4" operator="equal">
      <formula>TRUE</formula>
    </cfRule>
  </conditionalFormatting>
  <conditionalFormatting sqref="B39">
    <cfRule type="cellIs" dxfId="1" priority="1" operator="equal">
      <formula>FALSE</formula>
    </cfRule>
    <cfRule type="cellIs" dxfId="0" priority="2" operator="equal">
      <formula>TRUE</formula>
    </cfRule>
  </conditionalFormatting>
  <dataValidations count="1">
    <dataValidation showErrorMessage="1" sqref="A40:D43 F40:F43 E39:F39 C39 G1:H9 A1:F12 A13:H38 A109:H1048576 A44:F107 G40:H107" xr:uid="{0AB99D4B-8397-48D9-A3C7-37F5E2C2FD81}"/>
  </dataValidations>
  <hyperlinks>
    <hyperlink ref="F13" r:id="rId1" xr:uid="{80EC51B7-63BA-4ADF-B994-AF17E309A79B}"/>
    <hyperlink ref="F14" r:id="rId2" xr:uid="{F33D453A-94F3-4C43-A428-1C31146F5849}"/>
    <hyperlink ref="F26" r:id="rId3" xr:uid="{05DB718C-28D2-466D-A9AD-28A2C1C41619}"/>
    <hyperlink ref="F27" r:id="rId4" xr:uid="{6AADC647-CBB9-4BDD-9510-851E51887CE8}"/>
    <hyperlink ref="F44" r:id="rId5" display="https://pubs.usgs.gov/periodicals/mcs2023/mcs2023.pdf" xr:uid="{8CC60131-39D4-4C30-99EB-FBD1631E3985}"/>
    <hyperlink ref="F45:F49" r:id="rId6" display="https://pubs.usgs.gov/periodicals/mcs2023/mcs2023.pdf" xr:uid="{DB74D18E-0956-4039-869F-89798B89AD2E}"/>
    <hyperlink ref="F50" r:id="rId7" display="https://pubs.usgs.gov/periodicals/mcs2023/mcs2023.pdf" xr:uid="{0EDCAE91-CAA2-4CFD-BC49-0AD202E516DA}"/>
    <hyperlink ref="F51:F52" r:id="rId8" display="https://pubs.usgs.gov/periodicals/mcs2023/mcs2023.pdf" xr:uid="{40702B7E-7EE2-47C2-93F8-C877DA5C5469}"/>
    <hyperlink ref="F54" r:id="rId9" display="https://pubs.usgs.gov/periodicals/mcs2023/mcs2023.pdf" xr:uid="{2EB368F6-E170-4528-926E-5DFB90218E8E}"/>
    <hyperlink ref="F67" r:id="rId10" display="https://pubs.usgs.gov/periodicals/mcs2023/mcs2023.pdf" xr:uid="{5AD55461-5505-4CE5-B116-8AEF2557E744}"/>
    <hyperlink ref="F68:F71" r:id="rId11" display="https://pubs.usgs.gov/periodicals/mcs2023/mcs2023.pdf" xr:uid="{401DFCAF-A7FB-4A84-861B-B1C15E06B6CB}"/>
    <hyperlink ref="F72" r:id="rId12" display="https://pubs.usgs.gov/periodicals/mcs2023/mcs2023.pdf" xr:uid="{DC1B2FBF-696B-4B12-AB0A-7AECF3179055}"/>
    <hyperlink ref="F73:F74" r:id="rId13" display="https://pubs.usgs.gov/periodicals/mcs2023/mcs2023.pdf" xr:uid="{AE0B92A8-573C-46DC-8F8F-3E18C7950CCF}"/>
  </hyperlinks>
  <pageMargins left="0.7" right="0.7" top="0.75" bottom="0.75" header="0.3" footer="0.3"/>
  <extLst>
    <ext xmlns:x14="http://schemas.microsoft.com/office/spreadsheetml/2009/9/main" uri="{CCE6A557-97BC-4b89-ADB6-D9C93CAAB3DF}">
      <x14:dataValidations xmlns:xm="http://schemas.microsoft.com/office/excel/2006/main" count="1">
        <x14:dataValidation type="list" showInputMessage="1" showErrorMessage="1" xr:uid="{757FFF13-D890-4BFA-AB25-693CF0A9C60E}">
          <x14:formula1>
            <xm:f>'C:\Users\Celia\Documents\Industry Decarbonisation\Industrie Paper\Chemie\[Master template - python copy.xlsx]Lists'!#REF!</xm:f>
          </x14:formula1>
          <xm:sqref>A39</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7AE58D-D112-455F-98FD-6DCDB84E460C}">
  <dimension ref="A1:F25"/>
  <sheetViews>
    <sheetView workbookViewId="0">
      <selection activeCell="L8" sqref="L8"/>
    </sheetView>
  </sheetViews>
  <sheetFormatPr defaultRowHeight="15" x14ac:dyDescent="0.25"/>
  <sheetData>
    <row r="1" spans="1:6" x14ac:dyDescent="0.25">
      <c r="A1" s="1" t="s">
        <v>31</v>
      </c>
      <c r="B1" t="s">
        <v>13</v>
      </c>
      <c r="C1" t="s">
        <v>27</v>
      </c>
      <c r="D1" t="s">
        <v>29</v>
      </c>
      <c r="E1" t="s">
        <v>30</v>
      </c>
      <c r="F1" t="s">
        <v>33</v>
      </c>
    </row>
    <row r="2" spans="1:6" x14ac:dyDescent="0.25">
      <c r="A2" t="s">
        <v>335</v>
      </c>
      <c r="E2" s="71">
        <f>'calculations hvc'!J14</f>
        <v>3.6496350364963499</v>
      </c>
      <c r="F2" s="71"/>
    </row>
    <row r="3" spans="1:6" x14ac:dyDescent="0.25">
      <c r="A3" t="s">
        <v>32</v>
      </c>
      <c r="E3" s="71">
        <f>-'calculations hvc'!J15</f>
        <v>-1.386861313868613</v>
      </c>
      <c r="F3" s="71">
        <f>'calculations hvc'!K14</f>
        <v>2.3866348448687353</v>
      </c>
    </row>
    <row r="4" spans="1:6" s="2" customFormat="1" x14ac:dyDescent="0.25">
      <c r="A4" s="2" t="s">
        <v>12</v>
      </c>
    </row>
    <row r="5" spans="1:6" x14ac:dyDescent="0.25">
      <c r="A5" t="s">
        <v>32</v>
      </c>
      <c r="B5">
        <v>0</v>
      </c>
      <c r="C5">
        <v>0</v>
      </c>
      <c r="D5">
        <v>0</v>
      </c>
      <c r="E5" s="7" t="s">
        <v>296</v>
      </c>
      <c r="F5" s="7" t="s">
        <v>296</v>
      </c>
    </row>
    <row r="10" spans="1:6" s="2" customFormat="1" x14ac:dyDescent="0.25"/>
    <row r="11" spans="1:6" x14ac:dyDescent="0.25">
      <c r="A11" t="s">
        <v>14</v>
      </c>
      <c r="B11" t="s">
        <v>36</v>
      </c>
    </row>
    <row r="12" spans="1:6" x14ac:dyDescent="0.25">
      <c r="A12" t="s">
        <v>37</v>
      </c>
      <c r="B12" t="s">
        <v>38</v>
      </c>
    </row>
    <row r="13" spans="1:6" x14ac:dyDescent="0.25">
      <c r="A13" t="s">
        <v>35</v>
      </c>
      <c r="B13" s="4" t="s">
        <v>46</v>
      </c>
    </row>
    <row r="14" spans="1:6" x14ac:dyDescent="0.25">
      <c r="A14" t="s">
        <v>34</v>
      </c>
      <c r="B14" s="4" t="s">
        <v>39</v>
      </c>
    </row>
    <row r="15" spans="1:6" x14ac:dyDescent="0.25">
      <c r="A15" t="s">
        <v>40</v>
      </c>
      <c r="B15" s="5" t="s">
        <v>41</v>
      </c>
    </row>
    <row r="16" spans="1:6" x14ac:dyDescent="0.25">
      <c r="A16" t="s">
        <v>42</v>
      </c>
      <c r="B16" s="5" t="s">
        <v>43</v>
      </c>
    </row>
    <row r="17" spans="1:6" x14ac:dyDescent="0.25">
      <c r="A17" t="s">
        <v>44</v>
      </c>
      <c r="B17" s="5" t="s">
        <v>45</v>
      </c>
    </row>
    <row r="21" spans="1:6" x14ac:dyDescent="0.25">
      <c r="A21" s="1" t="s">
        <v>31</v>
      </c>
      <c r="B21" t="s">
        <v>13</v>
      </c>
      <c r="C21" t="s">
        <v>27</v>
      </c>
      <c r="D21" t="s">
        <v>29</v>
      </c>
      <c r="E21" t="s">
        <v>30</v>
      </c>
      <c r="F21" t="s">
        <v>33</v>
      </c>
    </row>
    <row r="22" spans="1:6" x14ac:dyDescent="0.25">
      <c r="A22" t="s">
        <v>32</v>
      </c>
      <c r="B22">
        <v>0</v>
      </c>
      <c r="C22">
        <v>0</v>
      </c>
      <c r="D22">
        <v>0</v>
      </c>
      <c r="E22">
        <f>1/0.75</f>
        <v>1.3333333333333333</v>
      </c>
      <c r="F22">
        <v>1.1000000000000001</v>
      </c>
    </row>
    <row r="23" spans="1:6" s="2" customFormat="1" x14ac:dyDescent="0.25">
      <c r="A23" s="2" t="s">
        <v>12</v>
      </c>
    </row>
    <row r="24" spans="1:6" x14ac:dyDescent="0.25">
      <c r="A24" t="s">
        <v>334</v>
      </c>
      <c r="B24">
        <v>0</v>
      </c>
      <c r="C24">
        <v>0</v>
      </c>
      <c r="D24">
        <v>0</v>
      </c>
      <c r="E24" t="s">
        <v>34</v>
      </c>
      <c r="F24" s="3" t="s">
        <v>35</v>
      </c>
    </row>
    <row r="25" spans="1:6" x14ac:dyDescent="0.25">
      <c r="A25" t="s">
        <v>32</v>
      </c>
    </row>
  </sheetData>
  <hyperlinks>
    <hyperlink ref="B15" r:id="rId1" xr:uid="{1AB2DD47-855D-4183-8AF5-3DD42B816B13}"/>
    <hyperlink ref="B16" r:id="rId2" display="https://plasticseurope.org/wp-content/uploads/2023/02/PlasticsEurope-National_ALL.pdf" xr:uid="{A685A380-2A05-4010-B454-7814107A1E05}"/>
    <hyperlink ref="B17" r:id="rId3" display="https://www.bkv-gmbh.de/files/bkv-neu/studien/Kurzfassung_Stoffstrombild_2021_13102022_1 .pdf" xr:uid="{68A79FA2-A5B1-49D1-9C52-12D13AD391B8}"/>
  </hyperlinks>
  <pageMargins left="0.7" right="0.7" top="0.75" bottom="0.75" header="0.3" footer="0.3"/>
  <pageSetup paperSize="9" orientation="portrait" r:id="rId4"/>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C0E491-AA3F-4A6D-9F4C-1EEA5F8DED7E}">
  <dimension ref="A1:G33"/>
  <sheetViews>
    <sheetView workbookViewId="0">
      <selection activeCell="B11" sqref="B11"/>
    </sheetView>
  </sheetViews>
  <sheetFormatPr defaultRowHeight="15" x14ac:dyDescent="0.25"/>
  <cols>
    <col min="2" max="3" width="9.28515625" bestFit="1" customWidth="1"/>
    <col min="4" max="4" width="9.5703125" bestFit="1" customWidth="1"/>
    <col min="5" max="5" width="11.7109375" bestFit="1" customWidth="1"/>
    <col min="6" max="6" width="9.85546875" bestFit="1" customWidth="1"/>
  </cols>
  <sheetData>
    <row r="1" spans="1:7" ht="30" x14ac:dyDescent="0.25">
      <c r="A1" s="1" t="s">
        <v>302</v>
      </c>
      <c r="B1" t="s">
        <v>13</v>
      </c>
      <c r="C1" t="s">
        <v>30</v>
      </c>
      <c r="D1" t="s">
        <v>33</v>
      </c>
      <c r="E1" t="s">
        <v>29</v>
      </c>
      <c r="F1" t="s">
        <v>27</v>
      </c>
    </row>
    <row r="2" spans="1:7" x14ac:dyDescent="0.25">
      <c r="A2" s="2" t="s">
        <v>17</v>
      </c>
      <c r="B2" s="72">
        <v>300</v>
      </c>
      <c r="C2" s="72">
        <v>869.51826642335766</v>
      </c>
      <c r="D2" s="72">
        <f>D23+E2</f>
        <v>1497.4428587642535</v>
      </c>
      <c r="E2" s="72">
        <f>275.723/0.9*'additional data'!C8</f>
        <v>281.85017777777779</v>
      </c>
      <c r="F2" s="72">
        <f>275.338/0.9*'additional data'!C8</f>
        <v>281.45662222222228</v>
      </c>
    </row>
    <row r="3" spans="1:7" x14ac:dyDescent="0.25">
      <c r="A3" s="2" t="s">
        <v>18</v>
      </c>
      <c r="B3" s="72">
        <v>300</v>
      </c>
      <c r="C3" s="72">
        <v>869.51826642335766</v>
      </c>
      <c r="D3" s="72">
        <f>D24+E3</f>
        <v>1497.4428587642535</v>
      </c>
      <c r="E3" s="72">
        <f>E2</f>
        <v>281.85017777777779</v>
      </c>
      <c r="F3" s="72">
        <f>F2</f>
        <v>281.45662222222228</v>
      </c>
    </row>
    <row r="4" spans="1:7" x14ac:dyDescent="0.25">
      <c r="A4" t="s">
        <v>303</v>
      </c>
      <c r="B4">
        <v>20</v>
      </c>
      <c r="C4">
        <v>20</v>
      </c>
      <c r="D4">
        <v>20</v>
      </c>
      <c r="E4">
        <v>20</v>
      </c>
      <c r="F4">
        <v>20</v>
      </c>
    </row>
    <row r="5" spans="1:7" s="2" customFormat="1" x14ac:dyDescent="0.25">
      <c r="A5" s="2" t="s">
        <v>12</v>
      </c>
    </row>
    <row r="6" spans="1:7" x14ac:dyDescent="0.25">
      <c r="A6" s="2" t="s">
        <v>17</v>
      </c>
      <c r="B6" t="s">
        <v>341</v>
      </c>
      <c r="C6" t="s">
        <v>297</v>
      </c>
      <c r="D6" t="s">
        <v>323</v>
      </c>
      <c r="E6" t="s">
        <v>311</v>
      </c>
      <c r="F6" t="s">
        <v>311</v>
      </c>
    </row>
    <row r="7" spans="1:7" x14ac:dyDescent="0.25">
      <c r="A7" s="2" t="s">
        <v>18</v>
      </c>
      <c r="B7" t="s">
        <v>342</v>
      </c>
      <c r="C7" t="s">
        <v>297</v>
      </c>
      <c r="D7" t="s">
        <v>324</v>
      </c>
      <c r="E7" t="s">
        <v>311</v>
      </c>
      <c r="F7" t="s">
        <v>311</v>
      </c>
    </row>
    <row r="8" spans="1:7" x14ac:dyDescent="0.25">
      <c r="A8" s="2" t="s">
        <v>51</v>
      </c>
      <c r="B8">
        <v>181</v>
      </c>
      <c r="C8" t="s">
        <v>299</v>
      </c>
      <c r="D8" t="s">
        <v>325</v>
      </c>
      <c r="E8">
        <v>6</v>
      </c>
      <c r="F8">
        <v>6</v>
      </c>
    </row>
    <row r="9" spans="1:7" x14ac:dyDescent="0.25">
      <c r="A9" s="2" t="s">
        <v>52</v>
      </c>
      <c r="C9" t="s">
        <v>298</v>
      </c>
      <c r="D9" t="s">
        <v>320</v>
      </c>
      <c r="E9" t="s">
        <v>314</v>
      </c>
      <c r="F9" t="s">
        <v>315</v>
      </c>
    </row>
    <row r="10" spans="1:7" x14ac:dyDescent="0.25">
      <c r="A10" s="2" t="s">
        <v>303</v>
      </c>
      <c r="B10" t="s">
        <v>328</v>
      </c>
      <c r="C10" t="s">
        <v>327</v>
      </c>
      <c r="D10" t="s">
        <v>306</v>
      </c>
      <c r="E10" t="s">
        <v>311</v>
      </c>
      <c r="F10" t="s">
        <v>311</v>
      </c>
    </row>
    <row r="11" spans="1:7" x14ac:dyDescent="0.25">
      <c r="A11" s="2" t="s">
        <v>51</v>
      </c>
      <c r="D11">
        <v>110</v>
      </c>
      <c r="E11" t="s">
        <v>310</v>
      </c>
      <c r="F11" t="s">
        <v>310</v>
      </c>
    </row>
    <row r="12" spans="1:7" x14ac:dyDescent="0.25">
      <c r="A12" s="2" t="s">
        <v>52</v>
      </c>
      <c r="D12" t="s">
        <v>326</v>
      </c>
      <c r="F12" s="69">
        <f>0.045*(1.045)^20/((1.045^20)-1)</f>
        <v>7.6876144324048185E-2</v>
      </c>
      <c r="G12" s="69" t="s">
        <v>308</v>
      </c>
    </row>
    <row r="13" spans="1:7" x14ac:dyDescent="0.25">
      <c r="F13" s="69">
        <f>F12*E2</f>
        <v>21.667554944603083</v>
      </c>
      <c r="G13" s="69" t="s">
        <v>309</v>
      </c>
    </row>
    <row r="14" spans="1:7" x14ac:dyDescent="0.25">
      <c r="A14" t="s">
        <v>14</v>
      </c>
      <c r="B14" t="s">
        <v>36</v>
      </c>
      <c r="F14" s="69">
        <f>F13/'additional data'!C8</f>
        <v>23.551690157177262</v>
      </c>
      <c r="G14" s="69" t="s">
        <v>313</v>
      </c>
    </row>
    <row r="15" spans="1:7" x14ac:dyDescent="0.25">
      <c r="A15" t="s">
        <v>311</v>
      </c>
      <c r="B15" t="s">
        <v>312</v>
      </c>
    </row>
    <row r="16" spans="1:7" x14ac:dyDescent="0.25">
      <c r="A16" t="s">
        <v>47</v>
      </c>
    </row>
    <row r="17" spans="1:5" x14ac:dyDescent="0.25">
      <c r="A17" t="s">
        <v>297</v>
      </c>
      <c r="B17" s="70" t="s">
        <v>329</v>
      </c>
    </row>
    <row r="18" spans="1:5" x14ac:dyDescent="0.25">
      <c r="A18" t="s">
        <v>306</v>
      </c>
      <c r="B18" s="5" t="s">
        <v>330</v>
      </c>
    </row>
    <row r="21" spans="1:5" x14ac:dyDescent="0.25">
      <c r="A21" t="s">
        <v>316</v>
      </c>
    </row>
    <row r="22" spans="1:5" ht="30" x14ac:dyDescent="0.25">
      <c r="A22" s="1" t="s">
        <v>302</v>
      </c>
      <c r="B22" t="s">
        <v>318</v>
      </c>
      <c r="C22" t="s">
        <v>319</v>
      </c>
      <c r="D22" t="s">
        <v>252</v>
      </c>
      <c r="E22" t="s">
        <v>13</v>
      </c>
    </row>
    <row r="23" spans="1:5" x14ac:dyDescent="0.25">
      <c r="A23" s="2" t="s">
        <v>17</v>
      </c>
      <c r="B23">
        <f>480*1.22</f>
        <v>585.6</v>
      </c>
      <c r="C23">
        <f>850*1000000/500000*'additional data'!C8</f>
        <v>1564</v>
      </c>
      <c r="D23">
        <f>1910000/(3750*'calculations hvc'!U17)</f>
        <v>1215.5926809864757</v>
      </c>
      <c r="E23" s="72">
        <v>268</v>
      </c>
    </row>
    <row r="24" spans="1:5" x14ac:dyDescent="0.25">
      <c r="A24" s="2" t="s">
        <v>18</v>
      </c>
      <c r="B24">
        <f>480*1.22</f>
        <v>585.6</v>
      </c>
      <c r="D24">
        <f>D23</f>
        <v>1215.5926809864757</v>
      </c>
      <c r="E24" s="72">
        <v>268</v>
      </c>
    </row>
    <row r="25" spans="1:5" x14ac:dyDescent="0.25">
      <c r="A25" t="s">
        <v>303</v>
      </c>
      <c r="B25" t="s">
        <v>322</v>
      </c>
      <c r="C25" t="s">
        <v>322</v>
      </c>
      <c r="D25">
        <v>20</v>
      </c>
      <c r="E25">
        <v>20</v>
      </c>
    </row>
    <row r="26" spans="1:5" x14ac:dyDescent="0.25">
      <c r="A26" s="2" t="s">
        <v>12</v>
      </c>
      <c r="B26" s="2"/>
      <c r="C26" s="2"/>
      <c r="D26" s="2"/>
      <c r="E26" s="2"/>
    </row>
    <row r="27" spans="1:5" x14ac:dyDescent="0.25">
      <c r="A27" s="2" t="s">
        <v>17</v>
      </c>
      <c r="B27" t="s">
        <v>317</v>
      </c>
      <c r="C27" s="5" t="s">
        <v>304</v>
      </c>
      <c r="E27" t="s">
        <v>14</v>
      </c>
    </row>
    <row r="28" spans="1:5" x14ac:dyDescent="0.25">
      <c r="A28" s="2" t="s">
        <v>18</v>
      </c>
      <c r="B28" t="s">
        <v>317</v>
      </c>
      <c r="D28" t="s">
        <v>307</v>
      </c>
      <c r="E28" t="s">
        <v>14</v>
      </c>
    </row>
    <row r="29" spans="1:5" x14ac:dyDescent="0.25">
      <c r="A29" s="2" t="s">
        <v>51</v>
      </c>
      <c r="C29">
        <v>2</v>
      </c>
      <c r="D29" t="s">
        <v>336</v>
      </c>
    </row>
    <row r="30" spans="1:5" x14ac:dyDescent="0.25">
      <c r="A30" s="2" t="s">
        <v>52</v>
      </c>
      <c r="C30" t="s">
        <v>305</v>
      </c>
      <c r="D30" t="s">
        <v>321</v>
      </c>
    </row>
    <row r="31" spans="1:5" x14ac:dyDescent="0.25">
      <c r="A31" s="2" t="s">
        <v>303</v>
      </c>
      <c r="D31" t="s">
        <v>306</v>
      </c>
      <c r="E31" t="s">
        <v>328</v>
      </c>
    </row>
    <row r="32" spans="1:5" x14ac:dyDescent="0.25">
      <c r="A32" s="2" t="s">
        <v>51</v>
      </c>
      <c r="D32">
        <v>110</v>
      </c>
    </row>
    <row r="33" spans="1:1" x14ac:dyDescent="0.25">
      <c r="A33" s="2" t="s">
        <v>52</v>
      </c>
    </row>
  </sheetData>
  <hyperlinks>
    <hyperlink ref="C27" r:id="rId1" xr:uid="{0CD11EF7-76DE-473C-A199-F88D41246C81}"/>
    <hyperlink ref="B17" r:id="rId2" xr:uid="{5559C4DF-C6EF-4BE2-90E6-0BF0B4A56E51}"/>
    <hyperlink ref="B18" r:id="rId3" xr:uid="{E170ADE0-1CC9-49CA-B70E-F4D2DD24C411}"/>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AFAA6A-5572-432E-A4F4-957E1F8A9DA8}">
  <dimension ref="A1:F12"/>
  <sheetViews>
    <sheetView workbookViewId="0">
      <selection activeCell="G1" sqref="G1"/>
    </sheetView>
  </sheetViews>
  <sheetFormatPr defaultRowHeight="15" x14ac:dyDescent="0.25"/>
  <sheetData>
    <row r="1" spans="1:6" x14ac:dyDescent="0.25">
      <c r="A1" t="s">
        <v>158</v>
      </c>
      <c r="B1" t="s">
        <v>207</v>
      </c>
      <c r="C1" t="s">
        <v>208</v>
      </c>
      <c r="D1" t="s">
        <v>209</v>
      </c>
      <c r="E1" s="7" t="s">
        <v>210</v>
      </c>
      <c r="F1" t="s">
        <v>231</v>
      </c>
    </row>
    <row r="2" spans="1:6" x14ac:dyDescent="0.25">
      <c r="A2" t="s">
        <v>151</v>
      </c>
      <c r="B2" s="71">
        <v>0.95</v>
      </c>
      <c r="C2" s="71">
        <v>0.5</v>
      </c>
      <c r="D2" s="71">
        <v>0.74499999999999988</v>
      </c>
      <c r="E2" s="73">
        <v>0.5</v>
      </c>
      <c r="F2" s="71">
        <v>0.5</v>
      </c>
    </row>
    <row r="3" spans="1:6" x14ac:dyDescent="0.25">
      <c r="A3" t="s">
        <v>216</v>
      </c>
      <c r="B3" s="71">
        <f>0.267+0.018</f>
        <v>0.28500000000000003</v>
      </c>
      <c r="C3" s="71">
        <v>0</v>
      </c>
      <c r="D3" s="71">
        <f>0.169+0.346</f>
        <v>0.51500000000000001</v>
      </c>
      <c r="E3" s="73">
        <v>0.2</v>
      </c>
      <c r="F3" s="71">
        <v>0</v>
      </c>
    </row>
    <row r="4" spans="1:6" x14ac:dyDescent="0.25">
      <c r="A4" t="s">
        <v>17</v>
      </c>
      <c r="B4" s="71">
        <f>160*B2</f>
        <v>152</v>
      </c>
      <c r="C4" s="71">
        <f t="shared" ref="C4:D4" si="0">160*C2+0</f>
        <v>80</v>
      </c>
      <c r="D4" s="71">
        <f t="shared" si="0"/>
        <v>119.19999999999999</v>
      </c>
      <c r="E4" s="73">
        <f>160*E2+0</f>
        <v>80</v>
      </c>
      <c r="F4" s="73">
        <f>160*F2+0</f>
        <v>80</v>
      </c>
    </row>
    <row r="5" spans="1:6" x14ac:dyDescent="0.25">
      <c r="A5" t="s">
        <v>222</v>
      </c>
      <c r="B5" s="71"/>
      <c r="C5" s="71">
        <f>7.5/2*C2</f>
        <v>1.875</v>
      </c>
      <c r="D5" s="71">
        <f>7.5/2*D2</f>
        <v>2.7937499999999997</v>
      </c>
      <c r="E5" s="73">
        <f>7.5/2*E2</f>
        <v>1.875</v>
      </c>
      <c r="F5" s="73">
        <f>7.5/2*F2</f>
        <v>1.875</v>
      </c>
    </row>
    <row r="7" spans="1:6" s="2" customFormat="1" x14ac:dyDescent="0.25">
      <c r="A7" s="2" t="s">
        <v>12</v>
      </c>
    </row>
    <row r="8" spans="1:6" x14ac:dyDescent="0.25">
      <c r="A8" t="s">
        <v>216</v>
      </c>
      <c r="B8" t="s">
        <v>217</v>
      </c>
    </row>
    <row r="9" spans="1:6" x14ac:dyDescent="0.25">
      <c r="A9" t="s">
        <v>17</v>
      </c>
      <c r="B9" t="s">
        <v>218</v>
      </c>
      <c r="C9" t="s">
        <v>219</v>
      </c>
      <c r="D9" t="s">
        <v>219</v>
      </c>
      <c r="E9" s="7" t="s">
        <v>220</v>
      </c>
    </row>
    <row r="10" spans="1:6" x14ac:dyDescent="0.25">
      <c r="A10" t="s">
        <v>52</v>
      </c>
      <c r="B10" t="s">
        <v>221</v>
      </c>
    </row>
    <row r="11" spans="1:6" x14ac:dyDescent="0.25">
      <c r="A11" t="s">
        <v>222</v>
      </c>
      <c r="C11" t="s">
        <v>223</v>
      </c>
      <c r="E11" s="7" t="s">
        <v>220</v>
      </c>
    </row>
    <row r="12" spans="1:6" x14ac:dyDescent="0.25">
      <c r="A12" t="s">
        <v>52</v>
      </c>
      <c r="E12" s="7" t="s">
        <v>224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E9564-64D8-4A25-80EA-1BDA27FEDC12}">
  <dimension ref="A1:U33"/>
  <sheetViews>
    <sheetView topLeftCell="A5" workbookViewId="0">
      <selection activeCell="B25" sqref="B25"/>
    </sheetView>
  </sheetViews>
  <sheetFormatPr defaultRowHeight="15" x14ac:dyDescent="0.25"/>
  <cols>
    <col min="3" max="3" width="13.85546875" customWidth="1"/>
    <col min="4" max="4" width="15.5703125" customWidth="1"/>
    <col min="5" max="5" width="8.85546875" style="3"/>
  </cols>
  <sheetData>
    <row r="1" spans="1:6" x14ac:dyDescent="0.25">
      <c r="A1" t="s">
        <v>206</v>
      </c>
      <c r="B1" t="s">
        <v>207</v>
      </c>
      <c r="C1" t="s">
        <v>208</v>
      </c>
      <c r="D1" t="s">
        <v>209</v>
      </c>
      <c r="E1" s="3" t="s">
        <v>210</v>
      </c>
      <c r="F1" t="s">
        <v>231</v>
      </c>
    </row>
    <row r="2" spans="1:6" x14ac:dyDescent="0.25">
      <c r="A2" t="s">
        <v>151</v>
      </c>
      <c r="B2">
        <v>0.95</v>
      </c>
      <c r="C2">
        <v>0.5</v>
      </c>
      <c r="D2">
        <v>0.74499999999999988</v>
      </c>
      <c r="E2" s="3">
        <v>0.5</v>
      </c>
      <c r="F2">
        <v>0.5</v>
      </c>
    </row>
    <row r="3" spans="1:6" x14ac:dyDescent="0.25">
      <c r="A3" t="s">
        <v>233</v>
      </c>
      <c r="B3">
        <v>0</v>
      </c>
      <c r="C3">
        <v>0.2</v>
      </c>
      <c r="D3">
        <v>0</v>
      </c>
      <c r="E3" s="3">
        <v>0</v>
      </c>
      <c r="F3">
        <v>0.15</v>
      </c>
    </row>
    <row r="4" spans="1:6" x14ac:dyDescent="0.25">
      <c r="A4" t="s">
        <v>232</v>
      </c>
      <c r="B4">
        <v>0</v>
      </c>
      <c r="C4">
        <v>0.25</v>
      </c>
      <c r="D4">
        <v>0.20499999999999999</v>
      </c>
      <c r="E4" s="3">
        <v>0</v>
      </c>
      <c r="F4">
        <v>0</v>
      </c>
    </row>
    <row r="5" spans="1:6" x14ac:dyDescent="0.25">
      <c r="A5" t="s">
        <v>169</v>
      </c>
      <c r="B5">
        <v>0</v>
      </c>
      <c r="C5">
        <v>0</v>
      </c>
      <c r="D5">
        <v>0</v>
      </c>
      <c r="E5" s="3">
        <v>0.45</v>
      </c>
      <c r="F5">
        <v>0</v>
      </c>
    </row>
    <row r="6" spans="1:6" x14ac:dyDescent="0.25">
      <c r="A6" t="s">
        <v>147</v>
      </c>
      <c r="B6">
        <v>0.05</v>
      </c>
      <c r="C6">
        <v>0.05</v>
      </c>
      <c r="D6">
        <v>0.05</v>
      </c>
      <c r="E6" s="3">
        <v>0.05</v>
      </c>
      <c r="F6">
        <v>0.05</v>
      </c>
    </row>
    <row r="7" spans="1:6" x14ac:dyDescent="0.25">
      <c r="A7" t="s">
        <v>139</v>
      </c>
      <c r="B7">
        <v>0</v>
      </c>
      <c r="C7">
        <v>0</v>
      </c>
      <c r="D7">
        <v>0</v>
      </c>
      <c r="E7" s="3">
        <v>0</v>
      </c>
      <c r="F7">
        <v>0.3</v>
      </c>
    </row>
    <row r="8" spans="1:6" x14ac:dyDescent="0.25">
      <c r="A8" t="s">
        <v>138</v>
      </c>
      <c r="B8">
        <f>B2+B3</f>
        <v>0.95</v>
      </c>
      <c r="C8">
        <f t="shared" ref="C8:F8" si="0">C2+C3</f>
        <v>0.7</v>
      </c>
      <c r="D8">
        <f t="shared" si="0"/>
        <v>0.74499999999999988</v>
      </c>
      <c r="E8">
        <f t="shared" si="0"/>
        <v>0.5</v>
      </c>
      <c r="F8">
        <f t="shared" si="0"/>
        <v>0.65</v>
      </c>
    </row>
    <row r="9" spans="1:6" s="2" customFormat="1" x14ac:dyDescent="0.25">
      <c r="A9" s="2" t="s">
        <v>159</v>
      </c>
      <c r="E9" s="25"/>
      <c r="F9" s="25"/>
    </row>
    <row r="10" spans="1:6" x14ac:dyDescent="0.25">
      <c r="A10" t="s">
        <v>151</v>
      </c>
      <c r="B10" t="s">
        <v>211</v>
      </c>
      <c r="C10" t="s">
        <v>212</v>
      </c>
      <c r="D10" t="s">
        <v>211</v>
      </c>
      <c r="E10" s="3" t="s">
        <v>212</v>
      </c>
      <c r="F10" t="s">
        <v>211</v>
      </c>
    </row>
    <row r="11" spans="1:6" x14ac:dyDescent="0.25">
      <c r="A11" t="s">
        <v>149</v>
      </c>
      <c r="B11" t="s">
        <v>211</v>
      </c>
      <c r="C11" t="s">
        <v>212</v>
      </c>
      <c r="D11" t="s">
        <v>211</v>
      </c>
      <c r="E11" s="3" t="s">
        <v>212</v>
      </c>
      <c r="F11" t="s">
        <v>211</v>
      </c>
    </row>
    <row r="12" spans="1:6" x14ac:dyDescent="0.25">
      <c r="A12" t="s">
        <v>169</v>
      </c>
      <c r="B12" t="s">
        <v>211</v>
      </c>
      <c r="C12" t="s">
        <v>212</v>
      </c>
      <c r="D12" t="s">
        <v>211</v>
      </c>
      <c r="E12" s="3" t="s">
        <v>212</v>
      </c>
      <c r="F12" t="s">
        <v>211</v>
      </c>
    </row>
    <row r="13" spans="1:6" x14ac:dyDescent="0.25">
      <c r="A13" t="s">
        <v>147</v>
      </c>
      <c r="B13" t="s">
        <v>211</v>
      </c>
      <c r="C13" t="s">
        <v>212</v>
      </c>
      <c r="D13" t="s">
        <v>211</v>
      </c>
      <c r="E13" s="3" t="s">
        <v>212</v>
      </c>
      <c r="F13" t="s">
        <v>211</v>
      </c>
    </row>
    <row r="14" spans="1:6" x14ac:dyDescent="0.25">
      <c r="A14" t="s">
        <v>52</v>
      </c>
      <c r="B14" t="s">
        <v>213</v>
      </c>
      <c r="C14" t="s">
        <v>214</v>
      </c>
      <c r="D14" t="s">
        <v>214</v>
      </c>
      <c r="E14" s="3" t="s">
        <v>215</v>
      </c>
      <c r="F14" t="s">
        <v>234</v>
      </c>
    </row>
    <row r="17" spans="1:21" x14ac:dyDescent="0.25">
      <c r="A17" t="s">
        <v>211</v>
      </c>
      <c r="B17" s="5" t="s">
        <v>225</v>
      </c>
    </row>
    <row r="18" spans="1:21" x14ac:dyDescent="0.25">
      <c r="A18" t="s">
        <v>212</v>
      </c>
    </row>
    <row r="19" spans="1:21" x14ac:dyDescent="0.25">
      <c r="B19" t="s">
        <v>239</v>
      </c>
      <c r="C19" t="s">
        <v>230</v>
      </c>
    </row>
    <row r="20" spans="1:21" x14ac:dyDescent="0.25">
      <c r="A20" t="s">
        <v>236</v>
      </c>
      <c r="B20" t="s">
        <v>237</v>
      </c>
      <c r="C20" t="s">
        <v>240</v>
      </c>
    </row>
    <row r="21" spans="1:21" x14ac:dyDescent="0.25">
      <c r="B21" t="s">
        <v>249</v>
      </c>
      <c r="C21" t="s">
        <v>238</v>
      </c>
    </row>
    <row r="22" spans="1:21" x14ac:dyDescent="0.25">
      <c r="B22" t="s">
        <v>139</v>
      </c>
      <c r="C22" t="s">
        <v>250</v>
      </c>
    </row>
    <row r="23" spans="1:21" s="11" customFormat="1" x14ac:dyDescent="0.25">
      <c r="B23" s="11" t="s">
        <v>138</v>
      </c>
      <c r="C23" s="11" t="s">
        <v>242</v>
      </c>
      <c r="E23" s="34"/>
    </row>
    <row r="24" spans="1:21" s="11" customFormat="1" x14ac:dyDescent="0.25">
      <c r="B24" s="11" t="s">
        <v>244</v>
      </c>
      <c r="C24" s="11" t="s">
        <v>243</v>
      </c>
      <c r="T24" s="35"/>
      <c r="U24" s="36"/>
    </row>
    <row r="25" spans="1:21" s="11" customFormat="1" x14ac:dyDescent="0.25">
      <c r="B25" s="11" t="s">
        <v>247</v>
      </c>
      <c r="C25" s="11" t="s">
        <v>245</v>
      </c>
      <c r="T25" s="35"/>
      <c r="U25" s="36"/>
    </row>
    <row r="26" spans="1:21" s="11" customFormat="1" x14ac:dyDescent="0.25">
      <c r="B26" s="11" t="s">
        <v>248</v>
      </c>
      <c r="C26" s="11" t="s">
        <v>246</v>
      </c>
      <c r="T26" s="35"/>
      <c r="U26" s="36"/>
    </row>
    <row r="27" spans="1:21" s="11" customFormat="1" x14ac:dyDescent="0.25">
      <c r="T27" s="35"/>
      <c r="U27" s="36"/>
    </row>
    <row r="28" spans="1:21" s="11" customFormat="1" x14ac:dyDescent="0.25">
      <c r="T28" s="35"/>
      <c r="U28" s="36"/>
    </row>
    <row r="29" spans="1:21" s="11" customFormat="1" x14ac:dyDescent="0.25">
      <c r="T29" s="35"/>
      <c r="U29" s="36"/>
    </row>
    <row r="30" spans="1:21" s="11" customFormat="1" x14ac:dyDescent="0.25">
      <c r="T30" s="35"/>
      <c r="U30" s="36"/>
    </row>
    <row r="31" spans="1:21" s="11" customFormat="1" x14ac:dyDescent="0.25">
      <c r="T31" s="35"/>
      <c r="U31" s="36"/>
    </row>
    <row r="32" spans="1:21" s="11" customFormat="1" x14ac:dyDescent="0.25">
      <c r="E32" s="34"/>
    </row>
    <row r="33" spans="5:5" s="11" customFormat="1" x14ac:dyDescent="0.25">
      <c r="E33" s="34"/>
    </row>
  </sheetData>
  <hyperlinks>
    <hyperlink ref="B17" r:id="rId1" xr:uid="{0201A5AB-3DBB-4208-B460-241A3BDC7710}"/>
  </hyperlinks>
  <pageMargins left="0.7" right="0.7" top="0.75" bottom="0.75" header="0.3" footer="0.3"/>
  <pageSetup paperSize="9" orientation="portrait" r:id="rId2"/>
  <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49AC2A-69B6-4C32-94C9-0B36693C107F}">
  <dimension ref="A1:W20"/>
  <sheetViews>
    <sheetView topLeftCell="F14" workbookViewId="0">
      <selection activeCell="L23" sqref="L22:L23"/>
    </sheetView>
  </sheetViews>
  <sheetFormatPr defaultRowHeight="15" x14ac:dyDescent="0.25"/>
  <cols>
    <col min="10" max="11" width="11.140625" bestFit="1" customWidth="1"/>
    <col min="14" max="14" width="8.85546875" style="61"/>
  </cols>
  <sheetData>
    <row r="1" spans="1:23" x14ac:dyDescent="0.25">
      <c r="B1" t="s">
        <v>291</v>
      </c>
      <c r="C1" t="s">
        <v>252</v>
      </c>
      <c r="D1" t="s">
        <v>30</v>
      </c>
      <c r="I1" t="s">
        <v>290</v>
      </c>
      <c r="N1" s="61" t="s">
        <v>289</v>
      </c>
    </row>
    <row r="2" spans="1:23" x14ac:dyDescent="0.25">
      <c r="A2" t="s">
        <v>292</v>
      </c>
      <c r="B2">
        <f>1.963*1000000/(2*8000)</f>
        <v>122.6875</v>
      </c>
      <c r="C2">
        <f>14.2*1000000/(8.1*8000)</f>
        <v>219.1358024691358</v>
      </c>
      <c r="D2">
        <f>(13523962/50000+41203354/200000)/2</f>
        <v>238.24800500000001</v>
      </c>
      <c r="I2" s="6" t="s">
        <v>287</v>
      </c>
      <c r="J2" t="s">
        <v>288</v>
      </c>
      <c r="K2" t="s">
        <v>33</v>
      </c>
      <c r="M2" s="37"/>
      <c r="N2" s="62" t="s">
        <v>253</v>
      </c>
      <c r="O2" s="37" t="s">
        <v>30</v>
      </c>
      <c r="Q2" s="59" t="s">
        <v>282</v>
      </c>
      <c r="R2" s="37"/>
      <c r="S2" s="37" t="s">
        <v>30</v>
      </c>
      <c r="T2" s="37"/>
      <c r="U2" s="37" t="s">
        <v>33</v>
      </c>
      <c r="V2" s="37"/>
      <c r="W2" s="37" t="s">
        <v>254</v>
      </c>
    </row>
    <row r="3" spans="1:23" ht="30" x14ac:dyDescent="0.25">
      <c r="A3" t="s">
        <v>293</v>
      </c>
      <c r="B3">
        <f>B2/J14</f>
        <v>33.616375000000005</v>
      </c>
      <c r="C3">
        <f>C2/K14</f>
        <v>91.817901234567884</v>
      </c>
      <c r="D3">
        <f>(13523962/50000+41203354/200000)/2/O16</f>
        <v>869.51826642335766</v>
      </c>
      <c r="I3" s="38" t="s">
        <v>255</v>
      </c>
      <c r="J3" s="60" t="str">
        <f>Q3</f>
        <v>Scenario 1.1.3</v>
      </c>
      <c r="K3" t="str">
        <f>U3</f>
        <v>Scenario 2</v>
      </c>
      <c r="M3" s="37"/>
      <c r="N3" s="63" t="s">
        <v>255</v>
      </c>
      <c r="O3" s="39" t="s">
        <v>256</v>
      </c>
      <c r="P3" s="39" t="s">
        <v>257</v>
      </c>
      <c r="Q3" s="40" t="s">
        <v>258</v>
      </c>
      <c r="R3" s="39" t="s">
        <v>259</v>
      </c>
      <c r="S3" s="39" t="s">
        <v>260</v>
      </c>
      <c r="T3" s="39" t="s">
        <v>261</v>
      </c>
      <c r="U3" s="40" t="s">
        <v>262</v>
      </c>
      <c r="V3" s="39" t="s">
        <v>263</v>
      </c>
      <c r="W3" s="40" t="s">
        <v>264</v>
      </c>
    </row>
    <row r="4" spans="1:23" ht="60" x14ac:dyDescent="0.25">
      <c r="A4" t="s">
        <v>294</v>
      </c>
      <c r="I4" s="41" t="s">
        <v>283</v>
      </c>
      <c r="J4">
        <f>Q4/3.6/$Q$16</f>
        <v>0.58799675587996747</v>
      </c>
      <c r="K4">
        <f>U4/3.6/$U$17</f>
        <v>0.38451339167329618</v>
      </c>
      <c r="M4" s="37"/>
      <c r="N4" s="64" t="s">
        <v>265</v>
      </c>
      <c r="O4" s="42">
        <v>0.57999999999999996</v>
      </c>
      <c r="P4" s="42">
        <v>0.57999999999999996</v>
      </c>
      <c r="Q4" s="43">
        <v>0.57999999999999996</v>
      </c>
      <c r="R4" s="44">
        <v>0.59</v>
      </c>
      <c r="S4" s="44">
        <v>0.59</v>
      </c>
      <c r="T4" s="44">
        <v>0.59</v>
      </c>
      <c r="U4" s="45">
        <v>0.57999999999999996</v>
      </c>
      <c r="V4" s="44">
        <v>0.59</v>
      </c>
      <c r="W4" s="45">
        <v>0.59</v>
      </c>
    </row>
    <row r="5" spans="1:23" ht="45" x14ac:dyDescent="0.25">
      <c r="A5" t="s">
        <v>295</v>
      </c>
      <c r="I5" s="41" t="s">
        <v>266</v>
      </c>
      <c r="J5">
        <f t="shared" ref="J5:J10" si="0">Q5/3.6/$Q$16</f>
        <v>6.0827250608272501E-2</v>
      </c>
      <c r="K5">
        <f t="shared" ref="K5:K10" si="1">U5/3.6/$U$17</f>
        <v>0</v>
      </c>
      <c r="M5" s="37"/>
      <c r="N5" s="64" t="s">
        <v>266</v>
      </c>
      <c r="O5" s="42">
        <v>0.06</v>
      </c>
      <c r="P5" s="42">
        <v>0.06</v>
      </c>
      <c r="Q5" s="43">
        <v>0.06</v>
      </c>
      <c r="R5" s="44">
        <v>0.06</v>
      </c>
      <c r="S5" s="44">
        <v>0.06</v>
      </c>
      <c r="T5" s="44">
        <v>0.06</v>
      </c>
      <c r="U5" s="45">
        <v>0</v>
      </c>
      <c r="V5" s="44">
        <v>0.06</v>
      </c>
      <c r="W5" s="45">
        <v>0.06</v>
      </c>
    </row>
    <row r="6" spans="1:23" ht="30" x14ac:dyDescent="0.25">
      <c r="A6" t="s">
        <v>52</v>
      </c>
      <c r="B6" t="s">
        <v>301</v>
      </c>
      <c r="C6" t="s">
        <v>300</v>
      </c>
      <c r="D6" t="s">
        <v>298</v>
      </c>
      <c r="I6" s="41" t="s">
        <v>267</v>
      </c>
      <c r="J6">
        <f t="shared" si="0"/>
        <v>0.4663422546634225</v>
      </c>
      <c r="K6">
        <f t="shared" si="1"/>
        <v>0</v>
      </c>
      <c r="M6" s="37"/>
      <c r="N6" s="64" t="s">
        <v>267</v>
      </c>
      <c r="O6" s="42">
        <v>0.46</v>
      </c>
      <c r="P6" s="42">
        <v>0.46</v>
      </c>
      <c r="Q6" s="43">
        <v>0.46</v>
      </c>
      <c r="R6" s="44">
        <v>0.24</v>
      </c>
      <c r="S6" s="44">
        <v>0.24</v>
      </c>
      <c r="T6" s="44">
        <v>0.24</v>
      </c>
      <c r="U6" s="45">
        <v>0</v>
      </c>
      <c r="V6" s="44">
        <v>0.46</v>
      </c>
      <c r="W6" s="45">
        <v>0.23</v>
      </c>
    </row>
    <row r="7" spans="1:23" x14ac:dyDescent="0.25">
      <c r="A7" t="s">
        <v>26</v>
      </c>
      <c r="B7" t="s">
        <v>296</v>
      </c>
      <c r="C7" t="s">
        <v>296</v>
      </c>
      <c r="D7" t="s">
        <v>297</v>
      </c>
      <c r="I7" s="41" t="s">
        <v>268</v>
      </c>
      <c r="J7">
        <f t="shared" si="0"/>
        <v>0</v>
      </c>
      <c r="K7">
        <f t="shared" si="1"/>
        <v>4.4152744630071599</v>
      </c>
      <c r="M7" s="37"/>
      <c r="N7" s="64" t="s">
        <v>268</v>
      </c>
      <c r="O7" s="42">
        <v>0</v>
      </c>
      <c r="P7" s="42">
        <v>0</v>
      </c>
      <c r="Q7" s="43">
        <v>0</v>
      </c>
      <c r="R7" s="44">
        <v>0</v>
      </c>
      <c r="S7" s="44">
        <v>0</v>
      </c>
      <c r="T7" s="44">
        <v>0</v>
      </c>
      <c r="U7" s="45">
        <v>6.66</v>
      </c>
      <c r="V7" s="44">
        <v>3.9</v>
      </c>
      <c r="W7" s="45">
        <v>5.26</v>
      </c>
    </row>
    <row r="8" spans="1:23" ht="30" x14ac:dyDescent="0.25">
      <c r="A8" t="s">
        <v>51</v>
      </c>
      <c r="B8">
        <v>6</v>
      </c>
      <c r="C8">
        <v>6</v>
      </c>
      <c r="D8" s="68" t="s">
        <v>299</v>
      </c>
      <c r="I8" s="41" t="s">
        <v>269</v>
      </c>
      <c r="J8">
        <f t="shared" si="0"/>
        <v>0</v>
      </c>
      <c r="K8">
        <f t="shared" si="1"/>
        <v>5.1776717051180059</v>
      </c>
      <c r="M8" s="37"/>
      <c r="N8" s="64" t="s">
        <v>269</v>
      </c>
      <c r="O8" s="42">
        <v>0</v>
      </c>
      <c r="P8" s="42">
        <v>0</v>
      </c>
      <c r="Q8" s="43">
        <v>0</v>
      </c>
      <c r="R8" s="44">
        <v>0</v>
      </c>
      <c r="S8" s="44">
        <v>0</v>
      </c>
      <c r="T8" s="44">
        <v>0</v>
      </c>
      <c r="U8" s="45">
        <v>7.81</v>
      </c>
      <c r="V8" s="44">
        <v>4.58</v>
      </c>
      <c r="W8" s="45">
        <v>6.17</v>
      </c>
    </row>
    <row r="9" spans="1:23" ht="45" x14ac:dyDescent="0.25">
      <c r="I9" s="41" t="s">
        <v>270</v>
      </c>
      <c r="J9">
        <f t="shared" si="0"/>
        <v>0</v>
      </c>
      <c r="K9">
        <f t="shared" si="1"/>
        <v>0.79554494828957834</v>
      </c>
      <c r="M9" s="37"/>
      <c r="N9" s="64" t="s">
        <v>270</v>
      </c>
      <c r="O9" s="42">
        <v>0</v>
      </c>
      <c r="P9" s="42">
        <v>0</v>
      </c>
      <c r="Q9" s="43">
        <v>0</v>
      </c>
      <c r="R9" s="44">
        <v>0</v>
      </c>
      <c r="S9" s="44">
        <v>0</v>
      </c>
      <c r="T9" s="44">
        <v>0</v>
      </c>
      <c r="U9" s="45">
        <v>1.2</v>
      </c>
      <c r="V9" s="44">
        <v>0.71</v>
      </c>
      <c r="W9" s="45">
        <v>0.95</v>
      </c>
    </row>
    <row r="10" spans="1:23" ht="75" x14ac:dyDescent="0.25">
      <c r="I10" s="41" t="s">
        <v>271</v>
      </c>
      <c r="J10">
        <f t="shared" si="0"/>
        <v>2.02757502027575E-2</v>
      </c>
      <c r="K10">
        <f t="shared" si="1"/>
        <v>1.3259082471492973E-2</v>
      </c>
      <c r="M10" s="37"/>
      <c r="N10" s="64" t="s">
        <v>271</v>
      </c>
      <c r="O10" s="42">
        <v>0.02</v>
      </c>
      <c r="P10" s="42">
        <v>0.02</v>
      </c>
      <c r="Q10" s="43">
        <v>0.02</v>
      </c>
      <c r="R10" s="44">
        <v>0.02</v>
      </c>
      <c r="S10" s="44">
        <v>0.02</v>
      </c>
      <c r="T10" s="44">
        <v>0.02</v>
      </c>
      <c r="U10" s="45">
        <v>0.02</v>
      </c>
      <c r="V10" s="44">
        <v>0.02</v>
      </c>
      <c r="W10" s="45">
        <v>0.02</v>
      </c>
    </row>
    <row r="11" spans="1:23" ht="225.75" thickBot="1" x14ac:dyDescent="0.3">
      <c r="I11" s="50" t="s">
        <v>339</v>
      </c>
      <c r="J11" s="50">
        <f>SUM(J4:J10)</f>
        <v>1.1354420113544199</v>
      </c>
      <c r="K11" s="50">
        <f>SUM(K4:K8)</f>
        <v>9.9774595597984614</v>
      </c>
      <c r="M11" s="37"/>
      <c r="N11" s="64" t="s">
        <v>272</v>
      </c>
      <c r="O11" s="42">
        <v>-1.53</v>
      </c>
      <c r="P11" s="42">
        <v>-1.53</v>
      </c>
      <c r="Q11" s="43">
        <v>-1.53</v>
      </c>
      <c r="R11" s="44">
        <v>-1.53</v>
      </c>
      <c r="S11" s="44">
        <v>-1.53</v>
      </c>
      <c r="T11" s="44">
        <v>-1.53</v>
      </c>
      <c r="U11" s="45">
        <v>-1.53</v>
      </c>
      <c r="V11" s="44">
        <v>-1.53</v>
      </c>
      <c r="W11" s="45">
        <v>-1.53</v>
      </c>
    </row>
    <row r="12" spans="1:23" ht="60" x14ac:dyDescent="0.25">
      <c r="I12" s="54" t="s">
        <v>284</v>
      </c>
      <c r="J12">
        <v>1</v>
      </c>
      <c r="K12">
        <v>0</v>
      </c>
      <c r="M12" s="37"/>
      <c r="N12" s="64" t="s">
        <v>273</v>
      </c>
      <c r="O12" s="42">
        <v>15.2</v>
      </c>
      <c r="P12" s="42">
        <v>15.2</v>
      </c>
      <c r="Q12" s="43">
        <v>15.2</v>
      </c>
      <c r="R12" s="44">
        <v>18.59</v>
      </c>
      <c r="S12" s="44">
        <v>18.59</v>
      </c>
      <c r="T12" s="45">
        <v>18.59</v>
      </c>
      <c r="U12" s="45">
        <v>5.79</v>
      </c>
      <c r="V12" s="44">
        <v>5.87</v>
      </c>
      <c r="W12" s="45">
        <v>5.83</v>
      </c>
    </row>
    <row r="13" spans="1:23" ht="45" x14ac:dyDescent="0.25">
      <c r="I13" s="54" t="s">
        <v>338</v>
      </c>
      <c r="J13">
        <v>0</v>
      </c>
      <c r="K13">
        <v>1</v>
      </c>
      <c r="M13" s="37"/>
      <c r="N13" s="64" t="s">
        <v>274</v>
      </c>
      <c r="O13" s="42">
        <v>-9.65</v>
      </c>
      <c r="P13" s="42">
        <v>-10.98</v>
      </c>
      <c r="Q13" s="43">
        <v>-16.329999999999998</v>
      </c>
      <c r="R13" s="44">
        <v>-11.8</v>
      </c>
      <c r="S13" s="44">
        <v>-13.6</v>
      </c>
      <c r="T13" s="45">
        <v>-20.87</v>
      </c>
      <c r="U13" s="45">
        <v>-4.8499999999999996</v>
      </c>
      <c r="V13" s="44">
        <v>-4.41</v>
      </c>
      <c r="W13" s="45">
        <v>-4.63</v>
      </c>
    </row>
    <row r="14" spans="1:23" ht="60.75" thickBot="1" x14ac:dyDescent="0.3">
      <c r="I14" s="54" t="s">
        <v>285</v>
      </c>
      <c r="J14">
        <f>1/Q16</f>
        <v>3.6496350364963499</v>
      </c>
      <c r="K14">
        <f>1/U17</f>
        <v>2.3866348448687353</v>
      </c>
      <c r="M14" s="37"/>
      <c r="N14" s="65" t="s">
        <v>275</v>
      </c>
      <c r="O14" s="46">
        <v>-22.67</v>
      </c>
      <c r="P14" s="46">
        <v>-22.67</v>
      </c>
      <c r="Q14" s="47">
        <v>-22.67</v>
      </c>
      <c r="R14" s="48">
        <v>-11.6</v>
      </c>
      <c r="S14" s="48">
        <v>-11.6</v>
      </c>
      <c r="T14" s="48">
        <v>-11.6</v>
      </c>
      <c r="U14" s="49">
        <v>-31.57</v>
      </c>
      <c r="V14" s="48">
        <v>-41.02</v>
      </c>
      <c r="W14" s="49">
        <v>-36.380000000000003</v>
      </c>
    </row>
    <row r="15" spans="1:23" ht="90.75" thickBot="1" x14ac:dyDescent="0.3">
      <c r="I15" s="54" t="s">
        <v>286</v>
      </c>
      <c r="J15">
        <f>O19/O16</f>
        <v>1.386861313868613</v>
      </c>
      <c r="K15">
        <v>0</v>
      </c>
      <c r="M15" s="37"/>
      <c r="N15" s="66" t="s">
        <v>276</v>
      </c>
      <c r="O15" s="50">
        <v>-17.52</v>
      </c>
      <c r="P15" s="50">
        <v>-18.850000000000001</v>
      </c>
      <c r="Q15" s="51">
        <v>-24.19</v>
      </c>
      <c r="R15" s="52">
        <v>-5.44</v>
      </c>
      <c r="S15" s="52">
        <v>-7.24</v>
      </c>
      <c r="T15" s="52">
        <v>-14.51</v>
      </c>
      <c r="U15" s="53">
        <v>-15.88</v>
      </c>
      <c r="V15" s="52">
        <v>-30.77</v>
      </c>
      <c r="W15" s="53">
        <v>-23.41</v>
      </c>
    </row>
    <row r="16" spans="1:23" ht="45" x14ac:dyDescent="0.25">
      <c r="M16" s="37"/>
      <c r="N16" s="67" t="s">
        <v>278</v>
      </c>
      <c r="O16" s="55">
        <v>0.27400000000000002</v>
      </c>
      <c r="P16" s="55">
        <v>0.27400000000000002</v>
      </c>
      <c r="Q16" s="56">
        <v>0.27400000000000002</v>
      </c>
      <c r="R16" s="57"/>
      <c r="S16" s="57"/>
      <c r="T16" s="37"/>
      <c r="U16" s="57">
        <v>0</v>
      </c>
      <c r="V16" s="57">
        <v>0.27</v>
      </c>
      <c r="W16" s="57">
        <v>0.27</v>
      </c>
    </row>
    <row r="17" spans="13:23" ht="45" x14ac:dyDescent="0.25">
      <c r="M17" s="37" t="s">
        <v>277</v>
      </c>
      <c r="N17" s="67" t="s">
        <v>337</v>
      </c>
      <c r="O17" s="55">
        <v>0</v>
      </c>
      <c r="P17" s="55">
        <v>0</v>
      </c>
      <c r="Q17" s="58">
        <v>0</v>
      </c>
      <c r="R17" s="57"/>
      <c r="S17" s="57"/>
      <c r="T17" s="37"/>
      <c r="U17" s="57">
        <v>0.41899999999999998</v>
      </c>
      <c r="V17" s="57">
        <v>0.23</v>
      </c>
      <c r="W17" s="57">
        <v>0.24</v>
      </c>
    </row>
    <row r="18" spans="13:23" x14ac:dyDescent="0.25">
      <c r="M18" s="37" t="s">
        <v>279</v>
      </c>
      <c r="N18" s="78" t="s">
        <v>280</v>
      </c>
      <c r="O18" s="78"/>
      <c r="P18" s="78"/>
      <c r="Q18" s="78"/>
      <c r="R18" s="78"/>
      <c r="S18" s="78"/>
      <c r="T18" s="78"/>
      <c r="U18" s="78"/>
      <c r="V18" s="78"/>
      <c r="W18" s="78"/>
    </row>
    <row r="19" spans="13:23" ht="45" x14ac:dyDescent="0.25">
      <c r="M19" s="37"/>
      <c r="N19" s="67" t="s">
        <v>281</v>
      </c>
      <c r="O19" s="55">
        <v>0.38</v>
      </c>
      <c r="P19" s="55">
        <v>0.38</v>
      </c>
      <c r="Q19" s="55">
        <v>0.38</v>
      </c>
      <c r="R19" s="37"/>
      <c r="S19" s="37"/>
      <c r="T19" s="37"/>
      <c r="U19" s="37">
        <v>0</v>
      </c>
      <c r="V19" s="57">
        <v>0</v>
      </c>
      <c r="W19" s="37">
        <v>0</v>
      </c>
    </row>
    <row r="20" spans="13:23" x14ac:dyDescent="0.25">
      <c r="M20" s="37" t="s">
        <v>279</v>
      </c>
    </row>
  </sheetData>
  <mergeCells count="1">
    <mergeCell ref="N18:W18"/>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8BBB5D-C55A-40DC-95E4-3952B72A4063}">
  <dimension ref="A1:G9"/>
  <sheetViews>
    <sheetView workbookViewId="0">
      <selection activeCell="E11" sqref="E11"/>
    </sheetView>
  </sheetViews>
  <sheetFormatPr defaultRowHeight="15" x14ac:dyDescent="0.25"/>
  <sheetData>
    <row r="1" spans="1:7" x14ac:dyDescent="0.25">
      <c r="A1" t="s">
        <v>21</v>
      </c>
      <c r="B1" t="s">
        <v>22</v>
      </c>
      <c r="C1" t="s">
        <v>25</v>
      </c>
      <c r="D1" t="s">
        <v>26</v>
      </c>
    </row>
    <row r="2" spans="1:7" x14ac:dyDescent="0.25">
      <c r="A2" t="s">
        <v>23</v>
      </c>
      <c r="B2" t="s">
        <v>24</v>
      </c>
      <c r="C2">
        <v>5.54</v>
      </c>
      <c r="D2" t="s">
        <v>343</v>
      </c>
    </row>
    <row r="3" spans="1:7" x14ac:dyDescent="0.25">
      <c r="A3" t="s">
        <v>65</v>
      </c>
      <c r="B3" t="s">
        <v>24</v>
      </c>
      <c r="C3">
        <v>4.17</v>
      </c>
      <c r="F3" t="s">
        <v>66</v>
      </c>
      <c r="G3" t="s">
        <v>152</v>
      </c>
    </row>
    <row r="4" spans="1:7" x14ac:dyDescent="0.25">
      <c r="A4" t="s">
        <v>68</v>
      </c>
      <c r="B4" t="s">
        <v>24</v>
      </c>
      <c r="C4">
        <v>8.06</v>
      </c>
      <c r="F4" t="s">
        <v>69</v>
      </c>
      <c r="G4" t="s">
        <v>153</v>
      </c>
    </row>
    <row r="5" spans="1:7" x14ac:dyDescent="0.25">
      <c r="A5" t="s">
        <v>70</v>
      </c>
      <c r="B5" t="s">
        <v>24</v>
      </c>
      <c r="C5">
        <v>8.06</v>
      </c>
      <c r="F5" t="s">
        <v>69</v>
      </c>
      <c r="G5" t="s">
        <v>153</v>
      </c>
    </row>
    <row r="6" spans="1:7" x14ac:dyDescent="0.25">
      <c r="A6" t="s">
        <v>72</v>
      </c>
      <c r="B6" t="s">
        <v>24</v>
      </c>
      <c r="C6">
        <v>5</v>
      </c>
      <c r="F6" t="s">
        <v>73</v>
      </c>
      <c r="G6" t="s">
        <v>154</v>
      </c>
    </row>
    <row r="7" spans="1:7" x14ac:dyDescent="0.25">
      <c r="A7" s="8" t="s">
        <v>228</v>
      </c>
      <c r="B7" s="8" t="s">
        <v>95</v>
      </c>
      <c r="C7">
        <f>C8*C9</f>
        <v>0.25555555555555559</v>
      </c>
    </row>
    <row r="8" spans="1:7" x14ac:dyDescent="0.25">
      <c r="A8" s="8" t="s">
        <v>226</v>
      </c>
      <c r="B8" s="8" t="s">
        <v>96</v>
      </c>
      <c r="C8">
        <v>0.92</v>
      </c>
    </row>
    <row r="9" spans="1:7" x14ac:dyDescent="0.25">
      <c r="A9" s="8" t="s">
        <v>227</v>
      </c>
      <c r="B9" s="8" t="s">
        <v>229</v>
      </c>
      <c r="C9">
        <f>1/3.6</f>
        <v>0.27777777777777779</v>
      </c>
    </row>
  </sheetData>
  <dataValidations count="1">
    <dataValidation showErrorMessage="1" sqref="F3:G3 A3 B3:C6 B7:C9" xr:uid="{0AB99D4B-8397-48D9-A3C7-37F5E2C2FD81}"/>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F1B5A4-11BE-4F60-8839-150254276424}">
  <dimension ref="A1:G21"/>
  <sheetViews>
    <sheetView workbookViewId="0">
      <selection sqref="A1:XFD1"/>
    </sheetView>
  </sheetViews>
  <sheetFormatPr defaultRowHeight="15" x14ac:dyDescent="0.25"/>
  <cols>
    <col min="3" max="3" width="18.5703125" customWidth="1"/>
  </cols>
  <sheetData>
    <row r="1" spans="1:7" x14ac:dyDescent="0.25">
      <c r="A1" s="16" t="s">
        <v>181</v>
      </c>
      <c r="B1" s="17" t="s">
        <v>182</v>
      </c>
      <c r="C1" s="18" t="s">
        <v>183</v>
      </c>
      <c r="D1" s="18" t="s">
        <v>22</v>
      </c>
      <c r="E1" t="s">
        <v>26</v>
      </c>
    </row>
    <row r="2" spans="1:7" x14ac:dyDescent="0.25">
      <c r="A2" s="16" t="s">
        <v>184</v>
      </c>
      <c r="B2" s="17">
        <v>2020</v>
      </c>
      <c r="C2" s="18">
        <v>1.068012</v>
      </c>
      <c r="D2" s="18" t="s">
        <v>185</v>
      </c>
      <c r="E2" s="5" t="s">
        <v>186</v>
      </c>
    </row>
    <row r="3" spans="1:7" x14ac:dyDescent="0.25">
      <c r="A3" s="16" t="s">
        <v>187</v>
      </c>
      <c r="B3" s="17">
        <v>2020</v>
      </c>
      <c r="C3" s="18">
        <v>2.0949270000000002</v>
      </c>
      <c r="D3" s="18" t="s">
        <v>185</v>
      </c>
      <c r="E3" s="5" t="s">
        <v>186</v>
      </c>
    </row>
    <row r="4" spans="1:7" x14ac:dyDescent="0.25">
      <c r="A4" s="16" t="s">
        <v>188</v>
      </c>
      <c r="B4" s="17">
        <v>2020</v>
      </c>
      <c r="C4" s="18">
        <v>4.6173570000000002</v>
      </c>
      <c r="D4" s="18" t="s">
        <v>185</v>
      </c>
      <c r="E4" s="5" t="s">
        <v>186</v>
      </c>
    </row>
    <row r="5" spans="1:7" x14ac:dyDescent="0.25">
      <c r="A5" s="16" t="s">
        <v>189</v>
      </c>
      <c r="B5" s="17">
        <v>2020</v>
      </c>
      <c r="C5" s="18">
        <v>3.8190789999999999</v>
      </c>
      <c r="D5" s="18" t="s">
        <v>185</v>
      </c>
      <c r="E5" s="5" t="s">
        <v>186</v>
      </c>
    </row>
    <row r="6" spans="1:7" x14ac:dyDescent="0.25">
      <c r="A6" s="16" t="s">
        <v>190</v>
      </c>
      <c r="B6" s="17">
        <v>2020</v>
      </c>
      <c r="C6" s="18">
        <v>1.878725</v>
      </c>
      <c r="D6" s="18" t="s">
        <v>185</v>
      </c>
      <c r="E6" s="5" t="s">
        <v>186</v>
      </c>
    </row>
    <row r="7" spans="1:7" x14ac:dyDescent="0.25">
      <c r="A7" s="16" t="s">
        <v>191</v>
      </c>
      <c r="B7" s="17">
        <v>2020</v>
      </c>
      <c r="C7" s="79">
        <v>22.368639000000002</v>
      </c>
      <c r="D7" s="18" t="s">
        <v>185</v>
      </c>
      <c r="E7" s="5" t="s">
        <v>186</v>
      </c>
    </row>
    <row r="8" spans="1:7" x14ac:dyDescent="0.25">
      <c r="A8" s="16" t="s">
        <v>192</v>
      </c>
      <c r="B8" s="17">
        <v>2020</v>
      </c>
      <c r="C8" s="18">
        <v>30.18224</v>
      </c>
      <c r="D8" s="18" t="s">
        <v>185</v>
      </c>
      <c r="E8" s="5" t="s">
        <v>186</v>
      </c>
    </row>
    <row r="9" spans="1:7" x14ac:dyDescent="0.25">
      <c r="A9" s="16" t="s">
        <v>193</v>
      </c>
      <c r="B9" s="17">
        <v>2020</v>
      </c>
      <c r="C9" s="18">
        <v>33.948529999999998</v>
      </c>
      <c r="D9" s="18" t="s">
        <v>185</v>
      </c>
      <c r="E9" s="5" t="s">
        <v>186</v>
      </c>
    </row>
    <row r="10" spans="1:7" x14ac:dyDescent="0.25">
      <c r="A10" s="19" t="s">
        <v>194</v>
      </c>
      <c r="B10" s="20">
        <v>2020</v>
      </c>
      <c r="C10">
        <v>3125</v>
      </c>
      <c r="D10" s="21" t="s">
        <v>195</v>
      </c>
      <c r="E10" s="5" t="s">
        <v>196</v>
      </c>
      <c r="F10" t="s">
        <v>197</v>
      </c>
      <c r="G10" s="5"/>
    </row>
    <row r="11" spans="1:7" x14ac:dyDescent="0.25">
      <c r="A11" s="19" t="s">
        <v>16</v>
      </c>
      <c r="B11" s="20">
        <v>2020</v>
      </c>
      <c r="C11">
        <v>1520</v>
      </c>
      <c r="D11" s="21" t="s">
        <v>195</v>
      </c>
      <c r="E11" s="5" t="s">
        <v>196</v>
      </c>
      <c r="F11" t="s">
        <v>197</v>
      </c>
    </row>
    <row r="12" spans="1:7" x14ac:dyDescent="0.25">
      <c r="A12" s="22" t="s">
        <v>198</v>
      </c>
      <c r="B12" s="23">
        <v>2020</v>
      </c>
      <c r="C12" s="9">
        <v>1520</v>
      </c>
      <c r="D12" s="21" t="s">
        <v>195</v>
      </c>
      <c r="E12" s="24" t="s">
        <v>196</v>
      </c>
      <c r="F12" s="9" t="s">
        <v>197</v>
      </c>
      <c r="G12" s="9"/>
    </row>
    <row r="13" spans="1:7" x14ac:dyDescent="0.25">
      <c r="A13" s="19" t="s">
        <v>199</v>
      </c>
      <c r="B13" s="20">
        <v>2020</v>
      </c>
      <c r="C13">
        <v>0</v>
      </c>
      <c r="D13" s="21" t="s">
        <v>195</v>
      </c>
      <c r="E13" s="5" t="s">
        <v>196</v>
      </c>
      <c r="F13" t="s">
        <v>197</v>
      </c>
    </row>
    <row r="14" spans="1:7" x14ac:dyDescent="0.25">
      <c r="A14" s="19" t="s">
        <v>200</v>
      </c>
      <c r="B14" s="20">
        <v>2020</v>
      </c>
      <c r="C14">
        <v>3179</v>
      </c>
      <c r="D14" s="21" t="s">
        <v>195</v>
      </c>
      <c r="E14" s="5" t="s">
        <v>196</v>
      </c>
      <c r="F14" t="s">
        <v>201</v>
      </c>
    </row>
    <row r="15" spans="1:7" x14ac:dyDescent="0.25">
      <c r="A15" s="19" t="s">
        <v>202</v>
      </c>
      <c r="B15" s="20">
        <v>2020</v>
      </c>
      <c r="C15">
        <v>13089</v>
      </c>
      <c r="D15" s="21" t="s">
        <v>195</v>
      </c>
      <c r="E15" s="5" t="s">
        <v>196</v>
      </c>
      <c r="F15" t="s">
        <v>201</v>
      </c>
      <c r="G15" t="s">
        <v>203</v>
      </c>
    </row>
    <row r="16" spans="1:7" x14ac:dyDescent="0.25">
      <c r="A16" s="19" t="s">
        <v>204</v>
      </c>
      <c r="B16" s="20">
        <v>2020</v>
      </c>
      <c r="C16">
        <v>386</v>
      </c>
      <c r="D16" s="21" t="s">
        <v>195</v>
      </c>
      <c r="E16" s="5" t="s">
        <v>196</v>
      </c>
      <c r="F16" t="s">
        <v>201</v>
      </c>
    </row>
    <row r="17" spans="1:7" x14ac:dyDescent="0.25">
      <c r="A17" s="19" t="s">
        <v>205</v>
      </c>
      <c r="B17" s="20">
        <v>2020</v>
      </c>
      <c r="C17">
        <v>21299</v>
      </c>
      <c r="D17" s="21" t="s">
        <v>195</v>
      </c>
    </row>
    <row r="19" spans="1:7" x14ac:dyDescent="0.25">
      <c r="A19" s="19" t="s">
        <v>385</v>
      </c>
      <c r="B19" s="20">
        <v>2045</v>
      </c>
      <c r="C19">
        <v>18390.57</v>
      </c>
      <c r="D19" s="21" t="s">
        <v>195</v>
      </c>
      <c r="E19" t="s">
        <v>386</v>
      </c>
      <c r="F19" t="s">
        <v>392</v>
      </c>
      <c r="G19" s="5" t="s">
        <v>391</v>
      </c>
    </row>
    <row r="20" spans="1:7" x14ac:dyDescent="0.25">
      <c r="A20" s="19" t="s">
        <v>387</v>
      </c>
      <c r="B20" s="20">
        <v>2045</v>
      </c>
      <c r="C20">
        <v>35473.43</v>
      </c>
      <c r="D20" s="21" t="s">
        <v>195</v>
      </c>
      <c r="E20" t="s">
        <v>386</v>
      </c>
      <c r="F20" t="s">
        <v>392</v>
      </c>
      <c r="G20" s="5" t="s">
        <v>391</v>
      </c>
    </row>
    <row r="21" spans="1:7" x14ac:dyDescent="0.25">
      <c r="A21" s="19" t="s">
        <v>388</v>
      </c>
      <c r="B21" s="20">
        <v>2045</v>
      </c>
      <c r="C21">
        <v>60</v>
      </c>
      <c r="D21" s="21" t="s">
        <v>389</v>
      </c>
      <c r="E21" t="s">
        <v>386</v>
      </c>
      <c r="F21" t="s">
        <v>390</v>
      </c>
    </row>
  </sheetData>
  <hyperlinks>
    <hyperlink ref="E10" r:id="rId1" xr:uid="{B76305FC-20CE-492E-8A18-2AC371DCB168}"/>
    <hyperlink ref="E11" r:id="rId2" xr:uid="{3657485F-94ED-40B2-A745-014D81C1E4B8}"/>
    <hyperlink ref="E12" r:id="rId3" xr:uid="{1A708B78-95D9-496F-804D-840109BE1DDB}"/>
    <hyperlink ref="E13" r:id="rId4" xr:uid="{9F024D2D-094A-4792-B82B-56E1C6FBE55D}"/>
    <hyperlink ref="E14" r:id="rId5" xr:uid="{39E77DBE-015A-499F-9FD7-BDC5D8D28E78}"/>
    <hyperlink ref="E15" r:id="rId6" xr:uid="{4D32603E-409E-480D-9876-60A4B1F8BC32}"/>
    <hyperlink ref="E16" r:id="rId7" xr:uid="{C5E4E58C-10D9-4B27-A2DE-CBF3ADD88F66}"/>
  </hyperlinks>
  <pageMargins left="0.7" right="0.7" top="0.75" bottom="0.75" header="0.3" footer="0.3"/>
  <pageSetup paperSize="9" orientation="portrait" r:id="rId8"/>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75BC61-0DFC-454C-885A-E01F55C44C8F}">
  <dimension ref="A1:F3"/>
  <sheetViews>
    <sheetView tabSelected="1" workbookViewId="0">
      <selection activeCell="I9" sqref="I9"/>
    </sheetView>
  </sheetViews>
  <sheetFormatPr defaultRowHeight="15" x14ac:dyDescent="0.25"/>
  <sheetData>
    <row r="1" spans="1:6" x14ac:dyDescent="0.25">
      <c r="A1" s="16" t="s">
        <v>393</v>
      </c>
      <c r="B1" s="17" t="s">
        <v>182</v>
      </c>
      <c r="C1" s="18" t="s">
        <v>394</v>
      </c>
      <c r="D1" s="18" t="s">
        <v>22</v>
      </c>
      <c r="E1" t="s">
        <v>26</v>
      </c>
    </row>
    <row r="2" spans="1:6" x14ac:dyDescent="0.25">
      <c r="A2" t="s">
        <v>396</v>
      </c>
      <c r="B2">
        <v>2045</v>
      </c>
      <c r="C2" s="14">
        <v>40000000</v>
      </c>
      <c r="D2" t="s">
        <v>398</v>
      </c>
      <c r="E2" t="s">
        <v>399</v>
      </c>
      <c r="F2" t="s">
        <v>401</v>
      </c>
    </row>
    <row r="3" spans="1:6" x14ac:dyDescent="0.25">
      <c r="A3" t="s">
        <v>395</v>
      </c>
      <c r="B3">
        <v>2020</v>
      </c>
      <c r="C3" s="14">
        <v>250600000</v>
      </c>
      <c r="D3" t="s">
        <v>397</v>
      </c>
      <c r="E3" t="s">
        <v>400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B96A85-19C4-4906-81A8-19FC4EAA523A}">
  <dimension ref="A1:O33"/>
  <sheetViews>
    <sheetView topLeftCell="A25" workbookViewId="0">
      <selection activeCell="D37" sqref="D37"/>
    </sheetView>
  </sheetViews>
  <sheetFormatPr defaultRowHeight="15" x14ac:dyDescent="0.25"/>
  <cols>
    <col min="3" max="3" width="9.140625" style="71"/>
    <col min="5" max="5" width="9.140625" style="4"/>
    <col min="6" max="6" width="9.140625" style="61"/>
  </cols>
  <sheetData>
    <row r="1" spans="1:15" x14ac:dyDescent="0.25">
      <c r="A1" s="6" t="s">
        <v>349</v>
      </c>
      <c r="B1" s="6" t="s">
        <v>48</v>
      </c>
      <c r="C1" s="74" t="s">
        <v>344</v>
      </c>
      <c r="D1" s="6" t="s">
        <v>26</v>
      </c>
      <c r="E1" s="75" t="s">
        <v>372</v>
      </c>
      <c r="F1" s="62" t="s">
        <v>371</v>
      </c>
      <c r="G1" s="6" t="s">
        <v>383</v>
      </c>
      <c r="H1" s="74" t="s">
        <v>370</v>
      </c>
      <c r="I1" s="6" t="s">
        <v>26</v>
      </c>
      <c r="J1" s="76" t="s">
        <v>372</v>
      </c>
      <c r="L1" t="s">
        <v>353</v>
      </c>
      <c r="M1" t="s">
        <v>382</v>
      </c>
      <c r="N1" t="s">
        <v>354</v>
      </c>
      <c r="O1" t="s">
        <v>51</v>
      </c>
    </row>
    <row r="2" spans="1:15" x14ac:dyDescent="0.25">
      <c r="A2" t="s">
        <v>345</v>
      </c>
      <c r="B2" t="s">
        <v>346</v>
      </c>
      <c r="C2" s="71">
        <v>2.5996533795493901</v>
      </c>
      <c r="D2" t="s">
        <v>355</v>
      </c>
      <c r="F2" s="61" t="s">
        <v>369</v>
      </c>
      <c r="G2" s="28" t="s">
        <v>348</v>
      </c>
      <c r="H2">
        <f>0.12*1000</f>
        <v>120</v>
      </c>
      <c r="I2" t="s">
        <v>357</v>
      </c>
      <c r="J2" t="s">
        <v>374</v>
      </c>
      <c r="L2" t="s">
        <v>355</v>
      </c>
      <c r="M2" t="s">
        <v>352</v>
      </c>
      <c r="N2" t="s">
        <v>351</v>
      </c>
      <c r="O2" t="s">
        <v>350</v>
      </c>
    </row>
    <row r="3" spans="1:15" x14ac:dyDescent="0.25">
      <c r="A3" t="s">
        <v>345</v>
      </c>
      <c r="B3" t="s">
        <v>347</v>
      </c>
      <c r="C3" s="71">
        <v>10.3986135181975</v>
      </c>
      <c r="D3" t="s">
        <v>355</v>
      </c>
      <c r="F3" s="61" t="s">
        <v>369</v>
      </c>
      <c r="G3" t="s">
        <v>358</v>
      </c>
      <c r="H3">
        <f>0.18*1000</f>
        <v>180</v>
      </c>
      <c r="I3" t="s">
        <v>357</v>
      </c>
      <c r="J3" t="s">
        <v>374</v>
      </c>
      <c r="L3" t="s">
        <v>357</v>
      </c>
      <c r="M3" t="s">
        <v>381</v>
      </c>
      <c r="O3" t="s">
        <v>359</v>
      </c>
    </row>
    <row r="4" spans="1:15" x14ac:dyDescent="0.25">
      <c r="A4" t="s">
        <v>345</v>
      </c>
      <c r="B4" t="s">
        <v>348</v>
      </c>
      <c r="C4" s="71">
        <v>20.7972270363951</v>
      </c>
      <c r="D4" t="s">
        <v>355</v>
      </c>
      <c r="F4" s="61" t="s">
        <v>369</v>
      </c>
      <c r="G4" t="s">
        <v>347</v>
      </c>
      <c r="H4">
        <v>0</v>
      </c>
      <c r="I4" t="s">
        <v>357</v>
      </c>
      <c r="J4" t="s">
        <v>374</v>
      </c>
    </row>
    <row r="5" spans="1:15" x14ac:dyDescent="0.25">
      <c r="A5" t="s">
        <v>2</v>
      </c>
      <c r="B5" t="s">
        <v>346</v>
      </c>
      <c r="C5" s="71">
        <v>2.5996533795493901</v>
      </c>
      <c r="D5" t="s">
        <v>355</v>
      </c>
      <c r="E5" s="4" t="s">
        <v>366</v>
      </c>
      <c r="F5" s="61" t="s">
        <v>376</v>
      </c>
      <c r="G5" s="28" t="s">
        <v>348</v>
      </c>
      <c r="H5">
        <v>0</v>
      </c>
      <c r="I5" t="s">
        <v>357</v>
      </c>
      <c r="J5" t="s">
        <v>375</v>
      </c>
    </row>
    <row r="6" spans="1:15" x14ac:dyDescent="0.25">
      <c r="A6" t="s">
        <v>2</v>
      </c>
      <c r="B6" t="s">
        <v>347</v>
      </c>
      <c r="C6" s="71">
        <v>56.325823223570097</v>
      </c>
      <c r="D6" t="s">
        <v>355</v>
      </c>
      <c r="E6" s="4" t="s">
        <v>366</v>
      </c>
      <c r="F6" s="61" t="s">
        <v>376</v>
      </c>
      <c r="G6" t="s">
        <v>358</v>
      </c>
      <c r="H6">
        <f>AVERAGE(0.53,0.63,0.47,0.64)</f>
        <v>0.5675</v>
      </c>
      <c r="I6" t="s">
        <v>357</v>
      </c>
      <c r="J6" t="s">
        <v>375</v>
      </c>
    </row>
    <row r="7" spans="1:15" x14ac:dyDescent="0.25">
      <c r="A7" t="s">
        <v>2</v>
      </c>
      <c r="B7" t="s">
        <v>348</v>
      </c>
      <c r="C7" s="71">
        <v>162.911611785095</v>
      </c>
      <c r="D7" t="s">
        <v>355</v>
      </c>
      <c r="E7" s="4" t="s">
        <v>366</v>
      </c>
      <c r="F7" s="61" t="s">
        <v>376</v>
      </c>
      <c r="G7" t="s">
        <v>347</v>
      </c>
      <c r="H7">
        <v>0</v>
      </c>
      <c r="I7" t="s">
        <v>357</v>
      </c>
      <c r="J7" t="s">
        <v>375</v>
      </c>
    </row>
    <row r="8" spans="1:15" x14ac:dyDescent="0.25">
      <c r="A8" t="s">
        <v>363</v>
      </c>
      <c r="B8" t="s">
        <v>346</v>
      </c>
      <c r="C8" s="71">
        <v>14.7313691507798</v>
      </c>
      <c r="D8" t="s">
        <v>355</v>
      </c>
      <c r="F8" s="61" t="s">
        <v>379</v>
      </c>
      <c r="G8" s="28" t="s">
        <v>348</v>
      </c>
      <c r="H8">
        <v>0</v>
      </c>
      <c r="I8" t="s">
        <v>357</v>
      </c>
      <c r="J8" t="s">
        <v>377</v>
      </c>
    </row>
    <row r="9" spans="1:15" x14ac:dyDescent="0.25">
      <c r="A9" t="s">
        <v>363</v>
      </c>
      <c r="B9" t="s">
        <v>347</v>
      </c>
      <c r="C9" s="71">
        <v>19.0641247833622</v>
      </c>
      <c r="D9" t="s">
        <v>355</v>
      </c>
      <c r="F9" s="61" t="s">
        <v>379</v>
      </c>
      <c r="G9" t="s">
        <v>358</v>
      </c>
      <c r="H9">
        <v>1.33</v>
      </c>
      <c r="I9" t="s">
        <v>357</v>
      </c>
      <c r="J9" t="s">
        <v>378</v>
      </c>
    </row>
    <row r="10" spans="1:15" x14ac:dyDescent="0.25">
      <c r="A10" t="s">
        <v>363</v>
      </c>
      <c r="B10" t="s">
        <v>348</v>
      </c>
      <c r="C10" s="71">
        <v>47.660311958405501</v>
      </c>
      <c r="D10" t="s">
        <v>355</v>
      </c>
      <c r="F10" s="61" t="s">
        <v>379</v>
      </c>
      <c r="G10" t="s">
        <v>347</v>
      </c>
      <c r="H10">
        <v>0</v>
      </c>
      <c r="I10" t="s">
        <v>357</v>
      </c>
      <c r="J10" t="s">
        <v>380</v>
      </c>
    </row>
    <row r="11" spans="1:15" x14ac:dyDescent="0.25">
      <c r="A11" t="s">
        <v>361</v>
      </c>
      <c r="B11" t="s">
        <v>346</v>
      </c>
      <c r="C11" s="71">
        <v>2.5996533795493901</v>
      </c>
      <c r="D11" t="s">
        <v>355</v>
      </c>
      <c r="E11" s="4" t="s">
        <v>373</v>
      </c>
    </row>
    <row r="12" spans="1:15" x14ac:dyDescent="0.25">
      <c r="A12" t="s">
        <v>361</v>
      </c>
      <c r="B12" t="s">
        <v>347</v>
      </c>
      <c r="C12" s="71">
        <v>42.461005199306697</v>
      </c>
      <c r="D12" t="s">
        <v>355</v>
      </c>
      <c r="E12" s="4">
        <f>AVERAGE(471,565,402)</f>
        <v>479.33333333333331</v>
      </c>
    </row>
    <row r="13" spans="1:15" x14ac:dyDescent="0.25">
      <c r="A13" t="s">
        <v>361</v>
      </c>
      <c r="B13" t="s">
        <v>348</v>
      </c>
      <c r="C13" s="71">
        <v>128.24956672443599</v>
      </c>
      <c r="D13" t="s">
        <v>355</v>
      </c>
      <c r="E13" s="4">
        <f>AVERAGE(108,105.4,118.24)</f>
        <v>110.54666666666667</v>
      </c>
    </row>
    <row r="14" spans="1:15" x14ac:dyDescent="0.25">
      <c r="A14" t="s">
        <v>356</v>
      </c>
      <c r="B14" t="s">
        <v>347</v>
      </c>
      <c r="C14" s="71">
        <f>AVERAGE(796,822,1562)</f>
        <v>1060</v>
      </c>
      <c r="D14" t="s">
        <v>357</v>
      </c>
    </row>
    <row r="15" spans="1:15" x14ac:dyDescent="0.25">
      <c r="A15" t="s">
        <v>356</v>
      </c>
      <c r="B15" t="s">
        <v>348</v>
      </c>
      <c r="C15" s="71">
        <f>AVERAGE(341,394,425)</f>
        <v>386.66666666666669</v>
      </c>
      <c r="D15" t="s">
        <v>357</v>
      </c>
    </row>
    <row r="16" spans="1:15" x14ac:dyDescent="0.25">
      <c r="A16" t="s">
        <v>356</v>
      </c>
      <c r="B16" t="s">
        <v>358</v>
      </c>
      <c r="C16" s="71">
        <f>AVERAGE(11.51,11.51,4.48)</f>
        <v>9.1666666666666661</v>
      </c>
      <c r="D16" t="s">
        <v>357</v>
      </c>
    </row>
    <row r="17" spans="1:5" x14ac:dyDescent="0.25">
      <c r="A17" t="s">
        <v>362</v>
      </c>
      <c r="B17" t="s">
        <v>360</v>
      </c>
      <c r="C17" s="71">
        <f>AVERAGE(443,1130,8.59)</f>
        <v>527.1966666666666</v>
      </c>
      <c r="D17" t="s">
        <v>357</v>
      </c>
    </row>
    <row r="18" spans="1:5" x14ac:dyDescent="0.25">
      <c r="A18" t="s">
        <v>362</v>
      </c>
      <c r="B18" t="s">
        <v>348</v>
      </c>
      <c r="C18" s="71">
        <f>AVERAGE(101.3,113.1,190.64)</f>
        <v>135.01333333333332</v>
      </c>
      <c r="D18" t="s">
        <v>357</v>
      </c>
    </row>
    <row r="19" spans="1:5" x14ac:dyDescent="0.25">
      <c r="A19" t="s">
        <v>362</v>
      </c>
      <c r="B19" t="s">
        <v>358</v>
      </c>
      <c r="C19" s="71">
        <f>AVERAGE(6.4,5,18)</f>
        <v>9.7999999999999989</v>
      </c>
      <c r="D19" t="s">
        <v>357</v>
      </c>
    </row>
    <row r="20" spans="1:5" x14ac:dyDescent="0.25">
      <c r="A20" t="s">
        <v>361</v>
      </c>
      <c r="B20" t="s">
        <v>358</v>
      </c>
      <c r="C20" s="71">
        <f>AVERAGE(7.5,4,12.97)</f>
        <v>8.1566666666666663</v>
      </c>
      <c r="D20" t="s">
        <v>357</v>
      </c>
    </row>
    <row r="21" spans="1:5" x14ac:dyDescent="0.25">
      <c r="A21" t="s">
        <v>363</v>
      </c>
      <c r="B21" t="s">
        <v>358</v>
      </c>
      <c r="C21" s="71">
        <f>AVERAGE(13.65,9.1,5)</f>
        <v>9.25</v>
      </c>
      <c r="D21" t="s">
        <v>357</v>
      </c>
      <c r="E21" s="4" t="s">
        <v>368</v>
      </c>
    </row>
    <row r="22" spans="1:5" x14ac:dyDescent="0.25">
      <c r="A22" t="s">
        <v>364</v>
      </c>
      <c r="B22" t="s">
        <v>360</v>
      </c>
      <c r="C22" s="71">
        <f>AVERAGE(81.4,97.8,47.7)</f>
        <v>75.633333333333326</v>
      </c>
      <c r="D22" t="s">
        <v>357</v>
      </c>
      <c r="E22" s="4" t="s">
        <v>365</v>
      </c>
    </row>
    <row r="23" spans="1:5" x14ac:dyDescent="0.25">
      <c r="A23" t="s">
        <v>364</v>
      </c>
      <c r="B23" t="s">
        <v>348</v>
      </c>
      <c r="C23" s="71">
        <f>AVERAGE(58.5,31,2.5)</f>
        <v>30.666666666666668</v>
      </c>
      <c r="D23" t="s">
        <v>357</v>
      </c>
      <c r="E23" s="4" t="s">
        <v>365</v>
      </c>
    </row>
    <row r="24" spans="1:5" x14ac:dyDescent="0.25">
      <c r="A24" t="s">
        <v>364</v>
      </c>
      <c r="B24" t="s">
        <v>346</v>
      </c>
      <c r="C24" s="71">
        <v>2.2999999999999998</v>
      </c>
      <c r="D24" t="s">
        <v>357</v>
      </c>
      <c r="E24" s="4" t="s">
        <v>365</v>
      </c>
    </row>
    <row r="25" spans="1:5" x14ac:dyDescent="0.25">
      <c r="A25" t="s">
        <v>364</v>
      </c>
      <c r="B25" t="s">
        <v>367</v>
      </c>
      <c r="C25" s="71">
        <v>0</v>
      </c>
      <c r="D25" t="s">
        <v>357</v>
      </c>
      <c r="E25" s="4" t="s">
        <v>365</v>
      </c>
    </row>
    <row r="26" spans="1:5" x14ac:dyDescent="0.25">
      <c r="A26" s="61" t="s">
        <v>379</v>
      </c>
      <c r="B26" s="28" t="s">
        <v>348</v>
      </c>
      <c r="C26" s="71">
        <v>5.03</v>
      </c>
      <c r="D26" t="s">
        <v>357</v>
      </c>
      <c r="E26" t="s">
        <v>377</v>
      </c>
    </row>
    <row r="27" spans="1:5" x14ac:dyDescent="0.25">
      <c r="A27" s="61" t="s">
        <v>379</v>
      </c>
      <c r="B27" t="s">
        <v>358</v>
      </c>
      <c r="C27" s="71">
        <v>0.66</v>
      </c>
      <c r="D27" t="s">
        <v>357</v>
      </c>
      <c r="E27" t="s">
        <v>378</v>
      </c>
    </row>
    <row r="28" spans="1:5" x14ac:dyDescent="0.25">
      <c r="A28" s="61" t="s">
        <v>379</v>
      </c>
      <c r="B28" t="s">
        <v>347</v>
      </c>
      <c r="C28" s="71">
        <v>0</v>
      </c>
      <c r="D28" t="s">
        <v>357</v>
      </c>
      <c r="E28" t="s">
        <v>380</v>
      </c>
    </row>
    <row r="29" spans="1:5" x14ac:dyDescent="0.25">
      <c r="A29" s="28" t="s">
        <v>345</v>
      </c>
      <c r="B29" t="s">
        <v>367</v>
      </c>
      <c r="C29" s="71">
        <v>0</v>
      </c>
      <c r="D29" t="s">
        <v>357</v>
      </c>
    </row>
    <row r="30" spans="1:5" x14ac:dyDescent="0.25">
      <c r="A30" s="28" t="s">
        <v>2</v>
      </c>
      <c r="B30" t="s">
        <v>367</v>
      </c>
      <c r="C30" s="71">
        <v>0</v>
      </c>
      <c r="D30" t="s">
        <v>357</v>
      </c>
    </row>
    <row r="31" spans="1:5" x14ac:dyDescent="0.25">
      <c r="A31" s="28" t="s">
        <v>384</v>
      </c>
      <c r="B31" t="s">
        <v>348</v>
      </c>
      <c r="C31" s="77">
        <v>0.03</v>
      </c>
      <c r="D31" t="s">
        <v>357</v>
      </c>
      <c r="E31" s="4" t="s">
        <v>374</v>
      </c>
    </row>
    <row r="32" spans="1:5" x14ac:dyDescent="0.25">
      <c r="A32" s="28" t="s">
        <v>384</v>
      </c>
      <c r="B32" t="s">
        <v>347</v>
      </c>
      <c r="C32" s="71">
        <v>0</v>
      </c>
      <c r="D32" t="s">
        <v>357</v>
      </c>
      <c r="E32" s="4" t="s">
        <v>374</v>
      </c>
    </row>
    <row r="33" spans="1:5" x14ac:dyDescent="0.25">
      <c r="A33" s="28" t="s">
        <v>384</v>
      </c>
      <c r="B33" t="s">
        <v>358</v>
      </c>
      <c r="C33" s="71">
        <v>0.23</v>
      </c>
      <c r="D33" t="s">
        <v>357</v>
      </c>
      <c r="E33" s="4" t="s">
        <v>374</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6A8CC1-1F2A-4661-8C4F-673718DCDAA3}">
  <dimension ref="A1:D29"/>
  <sheetViews>
    <sheetView workbookViewId="0">
      <selection sqref="A1:A1048576"/>
    </sheetView>
  </sheetViews>
  <sheetFormatPr defaultRowHeight="15" x14ac:dyDescent="0.25"/>
  <sheetData>
    <row r="1" spans="1:4" ht="30" x14ac:dyDescent="0.25">
      <c r="A1" s="1" t="s">
        <v>15</v>
      </c>
      <c r="B1" t="s">
        <v>155</v>
      </c>
      <c r="C1" t="s">
        <v>156</v>
      </c>
      <c r="D1" t="s">
        <v>157</v>
      </c>
    </row>
    <row r="2" spans="1:4" x14ac:dyDescent="0.25">
      <c r="A2" t="s">
        <v>0</v>
      </c>
      <c r="B2" t="s">
        <v>28</v>
      </c>
      <c r="C2" t="s">
        <v>28</v>
      </c>
      <c r="D2" t="s">
        <v>28</v>
      </c>
    </row>
    <row r="3" spans="1:4" x14ac:dyDescent="0.25">
      <c r="A3" t="s">
        <v>1</v>
      </c>
      <c r="B3" t="s">
        <v>28</v>
      </c>
      <c r="C3" t="s">
        <v>28</v>
      </c>
      <c r="D3" t="s">
        <v>28</v>
      </c>
    </row>
    <row r="4" spans="1:4" x14ac:dyDescent="0.25">
      <c r="A4" t="s">
        <v>2</v>
      </c>
      <c r="B4" t="s">
        <v>28</v>
      </c>
      <c r="C4" t="s">
        <v>28</v>
      </c>
      <c r="D4" t="s">
        <v>28</v>
      </c>
    </row>
    <row r="5" spans="1:4" x14ac:dyDescent="0.25">
      <c r="A5" t="s">
        <v>3</v>
      </c>
      <c r="B5" t="s">
        <v>28</v>
      </c>
      <c r="C5" t="s">
        <v>28</v>
      </c>
      <c r="D5" t="s">
        <v>28</v>
      </c>
    </row>
    <row r="6" spans="1:4" x14ac:dyDescent="0.25">
      <c r="A6" t="s">
        <v>4</v>
      </c>
      <c r="B6" t="s">
        <v>28</v>
      </c>
      <c r="C6" t="s">
        <v>28</v>
      </c>
      <c r="D6" t="s">
        <v>28</v>
      </c>
    </row>
    <row r="7" spans="1:4" x14ac:dyDescent="0.25">
      <c r="A7" t="s">
        <v>5</v>
      </c>
      <c r="B7" t="s">
        <v>28</v>
      </c>
      <c r="C7" t="s">
        <v>28</v>
      </c>
      <c r="D7" t="s">
        <v>28</v>
      </c>
    </row>
    <row r="8" spans="1:4" x14ac:dyDescent="0.25">
      <c r="A8" t="s">
        <v>6</v>
      </c>
      <c r="B8" t="s">
        <v>28</v>
      </c>
      <c r="C8" t="s">
        <v>28</v>
      </c>
      <c r="D8" t="s">
        <v>28</v>
      </c>
    </row>
    <row r="9" spans="1:4" x14ac:dyDescent="0.25">
      <c r="A9" t="s">
        <v>7</v>
      </c>
      <c r="B9" t="s">
        <v>28</v>
      </c>
      <c r="C9" t="s">
        <v>28</v>
      </c>
      <c r="D9" t="s">
        <v>28</v>
      </c>
    </row>
    <row r="10" spans="1:4" x14ac:dyDescent="0.25">
      <c r="A10" t="s">
        <v>8</v>
      </c>
      <c r="B10" t="s">
        <v>28</v>
      </c>
      <c r="C10" t="s">
        <v>28</v>
      </c>
      <c r="D10" t="s">
        <v>28</v>
      </c>
    </row>
    <row r="11" spans="1:4" x14ac:dyDescent="0.25">
      <c r="A11" t="s">
        <v>9</v>
      </c>
      <c r="B11" t="s">
        <v>28</v>
      </c>
      <c r="C11" t="s">
        <v>28</v>
      </c>
      <c r="D11" t="s">
        <v>28</v>
      </c>
    </row>
    <row r="12" spans="1:4" x14ac:dyDescent="0.25">
      <c r="A12" t="s">
        <v>10</v>
      </c>
      <c r="B12" t="s">
        <v>28</v>
      </c>
      <c r="C12" t="s">
        <v>28</v>
      </c>
      <c r="D12" t="s">
        <v>28</v>
      </c>
    </row>
    <row r="13" spans="1:4" x14ac:dyDescent="0.25">
      <c r="A13" t="s">
        <v>11</v>
      </c>
      <c r="B13" t="s">
        <v>28</v>
      </c>
      <c r="C13" t="s">
        <v>28</v>
      </c>
      <c r="D13" t="s">
        <v>28</v>
      </c>
    </row>
    <row r="14" spans="1:4" x14ac:dyDescent="0.25">
      <c r="A14" t="s">
        <v>20</v>
      </c>
      <c r="B14" t="s">
        <v>28</v>
      </c>
      <c r="C14" t="s">
        <v>28</v>
      </c>
      <c r="D14" t="s">
        <v>28</v>
      </c>
    </row>
    <row r="16" spans="1:4" s="2" customFormat="1" x14ac:dyDescent="0.25">
      <c r="A16" s="2" t="s">
        <v>12</v>
      </c>
    </row>
    <row r="17" spans="1:4" x14ac:dyDescent="0.25">
      <c r="A17" t="s">
        <v>0</v>
      </c>
      <c r="B17" t="s">
        <v>28</v>
      </c>
      <c r="C17" t="s">
        <v>28</v>
      </c>
      <c r="D17" t="s">
        <v>28</v>
      </c>
    </row>
    <row r="18" spans="1:4" x14ac:dyDescent="0.25">
      <c r="A18" t="s">
        <v>1</v>
      </c>
      <c r="B18" t="s">
        <v>28</v>
      </c>
      <c r="C18" t="s">
        <v>28</v>
      </c>
      <c r="D18" t="s">
        <v>28</v>
      </c>
    </row>
    <row r="19" spans="1:4" x14ac:dyDescent="0.25">
      <c r="A19" t="s">
        <v>2</v>
      </c>
      <c r="B19" t="s">
        <v>28</v>
      </c>
      <c r="C19" t="s">
        <v>28</v>
      </c>
      <c r="D19" t="s">
        <v>28</v>
      </c>
    </row>
    <row r="20" spans="1:4" x14ac:dyDescent="0.25">
      <c r="A20" t="s">
        <v>3</v>
      </c>
      <c r="B20" t="s">
        <v>28</v>
      </c>
      <c r="C20" t="s">
        <v>28</v>
      </c>
      <c r="D20" t="s">
        <v>28</v>
      </c>
    </row>
    <row r="21" spans="1:4" x14ac:dyDescent="0.25">
      <c r="A21" t="s">
        <v>4</v>
      </c>
      <c r="B21" t="s">
        <v>28</v>
      </c>
      <c r="C21" t="s">
        <v>28</v>
      </c>
      <c r="D21" t="s">
        <v>28</v>
      </c>
    </row>
    <row r="22" spans="1:4" x14ac:dyDescent="0.25">
      <c r="A22" t="s">
        <v>5</v>
      </c>
      <c r="B22" t="s">
        <v>28</v>
      </c>
      <c r="C22" t="s">
        <v>28</v>
      </c>
      <c r="D22" t="s">
        <v>28</v>
      </c>
    </row>
    <row r="23" spans="1:4" x14ac:dyDescent="0.25">
      <c r="A23" t="s">
        <v>6</v>
      </c>
      <c r="B23" t="s">
        <v>28</v>
      </c>
      <c r="C23" t="s">
        <v>28</v>
      </c>
      <c r="D23" t="s">
        <v>28</v>
      </c>
    </row>
    <row r="24" spans="1:4" x14ac:dyDescent="0.25">
      <c r="A24" t="s">
        <v>7</v>
      </c>
      <c r="B24" t="s">
        <v>28</v>
      </c>
      <c r="C24" t="s">
        <v>28</v>
      </c>
      <c r="D24" t="s">
        <v>28</v>
      </c>
    </row>
    <row r="25" spans="1:4" x14ac:dyDescent="0.25">
      <c r="A25" t="s">
        <v>8</v>
      </c>
      <c r="B25" t="s">
        <v>28</v>
      </c>
      <c r="C25" t="s">
        <v>28</v>
      </c>
      <c r="D25" t="s">
        <v>28</v>
      </c>
    </row>
    <row r="26" spans="1:4" x14ac:dyDescent="0.25">
      <c r="A26" t="s">
        <v>9</v>
      </c>
      <c r="B26" t="s">
        <v>28</v>
      </c>
      <c r="C26" t="s">
        <v>28</v>
      </c>
      <c r="D26" t="s">
        <v>28</v>
      </c>
    </row>
    <row r="27" spans="1:4" x14ac:dyDescent="0.25">
      <c r="A27" t="s">
        <v>10</v>
      </c>
      <c r="B27" t="s">
        <v>28</v>
      </c>
      <c r="C27" t="s">
        <v>28</v>
      </c>
      <c r="D27" t="s">
        <v>28</v>
      </c>
    </row>
    <row r="28" spans="1:4" x14ac:dyDescent="0.25">
      <c r="A28" t="s">
        <v>11</v>
      </c>
      <c r="B28" t="s">
        <v>28</v>
      </c>
      <c r="C28" t="s">
        <v>28</v>
      </c>
      <c r="D28" t="s">
        <v>28</v>
      </c>
    </row>
    <row r="29" spans="1:4" x14ac:dyDescent="0.25">
      <c r="A29" t="s">
        <v>20</v>
      </c>
      <c r="B29" t="s">
        <v>28</v>
      </c>
      <c r="C29" t="s">
        <v>28</v>
      </c>
      <c r="D29" t="s">
        <v>28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AD59B4-EBCF-477B-9A90-06546CC1BBB9}">
  <dimension ref="A1:D18"/>
  <sheetViews>
    <sheetView workbookViewId="0">
      <selection activeCell="K15" sqref="K15"/>
    </sheetView>
  </sheetViews>
  <sheetFormatPr defaultRowHeight="15" x14ac:dyDescent="0.25"/>
  <sheetData>
    <row r="1" spans="1:4" x14ac:dyDescent="0.25">
      <c r="A1" s="1" t="s">
        <v>31</v>
      </c>
      <c r="B1" t="s">
        <v>155</v>
      </c>
      <c r="C1" t="s">
        <v>156</v>
      </c>
      <c r="D1" t="s">
        <v>157</v>
      </c>
    </row>
    <row r="2" spans="1:4" x14ac:dyDescent="0.25">
      <c r="A2" t="s">
        <v>163</v>
      </c>
      <c r="B2" s="71">
        <v>0</v>
      </c>
      <c r="C2" s="71">
        <v>0</v>
      </c>
      <c r="D2" s="71">
        <v>1.39</v>
      </c>
    </row>
    <row r="3" spans="1:4" x14ac:dyDescent="0.25">
      <c r="A3" t="s">
        <v>164</v>
      </c>
      <c r="B3" s="71">
        <v>0</v>
      </c>
      <c r="C3" s="71">
        <v>1.46</v>
      </c>
      <c r="D3" s="71">
        <v>0</v>
      </c>
    </row>
    <row r="4" spans="1:4" x14ac:dyDescent="0.25">
      <c r="A4" t="s">
        <v>165</v>
      </c>
      <c r="B4" s="71">
        <f>1.036-B7</f>
        <v>1.026</v>
      </c>
      <c r="C4" s="71">
        <v>0.17</v>
      </c>
      <c r="D4" s="71">
        <v>0.17</v>
      </c>
    </row>
    <row r="5" spans="1:4" x14ac:dyDescent="0.25">
      <c r="A5" t="s">
        <v>172</v>
      </c>
      <c r="B5" s="71">
        <v>3.0000000000000001E-3</v>
      </c>
      <c r="C5" s="71">
        <v>2E-3</v>
      </c>
      <c r="D5" s="71">
        <v>0</v>
      </c>
    </row>
    <row r="6" spans="1:4" x14ac:dyDescent="0.25">
      <c r="A6" t="s">
        <v>130</v>
      </c>
      <c r="B6" s="71">
        <v>0.28000000000000003</v>
      </c>
      <c r="C6" s="71">
        <v>0.05</v>
      </c>
      <c r="D6" s="71">
        <v>0.27800000000000002</v>
      </c>
    </row>
    <row r="7" spans="1:4" x14ac:dyDescent="0.25">
      <c r="A7" t="s">
        <v>167</v>
      </c>
      <c r="B7" s="71">
        <v>0.01</v>
      </c>
      <c r="C7" s="71">
        <v>0.01</v>
      </c>
      <c r="D7" s="71">
        <v>0.01</v>
      </c>
    </row>
    <row r="8" spans="1:4" x14ac:dyDescent="0.25">
      <c r="A8" t="s">
        <v>107</v>
      </c>
      <c r="B8" s="71">
        <v>5.6000000000000001E-2</v>
      </c>
      <c r="C8" s="71">
        <v>0.05</v>
      </c>
      <c r="D8" s="71">
        <v>0.18</v>
      </c>
    </row>
    <row r="9" spans="1:4" x14ac:dyDescent="0.25">
      <c r="A9" t="s">
        <v>57</v>
      </c>
      <c r="B9" s="71">
        <v>0</v>
      </c>
      <c r="C9" s="71">
        <v>0</v>
      </c>
      <c r="D9" s="71">
        <f>0.4+0.17</f>
        <v>0.57000000000000006</v>
      </c>
    </row>
    <row r="10" spans="1:4" x14ac:dyDescent="0.25">
      <c r="A10" s="2" t="s">
        <v>12</v>
      </c>
      <c r="B10" s="2"/>
      <c r="C10" s="2"/>
      <c r="D10" s="2"/>
    </row>
    <row r="11" spans="1:4" x14ac:dyDescent="0.25">
      <c r="A11" t="s">
        <v>163</v>
      </c>
      <c r="B11" t="s">
        <v>168</v>
      </c>
      <c r="C11" t="s">
        <v>55</v>
      </c>
      <c r="D11" t="s">
        <v>161</v>
      </c>
    </row>
    <row r="12" spans="1:4" x14ac:dyDescent="0.25">
      <c r="A12" t="s">
        <v>164</v>
      </c>
      <c r="B12" t="s">
        <v>168</v>
      </c>
      <c r="C12" t="s">
        <v>55</v>
      </c>
      <c r="D12" t="s">
        <v>161</v>
      </c>
    </row>
    <row r="13" spans="1:4" x14ac:dyDescent="0.25">
      <c r="A13" t="s">
        <v>165</v>
      </c>
      <c r="B13" t="s">
        <v>168</v>
      </c>
      <c r="C13" t="s">
        <v>55</v>
      </c>
      <c r="D13" t="s">
        <v>161</v>
      </c>
    </row>
    <row r="14" spans="1:4" x14ac:dyDescent="0.25">
      <c r="A14" t="s">
        <v>166</v>
      </c>
      <c r="B14" t="s">
        <v>168</v>
      </c>
      <c r="C14" t="s">
        <v>55</v>
      </c>
      <c r="D14" t="s">
        <v>161</v>
      </c>
    </row>
    <row r="15" spans="1:4" x14ac:dyDescent="0.25">
      <c r="A15" t="s">
        <v>130</v>
      </c>
      <c r="B15" t="s">
        <v>168</v>
      </c>
      <c r="C15" t="s">
        <v>55</v>
      </c>
      <c r="D15" t="s">
        <v>161</v>
      </c>
    </row>
    <row r="16" spans="1:4" x14ac:dyDescent="0.25">
      <c r="A16" t="s">
        <v>167</v>
      </c>
      <c r="B16" t="s">
        <v>168</v>
      </c>
      <c r="C16" t="s">
        <v>55</v>
      </c>
      <c r="D16" t="s">
        <v>161</v>
      </c>
    </row>
    <row r="17" spans="1:4" x14ac:dyDescent="0.25">
      <c r="A17" t="s">
        <v>107</v>
      </c>
      <c r="B17" t="s">
        <v>168</v>
      </c>
      <c r="C17" t="s">
        <v>55</v>
      </c>
      <c r="D17" t="s">
        <v>161</v>
      </c>
    </row>
    <row r="18" spans="1:4" x14ac:dyDescent="0.25">
      <c r="A18" t="s">
        <v>57</v>
      </c>
      <c r="B18" t="s">
        <v>55</v>
      </c>
      <c r="C18" t="s">
        <v>55</v>
      </c>
      <c r="D18" t="s">
        <v>55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7F13A7-679C-43D1-BFC2-6A5938A18CC2}">
  <dimension ref="A1:D17"/>
  <sheetViews>
    <sheetView workbookViewId="0">
      <selection activeCell="C13" sqref="C13"/>
    </sheetView>
  </sheetViews>
  <sheetFormatPr defaultRowHeight="15" x14ac:dyDescent="0.25"/>
  <sheetData>
    <row r="1" spans="1:4" x14ac:dyDescent="0.25">
      <c r="A1" s="1" t="s">
        <v>158</v>
      </c>
      <c r="B1" t="s">
        <v>155</v>
      </c>
      <c r="C1" t="s">
        <v>156</v>
      </c>
      <c r="D1" t="s">
        <v>157</v>
      </c>
    </row>
    <row r="2" spans="1:4" x14ac:dyDescent="0.25">
      <c r="A2" s="10" t="s">
        <v>17</v>
      </c>
      <c r="B2">
        <v>184</v>
      </c>
      <c r="C2">
        <v>414</v>
      </c>
      <c r="D2">
        <v>170</v>
      </c>
    </row>
    <row r="3" spans="1:4" x14ac:dyDescent="0.25">
      <c r="A3" s="10" t="s">
        <v>18</v>
      </c>
      <c r="B3" t="s">
        <v>19</v>
      </c>
      <c r="C3" t="s">
        <v>19</v>
      </c>
      <c r="D3" t="s">
        <v>19</v>
      </c>
    </row>
    <row r="5" spans="1:4" s="15" customFormat="1" x14ac:dyDescent="0.25">
      <c r="A5" s="15" t="s">
        <v>159</v>
      </c>
    </row>
    <row r="6" spans="1:4" x14ac:dyDescent="0.25">
      <c r="A6" s="10" t="s">
        <v>17</v>
      </c>
      <c r="B6" t="s">
        <v>160</v>
      </c>
      <c r="C6" t="s">
        <v>160</v>
      </c>
      <c r="D6" t="s">
        <v>161</v>
      </c>
    </row>
    <row r="7" spans="1:4" x14ac:dyDescent="0.25">
      <c r="A7" s="10" t="s">
        <v>18</v>
      </c>
      <c r="B7" t="s">
        <v>19</v>
      </c>
      <c r="C7" t="s">
        <v>19</v>
      </c>
      <c r="D7" t="s">
        <v>19</v>
      </c>
    </row>
    <row r="10" spans="1:4" x14ac:dyDescent="0.25">
      <c r="A10" t="s">
        <v>55</v>
      </c>
      <c r="B10" t="s">
        <v>162</v>
      </c>
    </row>
    <row r="12" spans="1:4" x14ac:dyDescent="0.25">
      <c r="A12" t="s">
        <v>340</v>
      </c>
      <c r="B12">
        <v>1000</v>
      </c>
      <c r="C12" t="s">
        <v>56</v>
      </c>
    </row>
    <row r="17" spans="2:4" x14ac:dyDescent="0.25">
      <c r="B17" s="14"/>
      <c r="C17" s="14"/>
      <c r="D17" s="14"/>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AD4E50-68AA-40EF-9F4B-52F326392CCE}">
  <dimension ref="A1:N33"/>
  <sheetViews>
    <sheetView workbookViewId="0">
      <selection activeCell="I29" sqref="I29"/>
    </sheetView>
  </sheetViews>
  <sheetFormatPr defaultRowHeight="15" x14ac:dyDescent="0.25"/>
  <sheetData>
    <row r="1" spans="1:14" ht="30" x14ac:dyDescent="0.25">
      <c r="A1" s="1" t="s">
        <v>15</v>
      </c>
      <c r="B1" t="s">
        <v>13</v>
      </c>
      <c r="C1" t="s">
        <v>27</v>
      </c>
      <c r="D1" t="s">
        <v>29</v>
      </c>
      <c r="E1" t="s">
        <v>30</v>
      </c>
      <c r="F1" t="s">
        <v>33</v>
      </c>
    </row>
    <row r="2" spans="1:14" x14ac:dyDescent="0.25">
      <c r="A2" t="s">
        <v>0</v>
      </c>
      <c r="B2" s="71">
        <v>1.39</v>
      </c>
      <c r="C2" s="71" t="s">
        <v>28</v>
      </c>
      <c r="D2" s="71">
        <v>4.7</v>
      </c>
      <c r="E2" s="71">
        <f>'calculations hvc'!J11</f>
        <v>1.1354420113544199</v>
      </c>
      <c r="F2" s="71">
        <f>'calculations hvc'!K11</f>
        <v>9.9774595597984614</v>
      </c>
    </row>
    <row r="3" spans="1:14" x14ac:dyDescent="0.25">
      <c r="A3" t="s">
        <v>1</v>
      </c>
      <c r="B3">
        <v>0</v>
      </c>
      <c r="C3" t="s">
        <v>28</v>
      </c>
      <c r="D3" t="s">
        <v>28</v>
      </c>
      <c r="E3" t="s">
        <v>28</v>
      </c>
      <c r="F3" t="s">
        <v>28</v>
      </c>
    </row>
    <row r="4" spans="1:14" x14ac:dyDescent="0.25">
      <c r="A4" t="s">
        <v>2</v>
      </c>
      <c r="B4">
        <v>0</v>
      </c>
      <c r="C4" t="s">
        <v>28</v>
      </c>
      <c r="D4" t="s">
        <v>28</v>
      </c>
      <c r="E4" t="s">
        <v>28</v>
      </c>
      <c r="F4" t="s">
        <v>28</v>
      </c>
    </row>
    <row r="5" spans="1:14" x14ac:dyDescent="0.25">
      <c r="A5" t="s">
        <v>3</v>
      </c>
      <c r="B5">
        <v>0</v>
      </c>
      <c r="C5" t="s">
        <v>28</v>
      </c>
      <c r="D5" t="s">
        <v>28</v>
      </c>
      <c r="E5" t="s">
        <v>28</v>
      </c>
      <c r="F5" t="s">
        <v>28</v>
      </c>
    </row>
    <row r="6" spans="1:14" x14ac:dyDescent="0.25">
      <c r="A6" t="s">
        <v>4</v>
      </c>
      <c r="B6">
        <v>0</v>
      </c>
      <c r="C6" t="s">
        <v>28</v>
      </c>
      <c r="D6" t="s">
        <v>28</v>
      </c>
      <c r="E6" t="s">
        <v>28</v>
      </c>
      <c r="F6" t="s">
        <v>28</v>
      </c>
    </row>
    <row r="7" spans="1:14" x14ac:dyDescent="0.25">
      <c r="A7" t="s">
        <v>5</v>
      </c>
      <c r="B7">
        <v>0</v>
      </c>
      <c r="C7" t="s">
        <v>28</v>
      </c>
      <c r="D7" t="s">
        <v>28</v>
      </c>
      <c r="E7" t="s">
        <v>28</v>
      </c>
      <c r="F7" t="s">
        <v>28</v>
      </c>
    </row>
    <row r="8" spans="1:14" x14ac:dyDescent="0.25">
      <c r="A8" t="s">
        <v>6</v>
      </c>
      <c r="B8">
        <v>0</v>
      </c>
      <c r="C8" t="s">
        <v>28</v>
      </c>
      <c r="D8" t="s">
        <v>28</v>
      </c>
      <c r="E8" t="s">
        <v>28</v>
      </c>
      <c r="F8" t="s">
        <v>28</v>
      </c>
    </row>
    <row r="9" spans="1:14" x14ac:dyDescent="0.25">
      <c r="A9" t="s">
        <v>7</v>
      </c>
      <c r="B9">
        <v>0</v>
      </c>
      <c r="C9" t="s">
        <v>28</v>
      </c>
      <c r="D9" t="s">
        <v>28</v>
      </c>
      <c r="E9" t="s">
        <v>28</v>
      </c>
      <c r="F9" t="s">
        <v>28</v>
      </c>
    </row>
    <row r="10" spans="1:14" x14ac:dyDescent="0.25">
      <c r="A10" t="s">
        <v>8</v>
      </c>
      <c r="B10">
        <v>0</v>
      </c>
      <c r="C10" t="s">
        <v>28</v>
      </c>
      <c r="D10" t="s">
        <v>28</v>
      </c>
      <c r="E10" t="s">
        <v>28</v>
      </c>
      <c r="F10" t="s">
        <v>28</v>
      </c>
    </row>
    <row r="11" spans="1:14" x14ac:dyDescent="0.25">
      <c r="A11" t="s">
        <v>9</v>
      </c>
      <c r="B11">
        <v>0</v>
      </c>
      <c r="C11" t="s">
        <v>28</v>
      </c>
      <c r="D11" t="s">
        <v>28</v>
      </c>
      <c r="E11" t="s">
        <v>28</v>
      </c>
      <c r="F11" t="s">
        <v>28</v>
      </c>
    </row>
    <row r="12" spans="1:14" x14ac:dyDescent="0.25">
      <c r="A12" t="s">
        <v>10</v>
      </c>
      <c r="B12">
        <v>0</v>
      </c>
      <c r="C12" t="s">
        <v>28</v>
      </c>
      <c r="D12" t="s">
        <v>28</v>
      </c>
      <c r="E12" t="s">
        <v>28</v>
      </c>
      <c r="F12" t="s">
        <v>28</v>
      </c>
    </row>
    <row r="13" spans="1:14" x14ac:dyDescent="0.25">
      <c r="A13" t="s">
        <v>11</v>
      </c>
      <c r="B13">
        <v>0</v>
      </c>
      <c r="C13" t="s">
        <v>28</v>
      </c>
      <c r="D13" t="s">
        <v>28</v>
      </c>
      <c r="E13" t="s">
        <v>28</v>
      </c>
      <c r="F13" t="s">
        <v>28</v>
      </c>
    </row>
    <row r="14" spans="1:14" x14ac:dyDescent="0.25">
      <c r="A14" t="s">
        <v>20</v>
      </c>
      <c r="B14">
        <v>0</v>
      </c>
      <c r="C14" t="s">
        <v>28</v>
      </c>
      <c r="D14" t="s">
        <v>28</v>
      </c>
      <c r="E14" t="s">
        <v>28</v>
      </c>
      <c r="F14" t="s">
        <v>28</v>
      </c>
    </row>
    <row r="15" spans="1:14" x14ac:dyDescent="0.25">
      <c r="A15" s="2" t="s">
        <v>16</v>
      </c>
      <c r="B15">
        <f>2.34*'additional data'!C2</f>
        <v>12.9636</v>
      </c>
      <c r="C15" t="s">
        <v>28</v>
      </c>
      <c r="D15" t="s">
        <v>28</v>
      </c>
      <c r="E15" t="s">
        <v>28</v>
      </c>
      <c r="F15" t="s">
        <v>28</v>
      </c>
    </row>
    <row r="16" spans="1:14" x14ac:dyDescent="0.25">
      <c r="L16" s="11"/>
      <c r="M16" s="11"/>
      <c r="N16" s="28"/>
    </row>
    <row r="17" spans="1:6" s="2" customFormat="1" x14ac:dyDescent="0.25">
      <c r="A17" s="2" t="s">
        <v>12</v>
      </c>
    </row>
    <row r="18" spans="1:6" x14ac:dyDescent="0.25">
      <c r="A18" t="s">
        <v>0</v>
      </c>
      <c r="B18" t="s">
        <v>14</v>
      </c>
      <c r="D18" t="s">
        <v>14</v>
      </c>
      <c r="E18" t="s">
        <v>331</v>
      </c>
      <c r="F18" t="s">
        <v>332</v>
      </c>
    </row>
    <row r="19" spans="1:6" x14ac:dyDescent="0.25">
      <c r="A19" t="s">
        <v>1</v>
      </c>
      <c r="B19" t="s">
        <v>14</v>
      </c>
      <c r="C19" t="s">
        <v>28</v>
      </c>
      <c r="D19" t="s">
        <v>28</v>
      </c>
      <c r="E19" t="s">
        <v>28</v>
      </c>
      <c r="F19" t="s">
        <v>28</v>
      </c>
    </row>
    <row r="20" spans="1:6" x14ac:dyDescent="0.25">
      <c r="A20" t="s">
        <v>2</v>
      </c>
      <c r="B20" t="s">
        <v>14</v>
      </c>
      <c r="C20" t="s">
        <v>28</v>
      </c>
      <c r="D20" t="s">
        <v>28</v>
      </c>
      <c r="E20" t="s">
        <v>28</v>
      </c>
      <c r="F20" t="s">
        <v>28</v>
      </c>
    </row>
    <row r="21" spans="1:6" x14ac:dyDescent="0.25">
      <c r="A21" t="s">
        <v>3</v>
      </c>
      <c r="B21" t="s">
        <v>14</v>
      </c>
      <c r="C21" t="s">
        <v>28</v>
      </c>
      <c r="D21" t="s">
        <v>28</v>
      </c>
      <c r="E21" t="s">
        <v>28</v>
      </c>
      <c r="F21" t="s">
        <v>28</v>
      </c>
    </row>
    <row r="22" spans="1:6" x14ac:dyDescent="0.25">
      <c r="A22" t="s">
        <v>4</v>
      </c>
      <c r="B22" t="s">
        <v>14</v>
      </c>
      <c r="C22" t="s">
        <v>28</v>
      </c>
      <c r="D22" t="s">
        <v>28</v>
      </c>
      <c r="E22" t="s">
        <v>28</v>
      </c>
      <c r="F22" t="s">
        <v>28</v>
      </c>
    </row>
    <row r="23" spans="1:6" x14ac:dyDescent="0.25">
      <c r="A23" t="s">
        <v>5</v>
      </c>
      <c r="B23" t="s">
        <v>14</v>
      </c>
      <c r="C23" t="s">
        <v>28</v>
      </c>
      <c r="D23" t="s">
        <v>28</v>
      </c>
      <c r="E23" t="s">
        <v>28</v>
      </c>
      <c r="F23" t="s">
        <v>28</v>
      </c>
    </row>
    <row r="24" spans="1:6" x14ac:dyDescent="0.25">
      <c r="A24" t="s">
        <v>6</v>
      </c>
      <c r="B24" t="s">
        <v>14</v>
      </c>
      <c r="C24" t="s">
        <v>28</v>
      </c>
      <c r="D24" t="s">
        <v>28</v>
      </c>
      <c r="E24" t="s">
        <v>28</v>
      </c>
      <c r="F24" t="s">
        <v>28</v>
      </c>
    </row>
    <row r="25" spans="1:6" x14ac:dyDescent="0.25">
      <c r="A25" t="s">
        <v>7</v>
      </c>
      <c r="B25" t="s">
        <v>14</v>
      </c>
      <c r="C25" t="s">
        <v>28</v>
      </c>
      <c r="D25" t="s">
        <v>28</v>
      </c>
      <c r="E25" t="s">
        <v>28</v>
      </c>
      <c r="F25" t="s">
        <v>28</v>
      </c>
    </row>
    <row r="26" spans="1:6" x14ac:dyDescent="0.25">
      <c r="A26" t="s">
        <v>8</v>
      </c>
      <c r="B26" t="s">
        <v>14</v>
      </c>
      <c r="C26" t="s">
        <v>28</v>
      </c>
      <c r="D26" t="s">
        <v>28</v>
      </c>
      <c r="E26" t="s">
        <v>28</v>
      </c>
      <c r="F26" t="s">
        <v>28</v>
      </c>
    </row>
    <row r="27" spans="1:6" x14ac:dyDescent="0.25">
      <c r="A27" t="s">
        <v>9</v>
      </c>
      <c r="B27" t="s">
        <v>14</v>
      </c>
      <c r="C27" t="s">
        <v>28</v>
      </c>
      <c r="D27" t="s">
        <v>28</v>
      </c>
      <c r="E27" t="s">
        <v>28</v>
      </c>
      <c r="F27" t="s">
        <v>28</v>
      </c>
    </row>
    <row r="28" spans="1:6" x14ac:dyDescent="0.25">
      <c r="A28" t="s">
        <v>10</v>
      </c>
      <c r="B28" t="s">
        <v>14</v>
      </c>
      <c r="C28" t="s">
        <v>28</v>
      </c>
      <c r="D28" t="s">
        <v>28</v>
      </c>
      <c r="E28" t="s">
        <v>28</v>
      </c>
      <c r="F28" t="s">
        <v>28</v>
      </c>
    </row>
    <row r="29" spans="1:6" x14ac:dyDescent="0.25">
      <c r="A29" t="s">
        <v>11</v>
      </c>
      <c r="B29" t="s">
        <v>14</v>
      </c>
      <c r="C29" t="s">
        <v>28</v>
      </c>
      <c r="D29" t="s">
        <v>28</v>
      </c>
      <c r="E29" t="s">
        <v>28</v>
      </c>
      <c r="F29" t="s">
        <v>28</v>
      </c>
    </row>
    <row r="30" spans="1:6" x14ac:dyDescent="0.25">
      <c r="A30" t="s">
        <v>20</v>
      </c>
      <c r="B30" t="s">
        <v>14</v>
      </c>
      <c r="C30" t="s">
        <v>28</v>
      </c>
      <c r="D30" t="s">
        <v>28</v>
      </c>
      <c r="E30" t="s">
        <v>28</v>
      </c>
      <c r="F30" t="s">
        <v>28</v>
      </c>
    </row>
    <row r="31" spans="1:6" x14ac:dyDescent="0.25">
      <c r="A31" s="2" t="s">
        <v>16</v>
      </c>
      <c r="B31" t="s">
        <v>14</v>
      </c>
      <c r="C31" t="s">
        <v>28</v>
      </c>
      <c r="D31" t="s">
        <v>28</v>
      </c>
      <c r="E31" t="s">
        <v>28</v>
      </c>
      <c r="F31" t="s">
        <v>28</v>
      </c>
    </row>
    <row r="33" spans="1:2" x14ac:dyDescent="0.25">
      <c r="A33" t="s">
        <v>296</v>
      </c>
      <c r="B33" t="s">
        <v>333</v>
      </c>
    </row>
  </sheetData>
  <autoFilter ref="A1:N15" xr:uid="{D98703A6-F079-47C6-89B7-D48B55622217}"/>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prices</vt:lpstr>
      <vt:lpstr>additional data</vt:lpstr>
      <vt:lpstr>production</vt:lpstr>
      <vt:lpstr>limits</vt:lpstr>
      <vt:lpstr>material factors</vt:lpstr>
      <vt:lpstr>steel energy</vt:lpstr>
      <vt:lpstr>steel feedstock</vt:lpstr>
      <vt:lpstr>steel cost</vt:lpstr>
      <vt:lpstr>hvc energy</vt:lpstr>
      <vt:lpstr>hvc feedstock</vt:lpstr>
      <vt:lpstr>hvc cost</vt:lpstr>
      <vt:lpstr>cement costs</vt:lpstr>
      <vt:lpstr>cement feedstock</vt:lpstr>
      <vt:lpstr>calculations hvc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Celia Burghardt</dc:creator>
  <cp:lastModifiedBy>Celia Burghardt</cp:lastModifiedBy>
  <dcterms:created xsi:type="dcterms:W3CDTF">2024-07-12T14:05:23Z</dcterms:created>
  <dcterms:modified xsi:type="dcterms:W3CDTF">2025-03-03T13:20:29Z</dcterms:modified>
</cp:coreProperties>
</file>