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ceshuca_win_dtu_dk/Documents/Modules/GC Perkin Elmer Data analysis tools/"/>
    </mc:Choice>
  </mc:AlternateContent>
  <bookViews>
    <workbookView xWindow="-120" yWindow="-120" windowWidth="29040" windowHeight="15840" activeTab="1"/>
  </bookViews>
  <sheets>
    <sheet name="GL Calibrations 50 sccm" sheetId="147" r:id="rId1"/>
    <sheet name="GL Calibrations 10 sccm" sheetId="149" r:id="rId2"/>
    <sheet name="GL Calibrations OLD" sheetId="148" r:id="rId3"/>
    <sheet name="PASTY ex" sheetId="146" r:id="rId4"/>
    <sheet name="PASTY" sheetId="140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48" l="1"/>
  <c r="F7" i="148"/>
  <c r="AO19" i="146"/>
  <c r="CZ50" i="146" l="1"/>
  <c r="CY50" i="146"/>
  <c r="CX50" i="146"/>
  <c r="CW50" i="146"/>
  <c r="CV50" i="146"/>
  <c r="CT50" i="146"/>
  <c r="BW50" i="146"/>
  <c r="BV50" i="146"/>
  <c r="BU50" i="146"/>
  <c r="BP50" i="146"/>
  <c r="BO50" i="146"/>
  <c r="BN50" i="146"/>
  <c r="BH50" i="146"/>
  <c r="AZ50" i="146"/>
  <c r="AY50" i="146"/>
  <c r="AX50" i="146"/>
  <c r="AS50" i="146"/>
  <c r="AQ50" i="146"/>
  <c r="C50" i="146"/>
  <c r="E50" i="146" s="1"/>
  <c r="F50" i="146" s="1"/>
  <c r="DK49" i="146"/>
  <c r="DG49" i="146"/>
  <c r="DF49" i="146"/>
  <c r="DE49" i="146"/>
  <c r="DA49" i="146"/>
  <c r="CZ49" i="146"/>
  <c r="CY49" i="146"/>
  <c r="CX49" i="146"/>
  <c r="CW49" i="146"/>
  <c r="CT49" i="146"/>
  <c r="CS49" i="146"/>
  <c r="CR49" i="146"/>
  <c r="CQ49" i="146"/>
  <c r="CP49" i="146"/>
  <c r="CO49" i="146"/>
  <c r="CN49" i="146"/>
  <c r="CM49" i="146"/>
  <c r="CL49" i="146"/>
  <c r="CK49" i="146"/>
  <c r="CJ49" i="146"/>
  <c r="CH49" i="146"/>
  <c r="CG49" i="146"/>
  <c r="CU49" i="146" s="1"/>
  <c r="CF49" i="146"/>
  <c r="CE49" i="146"/>
  <c r="CD49" i="146"/>
  <c r="CC49" i="146"/>
  <c r="CB49" i="146"/>
  <c r="BY49" i="146"/>
  <c r="BX49" i="146"/>
  <c r="BW49" i="146"/>
  <c r="BV49" i="146"/>
  <c r="BU49" i="146"/>
  <c r="BT49" i="146"/>
  <c r="BS49" i="146"/>
  <c r="BR49" i="146"/>
  <c r="BQ49" i="146"/>
  <c r="BP49" i="146"/>
  <c r="BO49" i="146"/>
  <c r="BN49" i="146"/>
  <c r="BM49" i="146"/>
  <c r="BL49" i="146"/>
  <c r="BK49" i="146"/>
  <c r="BJ49" i="146"/>
  <c r="BI49" i="146"/>
  <c r="BH49" i="146"/>
  <c r="BG49" i="146"/>
  <c r="BB49" i="146"/>
  <c r="BA49" i="146"/>
  <c r="AZ49" i="146"/>
  <c r="AY49" i="146"/>
  <c r="AX49" i="146"/>
  <c r="AW49" i="146"/>
  <c r="AV49" i="146"/>
  <c r="AU49" i="146"/>
  <c r="AT49" i="146"/>
  <c r="AS49" i="146"/>
  <c r="AR49" i="146"/>
  <c r="AQ49" i="146"/>
  <c r="AP49" i="146"/>
  <c r="AO49" i="146"/>
  <c r="AN49" i="146"/>
  <c r="AM49" i="146"/>
  <c r="AL49" i="146"/>
  <c r="AH49" i="146"/>
  <c r="AG49" i="146"/>
  <c r="AF49" i="146"/>
  <c r="AE49" i="146"/>
  <c r="AD49" i="146"/>
  <c r="AC49" i="146"/>
  <c r="AB49" i="146"/>
  <c r="AK49" i="146" s="1"/>
  <c r="AA49" i="146"/>
  <c r="Z49" i="146"/>
  <c r="AI49" i="146" s="1"/>
  <c r="N49" i="146"/>
  <c r="C49" i="146"/>
  <c r="E49" i="146" s="1"/>
  <c r="F49" i="146" s="1"/>
  <c r="H49" i="146" s="1"/>
  <c r="DK48" i="146"/>
  <c r="DG48" i="146"/>
  <c r="DF48" i="146"/>
  <c r="DE48" i="146"/>
  <c r="DA48" i="146"/>
  <c r="CZ48" i="146"/>
  <c r="CY48" i="146"/>
  <c r="CX48" i="146"/>
  <c r="CW48" i="146"/>
  <c r="CT48" i="146"/>
  <c r="CS48" i="146"/>
  <c r="CR48" i="146"/>
  <c r="CQ48" i="146"/>
  <c r="CP48" i="146"/>
  <c r="CO48" i="146"/>
  <c r="CN48" i="146"/>
  <c r="CM48" i="146"/>
  <c r="CL48" i="146"/>
  <c r="CK48" i="146"/>
  <c r="CJ48" i="146"/>
  <c r="CH48" i="146"/>
  <c r="CG48" i="146"/>
  <c r="DC48" i="146" s="1"/>
  <c r="CF48" i="146"/>
  <c r="CE48" i="146"/>
  <c r="CD48" i="146"/>
  <c r="CC48" i="146"/>
  <c r="CB48" i="146"/>
  <c r="BY48" i="146"/>
  <c r="BX48" i="146"/>
  <c r="BW48" i="146"/>
  <c r="BV48" i="146"/>
  <c r="BU48" i="146"/>
  <c r="BT48" i="146"/>
  <c r="BS48" i="146"/>
  <c r="BR48" i="146"/>
  <c r="BQ48" i="146"/>
  <c r="BP48" i="146"/>
  <c r="BO48" i="146"/>
  <c r="BN48" i="146"/>
  <c r="BM48" i="146"/>
  <c r="BL48" i="146"/>
  <c r="BK48" i="146"/>
  <c r="BJ48" i="146"/>
  <c r="BI48" i="146"/>
  <c r="BH48" i="146"/>
  <c r="BG48" i="146"/>
  <c r="BB48" i="146"/>
  <c r="BA48" i="146"/>
  <c r="AZ48" i="146"/>
  <c r="AY48" i="146"/>
  <c r="AX48" i="146"/>
  <c r="AW48" i="146"/>
  <c r="AV48" i="146"/>
  <c r="AU48" i="146"/>
  <c r="AT48" i="146"/>
  <c r="AS48" i="146"/>
  <c r="AR48" i="146"/>
  <c r="AQ48" i="146"/>
  <c r="AP48" i="146"/>
  <c r="AO48" i="146"/>
  <c r="AN48" i="146"/>
  <c r="AM48" i="146"/>
  <c r="AL48" i="146"/>
  <c r="AH48" i="146"/>
  <c r="AG48" i="146"/>
  <c r="AF48" i="146"/>
  <c r="AE48" i="146"/>
  <c r="AD48" i="146"/>
  <c r="AC48" i="146"/>
  <c r="AB48" i="146"/>
  <c r="AK48" i="146" s="1"/>
  <c r="AA48" i="146"/>
  <c r="Z48" i="146"/>
  <c r="AI48" i="146" s="1"/>
  <c r="N48" i="146"/>
  <c r="C48" i="146"/>
  <c r="E48" i="146" s="1"/>
  <c r="F48" i="146" s="1"/>
  <c r="H48" i="146" s="1"/>
  <c r="DK47" i="146"/>
  <c r="DG47" i="146"/>
  <c r="DF47" i="146"/>
  <c r="DE47" i="146"/>
  <c r="DA47" i="146"/>
  <c r="CZ47" i="146"/>
  <c r="CY47" i="146"/>
  <c r="CX47" i="146"/>
  <c r="CW47" i="146"/>
  <c r="CU47" i="146"/>
  <c r="CT47" i="146"/>
  <c r="CS47" i="146"/>
  <c r="CR47" i="146"/>
  <c r="CQ47" i="146"/>
  <c r="CP47" i="146"/>
  <c r="CO47" i="146"/>
  <c r="CN47" i="146"/>
  <c r="CM47" i="146"/>
  <c r="CL47" i="146"/>
  <c r="CK47" i="146"/>
  <c r="CJ47" i="146"/>
  <c r="CH47" i="146"/>
  <c r="CG47" i="146"/>
  <c r="CF47" i="146"/>
  <c r="CE47" i="146"/>
  <c r="CD47" i="146"/>
  <c r="CC47" i="146"/>
  <c r="CB47" i="146"/>
  <c r="BY47" i="146"/>
  <c r="BX47" i="146"/>
  <c r="BW47" i="146"/>
  <c r="BV47" i="146"/>
  <c r="BU47" i="146"/>
  <c r="BT47" i="146"/>
  <c r="BS47" i="146"/>
  <c r="BR47" i="146"/>
  <c r="BQ47" i="146"/>
  <c r="BP47" i="146"/>
  <c r="BO47" i="146"/>
  <c r="BN47" i="146"/>
  <c r="BM47" i="146"/>
  <c r="BL47" i="146"/>
  <c r="BK47" i="146"/>
  <c r="BJ47" i="146"/>
  <c r="BI47" i="146"/>
  <c r="BH47" i="146"/>
  <c r="BG47" i="146"/>
  <c r="BB47" i="146"/>
  <c r="BA47" i="146"/>
  <c r="AZ47" i="146"/>
  <c r="AY47" i="146"/>
  <c r="AX47" i="146"/>
  <c r="AW47" i="146"/>
  <c r="AV47" i="146"/>
  <c r="AU47" i="146"/>
  <c r="AT47" i="146"/>
  <c r="AS47" i="146"/>
  <c r="AR47" i="146"/>
  <c r="AQ47" i="146"/>
  <c r="AP47" i="146"/>
  <c r="AO47" i="146"/>
  <c r="AN47" i="146"/>
  <c r="AM47" i="146"/>
  <c r="AL47" i="146"/>
  <c r="AH47" i="146"/>
  <c r="AG47" i="146"/>
  <c r="AF47" i="146"/>
  <c r="AE47" i="146"/>
  <c r="AD47" i="146"/>
  <c r="AC47" i="146"/>
  <c r="AB47" i="146"/>
  <c r="AK47" i="146" s="1"/>
  <c r="AA47" i="146"/>
  <c r="Z47" i="146"/>
  <c r="AI47" i="146" s="1"/>
  <c r="N47" i="146"/>
  <c r="C47" i="146"/>
  <c r="E47" i="146" s="1"/>
  <c r="F47" i="146" s="1"/>
  <c r="H47" i="146" s="1"/>
  <c r="DK46" i="146"/>
  <c r="DG46" i="146"/>
  <c r="DF46" i="146"/>
  <c r="DE46" i="146"/>
  <c r="DA46" i="146"/>
  <c r="CZ46" i="146"/>
  <c r="CY46" i="146"/>
  <c r="CX46" i="146"/>
  <c r="CW46" i="146"/>
  <c r="CT46" i="146"/>
  <c r="CS46" i="146"/>
  <c r="CR46" i="146"/>
  <c r="CQ46" i="146"/>
  <c r="CP46" i="146"/>
  <c r="CO46" i="146"/>
  <c r="CN46" i="146"/>
  <c r="CM46" i="146"/>
  <c r="CL46" i="146"/>
  <c r="CK46" i="146"/>
  <c r="CJ46" i="146"/>
  <c r="CH46" i="146"/>
  <c r="CG46" i="146"/>
  <c r="CU46" i="146" s="1"/>
  <c r="CF46" i="146"/>
  <c r="CE46" i="146"/>
  <c r="CD46" i="146"/>
  <c r="CC46" i="146"/>
  <c r="CB46" i="146"/>
  <c r="BY46" i="146"/>
  <c r="BX46" i="146"/>
  <c r="BW46" i="146"/>
  <c r="BV46" i="146"/>
  <c r="BU46" i="146"/>
  <c r="BT46" i="146"/>
  <c r="BS46" i="146"/>
  <c r="BR46" i="146"/>
  <c r="BQ46" i="146"/>
  <c r="BP46" i="146"/>
  <c r="BO46" i="146"/>
  <c r="BN46" i="146"/>
  <c r="BM46" i="146"/>
  <c r="BL46" i="146"/>
  <c r="BK46" i="146"/>
  <c r="BJ46" i="146"/>
  <c r="BI46" i="146"/>
  <c r="BH46" i="146"/>
  <c r="BG46" i="146"/>
  <c r="BB46" i="146"/>
  <c r="BA46" i="146"/>
  <c r="AZ46" i="146"/>
  <c r="AY46" i="146"/>
  <c r="AX46" i="146"/>
  <c r="AW46" i="146"/>
  <c r="AV46" i="146"/>
  <c r="AU46" i="146"/>
  <c r="AT46" i="146"/>
  <c r="AS46" i="146"/>
  <c r="AR46" i="146"/>
  <c r="AQ46" i="146"/>
  <c r="AP46" i="146"/>
  <c r="AO46" i="146"/>
  <c r="AN46" i="146"/>
  <c r="AM46" i="146"/>
  <c r="AL46" i="146"/>
  <c r="AH46" i="146"/>
  <c r="AG46" i="146"/>
  <c r="AF46" i="146"/>
  <c r="AE46" i="146"/>
  <c r="AD46" i="146"/>
  <c r="AC46" i="146"/>
  <c r="AB46" i="146"/>
  <c r="AK46" i="146" s="1"/>
  <c r="AA46" i="146"/>
  <c r="Z46" i="146"/>
  <c r="AI46" i="146" s="1"/>
  <c r="N46" i="146"/>
  <c r="C46" i="146"/>
  <c r="E46" i="146" s="1"/>
  <c r="F46" i="146" s="1"/>
  <c r="H46" i="146" s="1"/>
  <c r="DK45" i="146"/>
  <c r="DG45" i="146"/>
  <c r="DF45" i="146"/>
  <c r="DE45" i="146"/>
  <c r="DC45" i="146"/>
  <c r="DA45" i="146"/>
  <c r="CZ45" i="146"/>
  <c r="CY45" i="146"/>
  <c r="CX45" i="146"/>
  <c r="CW45" i="146"/>
  <c r="CU45" i="146"/>
  <c r="CT45" i="146"/>
  <c r="CS45" i="146"/>
  <c r="CR45" i="146"/>
  <c r="CQ45" i="146"/>
  <c r="CP45" i="146"/>
  <c r="CO45" i="146"/>
  <c r="CN45" i="146"/>
  <c r="CM45" i="146"/>
  <c r="CL45" i="146"/>
  <c r="CK45" i="146"/>
  <c r="CJ45" i="146"/>
  <c r="CH45" i="146"/>
  <c r="CG45" i="146"/>
  <c r="CF45" i="146"/>
  <c r="CE45" i="146"/>
  <c r="CD45" i="146"/>
  <c r="CC45" i="146"/>
  <c r="CB45" i="146"/>
  <c r="BY45" i="146"/>
  <c r="BX45" i="146"/>
  <c r="BW45" i="146"/>
  <c r="BV45" i="146"/>
  <c r="BU45" i="146"/>
  <c r="BT45" i="146"/>
  <c r="BS45" i="146"/>
  <c r="BR45" i="146"/>
  <c r="BQ45" i="146"/>
  <c r="BP45" i="146"/>
  <c r="BO45" i="146"/>
  <c r="BN45" i="146"/>
  <c r="BM45" i="146"/>
  <c r="BL45" i="146"/>
  <c r="BK45" i="146"/>
  <c r="BJ45" i="146"/>
  <c r="BI45" i="146"/>
  <c r="BH45" i="146"/>
  <c r="BG45" i="146"/>
  <c r="BB45" i="146"/>
  <c r="BA45" i="146"/>
  <c r="AZ45" i="146"/>
  <c r="AY45" i="146"/>
  <c r="AX45" i="146"/>
  <c r="AW45" i="146"/>
  <c r="AV45" i="146"/>
  <c r="AU45" i="146"/>
  <c r="AT45" i="146"/>
  <c r="AS45" i="146"/>
  <c r="AR45" i="146"/>
  <c r="AQ45" i="146"/>
  <c r="AP45" i="146"/>
  <c r="AO45" i="146"/>
  <c r="AN45" i="146"/>
  <c r="AM45" i="146"/>
  <c r="AL45" i="146"/>
  <c r="AH45" i="146"/>
  <c r="AG45" i="146"/>
  <c r="AF45" i="146"/>
  <c r="AE45" i="146"/>
  <c r="AD45" i="146"/>
  <c r="AC45" i="146"/>
  <c r="AB45" i="146"/>
  <c r="AK45" i="146" s="1"/>
  <c r="AA45" i="146"/>
  <c r="Z45" i="146"/>
  <c r="AI45" i="146" s="1"/>
  <c r="N45" i="146"/>
  <c r="C45" i="146"/>
  <c r="D46" i="146" s="1"/>
  <c r="DK44" i="146"/>
  <c r="DG44" i="146"/>
  <c r="DF44" i="146"/>
  <c r="DE44" i="146"/>
  <c r="DA44" i="146"/>
  <c r="CZ44" i="146"/>
  <c r="CY44" i="146"/>
  <c r="CX44" i="146"/>
  <c r="CW44" i="146"/>
  <c r="CT44" i="146"/>
  <c r="CS44" i="146"/>
  <c r="CR44" i="146"/>
  <c r="CQ44" i="146"/>
  <c r="CP44" i="146"/>
  <c r="CO44" i="146"/>
  <c r="CN44" i="146"/>
  <c r="CM44" i="146"/>
  <c r="CL44" i="146"/>
  <c r="CK44" i="146"/>
  <c r="CJ44" i="146"/>
  <c r="CH44" i="146"/>
  <c r="CG44" i="146"/>
  <c r="CF44" i="146"/>
  <c r="CE44" i="146"/>
  <c r="CD44" i="146"/>
  <c r="CC44" i="146"/>
  <c r="CB44" i="146"/>
  <c r="BY44" i="146"/>
  <c r="BX44" i="146"/>
  <c r="BW44" i="146"/>
  <c r="BV44" i="146"/>
  <c r="BU44" i="146"/>
  <c r="BT44" i="146"/>
  <c r="BS44" i="146"/>
  <c r="BR44" i="146"/>
  <c r="BQ44" i="146"/>
  <c r="BP44" i="146"/>
  <c r="BO44" i="146"/>
  <c r="BN44" i="146"/>
  <c r="BM44" i="146"/>
  <c r="BL44" i="146"/>
  <c r="BK44" i="146"/>
  <c r="BJ44" i="146"/>
  <c r="BI44" i="146"/>
  <c r="BH44" i="146"/>
  <c r="BG44" i="146"/>
  <c r="BB44" i="146"/>
  <c r="BA44" i="146"/>
  <c r="AZ44" i="146"/>
  <c r="AY44" i="146"/>
  <c r="AX44" i="146"/>
  <c r="AW44" i="146"/>
  <c r="AV44" i="146"/>
  <c r="AU44" i="146"/>
  <c r="AT44" i="146"/>
  <c r="AS44" i="146"/>
  <c r="AR44" i="146"/>
  <c r="AQ44" i="146"/>
  <c r="AP44" i="146"/>
  <c r="AO44" i="146"/>
  <c r="AN44" i="146"/>
  <c r="AM44" i="146"/>
  <c r="AL44" i="146"/>
  <c r="AK44" i="146"/>
  <c r="AH44" i="146"/>
  <c r="AG44" i="146"/>
  <c r="AF44" i="146"/>
  <c r="AE44" i="146"/>
  <c r="AD44" i="146"/>
  <c r="AC44" i="146"/>
  <c r="AB44" i="146"/>
  <c r="AA44" i="146"/>
  <c r="Z44" i="146"/>
  <c r="AI44" i="146" s="1"/>
  <c r="N44" i="146"/>
  <c r="D44" i="146"/>
  <c r="C44" i="146"/>
  <c r="E44" i="146" s="1"/>
  <c r="F44" i="146" s="1"/>
  <c r="H44" i="146" s="1"/>
  <c r="DK43" i="146"/>
  <c r="DG43" i="146"/>
  <c r="DF43" i="146"/>
  <c r="DE43" i="146"/>
  <c r="DA43" i="146"/>
  <c r="CZ43" i="146"/>
  <c r="CY43" i="146"/>
  <c r="CX43" i="146"/>
  <c r="CW43" i="146"/>
  <c r="CT43" i="146"/>
  <c r="CS43" i="146"/>
  <c r="CR43" i="146"/>
  <c r="CQ43" i="146"/>
  <c r="CP43" i="146"/>
  <c r="CO43" i="146"/>
  <c r="CN43" i="146"/>
  <c r="CM43" i="146"/>
  <c r="CL43" i="146"/>
  <c r="CK43" i="146"/>
  <c r="CJ43" i="146"/>
  <c r="CH43" i="146"/>
  <c r="CG43" i="146"/>
  <c r="DC43" i="146" s="1"/>
  <c r="CF43" i="146"/>
  <c r="CE43" i="146"/>
  <c r="CD43" i="146"/>
  <c r="CC43" i="146"/>
  <c r="CB43" i="146"/>
  <c r="BY43" i="146"/>
  <c r="BX43" i="146"/>
  <c r="BW43" i="146"/>
  <c r="BV43" i="146"/>
  <c r="BU43" i="146"/>
  <c r="BT43" i="146"/>
  <c r="BS43" i="146"/>
  <c r="BR43" i="146"/>
  <c r="BQ43" i="146"/>
  <c r="BP43" i="146"/>
  <c r="BO43" i="146"/>
  <c r="BN43" i="146"/>
  <c r="BM43" i="146"/>
  <c r="BL43" i="146"/>
  <c r="BK43" i="146"/>
  <c r="BJ43" i="146"/>
  <c r="BI43" i="146"/>
  <c r="BH43" i="146"/>
  <c r="BG43" i="146"/>
  <c r="BB43" i="146"/>
  <c r="BA43" i="146"/>
  <c r="AZ43" i="146"/>
  <c r="AY43" i="146"/>
  <c r="AX43" i="146"/>
  <c r="AW43" i="146"/>
  <c r="AV43" i="146"/>
  <c r="AU43" i="146"/>
  <c r="AT43" i="146"/>
  <c r="AS43" i="146"/>
  <c r="AR43" i="146"/>
  <c r="AQ43" i="146"/>
  <c r="AP43" i="146"/>
  <c r="AO43" i="146"/>
  <c r="AN43" i="146"/>
  <c r="AM43" i="146"/>
  <c r="AL43" i="146"/>
  <c r="AH43" i="146"/>
  <c r="AG43" i="146"/>
  <c r="AF43" i="146"/>
  <c r="AE43" i="146"/>
  <c r="AD43" i="146"/>
  <c r="AC43" i="146"/>
  <c r="AB43" i="146"/>
  <c r="AA43" i="146"/>
  <c r="AK43" i="146" s="1"/>
  <c r="Z43" i="146"/>
  <c r="AI43" i="146" s="1"/>
  <c r="N43" i="146"/>
  <c r="C43" i="146"/>
  <c r="E43" i="146" s="1"/>
  <c r="F43" i="146" s="1"/>
  <c r="H43" i="146" s="1"/>
  <c r="DK42" i="146"/>
  <c r="DG42" i="146"/>
  <c r="DF42" i="146"/>
  <c r="DE42" i="146"/>
  <c r="DA42" i="146"/>
  <c r="CZ42" i="146"/>
  <c r="CY42" i="146"/>
  <c r="CX42" i="146"/>
  <c r="CW42" i="146"/>
  <c r="CT42" i="146"/>
  <c r="CS42" i="146"/>
  <c r="CR42" i="146"/>
  <c r="CQ42" i="146"/>
  <c r="CP42" i="146"/>
  <c r="CO42" i="146"/>
  <c r="CN42" i="146"/>
  <c r="CM42" i="146"/>
  <c r="CL42" i="146"/>
  <c r="CK42" i="146"/>
  <c r="CJ42" i="146"/>
  <c r="CH42" i="146"/>
  <c r="CG42" i="146"/>
  <c r="CF42" i="146"/>
  <c r="CE42" i="146"/>
  <c r="CD42" i="146"/>
  <c r="CC42" i="146"/>
  <c r="CB42" i="146"/>
  <c r="BY42" i="146"/>
  <c r="BX42" i="146"/>
  <c r="BW42" i="146"/>
  <c r="BV42" i="146"/>
  <c r="BU42" i="146"/>
  <c r="BT42" i="146"/>
  <c r="BS42" i="146"/>
  <c r="BR42" i="146"/>
  <c r="BQ42" i="146"/>
  <c r="BP42" i="146"/>
  <c r="BO42" i="146"/>
  <c r="BN42" i="146"/>
  <c r="BM42" i="146"/>
  <c r="BL42" i="146"/>
  <c r="BK42" i="146"/>
  <c r="BJ42" i="146"/>
  <c r="BI42" i="146"/>
  <c r="BH42" i="146"/>
  <c r="BG42" i="146"/>
  <c r="BB42" i="146"/>
  <c r="BA42" i="146"/>
  <c r="AZ42" i="146"/>
  <c r="AY42" i="146"/>
  <c r="AX42" i="146"/>
  <c r="AW42" i="146"/>
  <c r="AV42" i="146"/>
  <c r="AU42" i="146"/>
  <c r="AT42" i="146"/>
  <c r="AS42" i="146"/>
  <c r="AR42" i="146"/>
  <c r="AQ42" i="146"/>
  <c r="AP42" i="146"/>
  <c r="AO42" i="146"/>
  <c r="AN42" i="146"/>
  <c r="AM42" i="146"/>
  <c r="AL42" i="146"/>
  <c r="AK42" i="146"/>
  <c r="AH42" i="146"/>
  <c r="AG42" i="146"/>
  <c r="AF42" i="146"/>
  <c r="AE42" i="146"/>
  <c r="AD42" i="146"/>
  <c r="AC42" i="146"/>
  <c r="AB42" i="146"/>
  <c r="AA42" i="146"/>
  <c r="Z42" i="146"/>
  <c r="AI42" i="146" s="1"/>
  <c r="N42" i="146"/>
  <c r="D42" i="146"/>
  <c r="C42" i="146"/>
  <c r="E42" i="146" s="1"/>
  <c r="F42" i="146" s="1"/>
  <c r="H42" i="146" s="1"/>
  <c r="DK41" i="146"/>
  <c r="DG41" i="146"/>
  <c r="DF41" i="146"/>
  <c r="DE41" i="146"/>
  <c r="DA41" i="146"/>
  <c r="CZ41" i="146"/>
  <c r="CY41" i="146"/>
  <c r="CX41" i="146"/>
  <c r="CW41" i="146"/>
  <c r="CT41" i="146"/>
  <c r="CS41" i="146"/>
  <c r="CR41" i="146"/>
  <c r="CQ41" i="146"/>
  <c r="CP41" i="146"/>
  <c r="CO41" i="146"/>
  <c r="CN41" i="146"/>
  <c r="CM41" i="146"/>
  <c r="CL41" i="146"/>
  <c r="CK41" i="146"/>
  <c r="CJ41" i="146"/>
  <c r="CH41" i="146"/>
  <c r="CG41" i="146"/>
  <c r="DC41" i="146" s="1"/>
  <c r="CF41" i="146"/>
  <c r="CE41" i="146"/>
  <c r="CD41" i="146"/>
  <c r="CC41" i="146"/>
  <c r="CB41" i="146"/>
  <c r="BY41" i="146"/>
  <c r="BX41" i="146"/>
  <c r="BW41" i="146"/>
  <c r="BV41" i="146"/>
  <c r="BU41" i="146"/>
  <c r="BT41" i="146"/>
  <c r="BS41" i="146"/>
  <c r="BR41" i="146"/>
  <c r="BQ41" i="146"/>
  <c r="BP41" i="146"/>
  <c r="BO41" i="146"/>
  <c r="BN41" i="146"/>
  <c r="BM41" i="146"/>
  <c r="BL41" i="146"/>
  <c r="BK41" i="146"/>
  <c r="BJ41" i="146"/>
  <c r="BI41" i="146"/>
  <c r="BH41" i="146"/>
  <c r="BG41" i="146"/>
  <c r="BB41" i="146"/>
  <c r="BA41" i="146"/>
  <c r="AZ41" i="146"/>
  <c r="AY41" i="146"/>
  <c r="AX41" i="146"/>
  <c r="AW41" i="146"/>
  <c r="AV41" i="146"/>
  <c r="AU41" i="146"/>
  <c r="AT41" i="146"/>
  <c r="AS41" i="146"/>
  <c r="AR41" i="146"/>
  <c r="AQ41" i="146"/>
  <c r="AP41" i="146"/>
  <c r="AO41" i="146"/>
  <c r="AN41" i="146"/>
  <c r="AM41" i="146"/>
  <c r="AL41" i="146"/>
  <c r="AH41" i="146"/>
  <c r="AG41" i="146"/>
  <c r="AF41" i="146"/>
  <c r="AE41" i="146"/>
  <c r="AD41" i="146"/>
  <c r="AC41" i="146"/>
  <c r="AB41" i="146"/>
  <c r="AA41" i="146"/>
  <c r="AK41" i="146" s="1"/>
  <c r="Z41" i="146"/>
  <c r="AI41" i="146" s="1"/>
  <c r="N41" i="146"/>
  <c r="C41" i="146"/>
  <c r="E41" i="146" s="1"/>
  <c r="F41" i="146" s="1"/>
  <c r="H41" i="146" s="1"/>
  <c r="DK40" i="146"/>
  <c r="DG40" i="146"/>
  <c r="DF40" i="146"/>
  <c r="DE40" i="146"/>
  <c r="DA40" i="146"/>
  <c r="CZ40" i="146"/>
  <c r="CY40" i="146"/>
  <c r="CX40" i="146"/>
  <c r="CW40" i="146"/>
  <c r="CT40" i="146"/>
  <c r="CS40" i="146"/>
  <c r="CR40" i="146"/>
  <c r="CQ40" i="146"/>
  <c r="CP40" i="146"/>
  <c r="CO40" i="146"/>
  <c r="CN40" i="146"/>
  <c r="CM40" i="146"/>
  <c r="CL40" i="146"/>
  <c r="CK40" i="146"/>
  <c r="CJ40" i="146"/>
  <c r="CH40" i="146"/>
  <c r="CG40" i="146"/>
  <c r="CF40" i="146"/>
  <c r="CE40" i="146"/>
  <c r="CD40" i="146"/>
  <c r="CC40" i="146"/>
  <c r="CB40" i="146"/>
  <c r="BY40" i="146"/>
  <c r="BX40" i="146"/>
  <c r="BW40" i="146"/>
  <c r="BV40" i="146"/>
  <c r="BU40" i="146"/>
  <c r="BT40" i="146"/>
  <c r="BS40" i="146"/>
  <c r="BR40" i="146"/>
  <c r="BQ40" i="146"/>
  <c r="BP40" i="146"/>
  <c r="BO40" i="146"/>
  <c r="BN40" i="146"/>
  <c r="BM40" i="146"/>
  <c r="BL40" i="146"/>
  <c r="BK40" i="146"/>
  <c r="BJ40" i="146"/>
  <c r="BI40" i="146"/>
  <c r="BH40" i="146"/>
  <c r="BG40" i="146"/>
  <c r="BB40" i="146"/>
  <c r="BA40" i="146"/>
  <c r="AZ40" i="146"/>
  <c r="AY40" i="146"/>
  <c r="AX40" i="146"/>
  <c r="AW40" i="146"/>
  <c r="AV40" i="146"/>
  <c r="AU40" i="146"/>
  <c r="AT40" i="146"/>
  <c r="AS40" i="146"/>
  <c r="AR40" i="146"/>
  <c r="AQ40" i="146"/>
  <c r="AP40" i="146"/>
  <c r="AO40" i="146"/>
  <c r="AN40" i="146"/>
  <c r="AM40" i="146"/>
  <c r="AL40" i="146"/>
  <c r="AK40" i="146"/>
  <c r="AH40" i="146"/>
  <c r="AG40" i="146"/>
  <c r="AF40" i="146"/>
  <c r="AE40" i="146"/>
  <c r="AD40" i="146"/>
  <c r="AC40" i="146"/>
  <c r="AB40" i="146"/>
  <c r="AA40" i="146"/>
  <c r="Z40" i="146"/>
  <c r="AI40" i="146" s="1"/>
  <c r="N40" i="146"/>
  <c r="D40" i="146"/>
  <c r="C40" i="146"/>
  <c r="E40" i="146" s="1"/>
  <c r="F40" i="146" s="1"/>
  <c r="H40" i="146" s="1"/>
  <c r="DK39" i="146"/>
  <c r="DG39" i="146"/>
  <c r="DF39" i="146"/>
  <c r="DE39" i="146"/>
  <c r="DA39" i="146"/>
  <c r="CZ39" i="146"/>
  <c r="CY39" i="146"/>
  <c r="CX39" i="146"/>
  <c r="CW39" i="146"/>
  <c r="CT39" i="146"/>
  <c r="CS39" i="146"/>
  <c r="CR39" i="146"/>
  <c r="CQ39" i="146"/>
  <c r="CP39" i="146"/>
  <c r="CO39" i="146"/>
  <c r="CN39" i="146"/>
  <c r="CM39" i="146"/>
  <c r="CL39" i="146"/>
  <c r="CK39" i="146"/>
  <c r="CJ39" i="146"/>
  <c r="CH39" i="146"/>
  <c r="CG39" i="146"/>
  <c r="DC39" i="146" s="1"/>
  <c r="CF39" i="146"/>
  <c r="CE39" i="146"/>
  <c r="CD39" i="146"/>
  <c r="CC39" i="146"/>
  <c r="CB39" i="146"/>
  <c r="BY39" i="146"/>
  <c r="BX39" i="146"/>
  <c r="BW39" i="146"/>
  <c r="BV39" i="146"/>
  <c r="BU39" i="146"/>
  <c r="BT39" i="146"/>
  <c r="BS39" i="146"/>
  <c r="BR39" i="146"/>
  <c r="BQ39" i="146"/>
  <c r="BP39" i="146"/>
  <c r="BO39" i="146"/>
  <c r="BN39" i="146"/>
  <c r="BM39" i="146"/>
  <c r="BL39" i="146"/>
  <c r="BK39" i="146"/>
  <c r="BJ39" i="146"/>
  <c r="BI39" i="146"/>
  <c r="BH39" i="146"/>
  <c r="BG39" i="146"/>
  <c r="BB39" i="146"/>
  <c r="BA39" i="146"/>
  <c r="AZ39" i="146"/>
  <c r="AY39" i="146"/>
  <c r="AX39" i="146"/>
  <c r="AW39" i="146"/>
  <c r="AV39" i="146"/>
  <c r="AU39" i="146"/>
  <c r="AT39" i="146"/>
  <c r="AS39" i="146"/>
  <c r="AR39" i="146"/>
  <c r="AQ39" i="146"/>
  <c r="AP39" i="146"/>
  <c r="AO39" i="146"/>
  <c r="AN39" i="146"/>
  <c r="AM39" i="146"/>
  <c r="AL39" i="146"/>
  <c r="AK39" i="146"/>
  <c r="AH39" i="146"/>
  <c r="AG39" i="146"/>
  <c r="AF39" i="146"/>
  <c r="AE39" i="146"/>
  <c r="AD39" i="146"/>
  <c r="AC39" i="146"/>
  <c r="AB39" i="146"/>
  <c r="AA39" i="146"/>
  <c r="Z39" i="146"/>
  <c r="AI39" i="146" s="1"/>
  <c r="N39" i="146"/>
  <c r="C39" i="146"/>
  <c r="E39" i="146" s="1"/>
  <c r="F39" i="146" s="1"/>
  <c r="H39" i="146" s="1"/>
  <c r="DK38" i="146"/>
  <c r="DG38" i="146"/>
  <c r="DF38" i="146"/>
  <c r="DE38" i="146"/>
  <c r="DA38" i="146"/>
  <c r="CZ38" i="146"/>
  <c r="CY38" i="146"/>
  <c r="CX38" i="146"/>
  <c r="CW38" i="146"/>
  <c r="CT38" i="146"/>
  <c r="CS38" i="146"/>
  <c r="CR38" i="146"/>
  <c r="CQ38" i="146"/>
  <c r="CP38" i="146"/>
  <c r="CO38" i="146"/>
  <c r="CN38" i="146"/>
  <c r="CM38" i="146"/>
  <c r="CL38" i="146"/>
  <c r="CK38" i="146"/>
  <c r="CJ38" i="146"/>
  <c r="CH38" i="146"/>
  <c r="CG38" i="146"/>
  <c r="DC38" i="146" s="1"/>
  <c r="CF38" i="146"/>
  <c r="CE38" i="146"/>
  <c r="CD38" i="146"/>
  <c r="CC38" i="146"/>
  <c r="CB38" i="146"/>
  <c r="BY38" i="146"/>
  <c r="BX38" i="146"/>
  <c r="BW38" i="146"/>
  <c r="BV38" i="146"/>
  <c r="BU38" i="146"/>
  <c r="BT38" i="146"/>
  <c r="BS38" i="146"/>
  <c r="BR38" i="146"/>
  <c r="BQ38" i="146"/>
  <c r="BP38" i="146"/>
  <c r="BO38" i="146"/>
  <c r="BN38" i="146"/>
  <c r="BM38" i="146"/>
  <c r="BL38" i="146"/>
  <c r="BK38" i="146"/>
  <c r="BJ38" i="146"/>
  <c r="BI38" i="146"/>
  <c r="BH38" i="146"/>
  <c r="BG38" i="146"/>
  <c r="BB38" i="146"/>
  <c r="BA38" i="146"/>
  <c r="AZ38" i="146"/>
  <c r="AY38" i="146"/>
  <c r="AX38" i="146"/>
  <c r="AW38" i="146"/>
  <c r="AV38" i="146"/>
  <c r="AU38" i="146"/>
  <c r="AT38" i="146"/>
  <c r="AS38" i="146"/>
  <c r="AR38" i="146"/>
  <c r="AQ38" i="146"/>
  <c r="AP38" i="146"/>
  <c r="AO38" i="146"/>
  <c r="AN38" i="146"/>
  <c r="AM38" i="146"/>
  <c r="AL38" i="146"/>
  <c r="AK38" i="146"/>
  <c r="AH38" i="146"/>
  <c r="AG38" i="146"/>
  <c r="AF38" i="146"/>
  <c r="AE38" i="146"/>
  <c r="AD38" i="146"/>
  <c r="AC38" i="146"/>
  <c r="AB38" i="146"/>
  <c r="AA38" i="146"/>
  <c r="Z38" i="146"/>
  <c r="AI38" i="146" s="1"/>
  <c r="N38" i="146"/>
  <c r="C38" i="146"/>
  <c r="E38" i="146" s="1"/>
  <c r="F38" i="146" s="1"/>
  <c r="H38" i="146" s="1"/>
  <c r="DK37" i="146"/>
  <c r="DG37" i="146"/>
  <c r="DF37" i="146"/>
  <c r="DJ38" i="146" s="1"/>
  <c r="DE37" i="146"/>
  <c r="DA37" i="146"/>
  <c r="CZ37" i="146"/>
  <c r="CY37" i="146"/>
  <c r="CX37" i="146"/>
  <c r="CW37" i="146"/>
  <c r="CT37" i="146"/>
  <c r="CS37" i="146"/>
  <c r="CR37" i="146"/>
  <c r="CQ37" i="146"/>
  <c r="CP37" i="146"/>
  <c r="CO37" i="146"/>
  <c r="CN37" i="146"/>
  <c r="CM37" i="146"/>
  <c r="CL37" i="146"/>
  <c r="CK37" i="146"/>
  <c r="CJ37" i="146"/>
  <c r="CH37" i="146"/>
  <c r="CG37" i="146"/>
  <c r="CF37" i="146"/>
  <c r="CE37" i="146"/>
  <c r="CD37" i="146"/>
  <c r="CC37" i="146"/>
  <c r="CB37" i="146"/>
  <c r="BY37" i="146"/>
  <c r="BX37" i="146"/>
  <c r="BW37" i="146"/>
  <c r="BV37" i="146"/>
  <c r="BU37" i="146"/>
  <c r="BT37" i="146"/>
  <c r="BS37" i="146"/>
  <c r="BR37" i="146"/>
  <c r="BQ37" i="146"/>
  <c r="BP37" i="146"/>
  <c r="BO37" i="146"/>
  <c r="BN37" i="146"/>
  <c r="BM37" i="146"/>
  <c r="BL37" i="146"/>
  <c r="BK37" i="146"/>
  <c r="BJ37" i="146"/>
  <c r="BI37" i="146"/>
  <c r="BH37" i="146"/>
  <c r="BG37" i="146"/>
  <c r="BB37" i="146"/>
  <c r="BA37" i="146"/>
  <c r="AZ37" i="146"/>
  <c r="AY37" i="146"/>
  <c r="AX37" i="146"/>
  <c r="AW37" i="146"/>
  <c r="AV37" i="146"/>
  <c r="AU37" i="146"/>
  <c r="AT37" i="146"/>
  <c r="AS37" i="146"/>
  <c r="AR37" i="146"/>
  <c r="AQ37" i="146"/>
  <c r="AP37" i="146"/>
  <c r="AO37" i="146"/>
  <c r="AN37" i="146"/>
  <c r="AM37" i="146"/>
  <c r="AL37" i="146"/>
  <c r="AK37" i="146"/>
  <c r="AH37" i="146"/>
  <c r="AG37" i="146"/>
  <c r="AF37" i="146"/>
  <c r="AE37" i="146"/>
  <c r="AD37" i="146"/>
  <c r="AC37" i="146"/>
  <c r="AB37" i="146"/>
  <c r="AA37" i="146"/>
  <c r="Z37" i="146"/>
  <c r="AI37" i="146" s="1"/>
  <c r="N37" i="146"/>
  <c r="C37" i="146"/>
  <c r="E37" i="146" s="1"/>
  <c r="F37" i="146" s="1"/>
  <c r="H37" i="146" s="1"/>
  <c r="DK36" i="146"/>
  <c r="DG36" i="146"/>
  <c r="DF36" i="146"/>
  <c r="DE36" i="146"/>
  <c r="DA36" i="146"/>
  <c r="CZ36" i="146"/>
  <c r="CY36" i="146"/>
  <c r="CX36" i="146"/>
  <c r="CW36" i="146"/>
  <c r="CU36" i="146"/>
  <c r="CT36" i="146"/>
  <c r="CS36" i="146"/>
  <c r="CR36" i="146"/>
  <c r="CQ36" i="146"/>
  <c r="CP36" i="146"/>
  <c r="CO36" i="146"/>
  <c r="CN36" i="146"/>
  <c r="CM36" i="146"/>
  <c r="CL36" i="146"/>
  <c r="CK36" i="146"/>
  <c r="CJ36" i="146"/>
  <c r="CI36" i="146"/>
  <c r="CH36" i="146"/>
  <c r="CG36" i="146"/>
  <c r="CF36" i="146"/>
  <c r="CE36" i="146"/>
  <c r="CD36" i="146"/>
  <c r="CC36" i="146"/>
  <c r="CB36" i="146"/>
  <c r="BY36" i="146"/>
  <c r="BX36" i="146"/>
  <c r="BW36" i="146"/>
  <c r="BV36" i="146"/>
  <c r="BU36" i="146"/>
  <c r="BT36" i="146"/>
  <c r="BS36" i="146"/>
  <c r="BR36" i="146"/>
  <c r="BQ36" i="146"/>
  <c r="BP36" i="146"/>
  <c r="BO36" i="146"/>
  <c r="BN36" i="146"/>
  <c r="BM36" i="146"/>
  <c r="BL36" i="146"/>
  <c r="BK36" i="146"/>
  <c r="BJ36" i="146"/>
  <c r="BI36" i="146"/>
  <c r="BH36" i="146"/>
  <c r="BG36" i="146"/>
  <c r="BB36" i="146"/>
  <c r="BA36" i="146"/>
  <c r="AZ36" i="146"/>
  <c r="AY36" i="146"/>
  <c r="AX36" i="146"/>
  <c r="AW36" i="146"/>
  <c r="AV36" i="146"/>
  <c r="AU36" i="146"/>
  <c r="AT36" i="146"/>
  <c r="AS36" i="146"/>
  <c r="AR36" i="146"/>
  <c r="AQ36" i="146"/>
  <c r="AP36" i="146"/>
  <c r="AO36" i="146"/>
  <c r="AN36" i="146"/>
  <c r="AM36" i="146"/>
  <c r="AL36" i="146"/>
  <c r="AK36" i="146"/>
  <c r="AH36" i="146"/>
  <c r="AG36" i="146"/>
  <c r="AF36" i="146"/>
  <c r="AE36" i="146"/>
  <c r="AD36" i="146"/>
  <c r="AC36" i="146"/>
  <c r="AB36" i="146"/>
  <c r="AA36" i="146"/>
  <c r="Z36" i="146"/>
  <c r="AI36" i="146" s="1"/>
  <c r="N36" i="146"/>
  <c r="D36" i="146"/>
  <c r="C36" i="146"/>
  <c r="E36" i="146" s="1"/>
  <c r="F36" i="146" s="1"/>
  <c r="H36" i="146" s="1"/>
  <c r="DK35" i="146"/>
  <c r="DG35" i="146"/>
  <c r="DF35" i="146"/>
  <c r="DE35" i="146"/>
  <c r="DA35" i="146"/>
  <c r="CZ35" i="146"/>
  <c r="CY35" i="146"/>
  <c r="CX35" i="146"/>
  <c r="CW35" i="146"/>
  <c r="CT35" i="146"/>
  <c r="CS35" i="146"/>
  <c r="CR35" i="146"/>
  <c r="CQ35" i="146"/>
  <c r="CP35" i="146"/>
  <c r="CO35" i="146"/>
  <c r="CN35" i="146"/>
  <c r="CM35" i="146"/>
  <c r="CL35" i="146"/>
  <c r="CK35" i="146"/>
  <c r="CJ35" i="146"/>
  <c r="CI35" i="146"/>
  <c r="CH35" i="146"/>
  <c r="CG35" i="146"/>
  <c r="DC35" i="146" s="1"/>
  <c r="CF35" i="146"/>
  <c r="CE35" i="146"/>
  <c r="CD35" i="146"/>
  <c r="CC35" i="146"/>
  <c r="CB35" i="146"/>
  <c r="BY35" i="146"/>
  <c r="BX35" i="146"/>
  <c r="BW35" i="146"/>
  <c r="BV35" i="146"/>
  <c r="BU35" i="146"/>
  <c r="BT35" i="146"/>
  <c r="BS35" i="146"/>
  <c r="BR35" i="146"/>
  <c r="BQ35" i="146"/>
  <c r="BP35" i="146"/>
  <c r="BO35" i="146"/>
  <c r="BN35" i="146"/>
  <c r="BM35" i="146"/>
  <c r="BL35" i="146"/>
  <c r="BK35" i="146"/>
  <c r="BJ35" i="146"/>
  <c r="BI35" i="146"/>
  <c r="BH35" i="146"/>
  <c r="BG35" i="146"/>
  <c r="BB35" i="146"/>
  <c r="BA35" i="146"/>
  <c r="AZ35" i="146"/>
  <c r="AY35" i="146"/>
  <c r="AX35" i="146"/>
  <c r="AW35" i="146"/>
  <c r="AV35" i="146"/>
  <c r="AU35" i="146"/>
  <c r="AT35" i="146"/>
  <c r="AS35" i="146"/>
  <c r="AR35" i="146"/>
  <c r="AQ35" i="146"/>
  <c r="AP35" i="146"/>
  <c r="AO35" i="146"/>
  <c r="AN35" i="146"/>
  <c r="AM35" i="146"/>
  <c r="AL35" i="146"/>
  <c r="AH35" i="146"/>
  <c r="AG35" i="146"/>
  <c r="AF35" i="146"/>
  <c r="AE35" i="146"/>
  <c r="AD35" i="146"/>
  <c r="AC35" i="146"/>
  <c r="AB35" i="146"/>
  <c r="AA35" i="146"/>
  <c r="AK35" i="146" s="1"/>
  <c r="Z35" i="146"/>
  <c r="AI35" i="146" s="1"/>
  <c r="N35" i="146"/>
  <c r="C35" i="146"/>
  <c r="E35" i="146" s="1"/>
  <c r="F35" i="146" s="1"/>
  <c r="H35" i="146" s="1"/>
  <c r="DK34" i="146"/>
  <c r="DG34" i="146"/>
  <c r="DF34" i="146"/>
  <c r="DE34" i="146"/>
  <c r="DC34" i="146"/>
  <c r="DA34" i="146"/>
  <c r="CZ34" i="146"/>
  <c r="CY34" i="146"/>
  <c r="CX34" i="146"/>
  <c r="CW34" i="146"/>
  <c r="CT34" i="146"/>
  <c r="CS34" i="146"/>
  <c r="CR34" i="146"/>
  <c r="CQ34" i="146"/>
  <c r="CP34" i="146"/>
  <c r="CO34" i="146"/>
  <c r="CN34" i="146"/>
  <c r="CM34" i="146"/>
  <c r="CL34" i="146"/>
  <c r="CK34" i="146"/>
  <c r="CJ34" i="146"/>
  <c r="CI34" i="146"/>
  <c r="CH34" i="146"/>
  <c r="CG34" i="146"/>
  <c r="CF34" i="146"/>
  <c r="CE34" i="146"/>
  <c r="CD34" i="146"/>
  <c r="CC34" i="146"/>
  <c r="CB34" i="146"/>
  <c r="BY34" i="146"/>
  <c r="BX34" i="146"/>
  <c r="BW34" i="146"/>
  <c r="BV34" i="146"/>
  <c r="BU34" i="146"/>
  <c r="BT34" i="146"/>
  <c r="BS34" i="146"/>
  <c r="BR34" i="146"/>
  <c r="BQ34" i="146"/>
  <c r="BP34" i="146"/>
  <c r="BO34" i="146"/>
  <c r="BN34" i="146"/>
  <c r="BM34" i="146"/>
  <c r="BL34" i="146"/>
  <c r="BK34" i="146"/>
  <c r="BJ34" i="146"/>
  <c r="BI34" i="146"/>
  <c r="BH34" i="146"/>
  <c r="BG34" i="146"/>
  <c r="BB34" i="146"/>
  <c r="BA34" i="146"/>
  <c r="AZ34" i="146"/>
  <c r="AY34" i="146"/>
  <c r="AX34" i="146"/>
  <c r="AW34" i="146"/>
  <c r="AV34" i="146"/>
  <c r="AU34" i="146"/>
  <c r="AT34" i="146"/>
  <c r="AS34" i="146"/>
  <c r="AR34" i="146"/>
  <c r="AQ34" i="146"/>
  <c r="AP34" i="146"/>
  <c r="AO34" i="146"/>
  <c r="AN34" i="146"/>
  <c r="AM34" i="146"/>
  <c r="AL34" i="146"/>
  <c r="AH34" i="146"/>
  <c r="AG34" i="146"/>
  <c r="AF34" i="146"/>
  <c r="AE34" i="146"/>
  <c r="AD34" i="146"/>
  <c r="AC34" i="146"/>
  <c r="AB34" i="146"/>
  <c r="AA34" i="146"/>
  <c r="AK34" i="146" s="1"/>
  <c r="Z34" i="146"/>
  <c r="AI34" i="146" s="1"/>
  <c r="N34" i="146"/>
  <c r="C34" i="146"/>
  <c r="E34" i="146" s="1"/>
  <c r="F34" i="146" s="1"/>
  <c r="H34" i="146" s="1"/>
  <c r="DK33" i="146"/>
  <c r="DG33" i="146"/>
  <c r="DF33" i="146"/>
  <c r="DJ34" i="146" s="1"/>
  <c r="DE33" i="146"/>
  <c r="DA33" i="146"/>
  <c r="CZ33" i="146"/>
  <c r="CY33" i="146"/>
  <c r="CX33" i="146"/>
  <c r="CW33" i="146"/>
  <c r="CT33" i="146"/>
  <c r="CS33" i="146"/>
  <c r="CR33" i="146"/>
  <c r="CQ33" i="146"/>
  <c r="CP33" i="146"/>
  <c r="CO33" i="146"/>
  <c r="CN33" i="146"/>
  <c r="CM33" i="146"/>
  <c r="CL33" i="146"/>
  <c r="CK33" i="146"/>
  <c r="CJ33" i="146"/>
  <c r="CI33" i="146"/>
  <c r="CH33" i="146"/>
  <c r="CG33" i="146"/>
  <c r="CF33" i="146"/>
  <c r="CE33" i="146"/>
  <c r="CD33" i="146"/>
  <c r="CC33" i="146"/>
  <c r="CB33" i="146"/>
  <c r="BY33" i="146"/>
  <c r="BX33" i="146"/>
  <c r="BW33" i="146"/>
  <c r="BV33" i="146"/>
  <c r="BU33" i="146"/>
  <c r="BT33" i="146"/>
  <c r="BS33" i="146"/>
  <c r="BR33" i="146"/>
  <c r="BQ33" i="146"/>
  <c r="BP33" i="146"/>
  <c r="BO33" i="146"/>
  <c r="BN33" i="146"/>
  <c r="BM33" i="146"/>
  <c r="BL33" i="146"/>
  <c r="BK33" i="146"/>
  <c r="BJ33" i="146"/>
  <c r="BI33" i="146"/>
  <c r="BH33" i="146"/>
  <c r="BG33" i="146"/>
  <c r="BB33" i="146"/>
  <c r="BA33" i="146"/>
  <c r="AZ33" i="146"/>
  <c r="AY33" i="146"/>
  <c r="AX33" i="146"/>
  <c r="AW33" i="146"/>
  <c r="AV33" i="146"/>
  <c r="AU33" i="146"/>
  <c r="AT33" i="146"/>
  <c r="AS33" i="146"/>
  <c r="AR33" i="146"/>
  <c r="AQ33" i="146"/>
  <c r="AP33" i="146"/>
  <c r="AO33" i="146"/>
  <c r="AN33" i="146"/>
  <c r="AM33" i="146"/>
  <c r="AL33" i="146"/>
  <c r="AH33" i="146"/>
  <c r="AG33" i="146"/>
  <c r="AF33" i="146"/>
  <c r="AE33" i="146"/>
  <c r="AD33" i="146"/>
  <c r="AC33" i="146"/>
  <c r="AB33" i="146"/>
  <c r="AA33" i="146"/>
  <c r="AK33" i="146" s="1"/>
  <c r="Z33" i="146"/>
  <c r="AI33" i="146" s="1"/>
  <c r="N33" i="146"/>
  <c r="E33" i="146"/>
  <c r="F33" i="146" s="1"/>
  <c r="H33" i="146" s="1"/>
  <c r="C33" i="146"/>
  <c r="D33" i="146" s="1"/>
  <c r="DK32" i="146"/>
  <c r="DG32" i="146"/>
  <c r="DF32" i="146"/>
  <c r="DE32" i="146"/>
  <c r="DA32" i="146"/>
  <c r="CZ32" i="146"/>
  <c r="CY32" i="146"/>
  <c r="CX32" i="146"/>
  <c r="CW32" i="146"/>
  <c r="CT32" i="146"/>
  <c r="CS32" i="146"/>
  <c r="CR32" i="146"/>
  <c r="CQ32" i="146"/>
  <c r="CP32" i="146"/>
  <c r="CO32" i="146"/>
  <c r="CN32" i="146"/>
  <c r="CM32" i="146"/>
  <c r="CL32" i="146"/>
  <c r="CK32" i="146"/>
  <c r="CJ32" i="146"/>
  <c r="CI32" i="146"/>
  <c r="CH32" i="146"/>
  <c r="CG32" i="146"/>
  <c r="CU32" i="146" s="1"/>
  <c r="CF32" i="146"/>
  <c r="CE32" i="146"/>
  <c r="CD32" i="146"/>
  <c r="CC32" i="146"/>
  <c r="CB32" i="146"/>
  <c r="BY32" i="146"/>
  <c r="BX32" i="146"/>
  <c r="BW32" i="146"/>
  <c r="BV32" i="146"/>
  <c r="BU32" i="146"/>
  <c r="BT32" i="146"/>
  <c r="BS32" i="146"/>
  <c r="BR32" i="146"/>
  <c r="BQ32" i="146"/>
  <c r="BP32" i="146"/>
  <c r="BO32" i="146"/>
  <c r="BN32" i="146"/>
  <c r="BM32" i="146"/>
  <c r="BL32" i="146"/>
  <c r="BK32" i="146"/>
  <c r="BJ32" i="146"/>
  <c r="BI32" i="146"/>
  <c r="BH32" i="146"/>
  <c r="BG32" i="146"/>
  <c r="BB32" i="146"/>
  <c r="BA32" i="146"/>
  <c r="AZ32" i="146"/>
  <c r="AY32" i="146"/>
  <c r="AX32" i="146"/>
  <c r="AW32" i="146"/>
  <c r="AV32" i="146"/>
  <c r="AU32" i="146"/>
  <c r="AT32" i="146"/>
  <c r="AS32" i="146"/>
  <c r="AR32" i="146"/>
  <c r="AQ32" i="146"/>
  <c r="AP32" i="146"/>
  <c r="AO32" i="146"/>
  <c r="AN32" i="146"/>
  <c r="AM32" i="146"/>
  <c r="AL32" i="146"/>
  <c r="AK32" i="146"/>
  <c r="AH32" i="146"/>
  <c r="AG32" i="146"/>
  <c r="AF32" i="146"/>
  <c r="AE32" i="146"/>
  <c r="AD32" i="146"/>
  <c r="AC32" i="146"/>
  <c r="AB32" i="146"/>
  <c r="AA32" i="146"/>
  <c r="Z32" i="146"/>
  <c r="AI32" i="146" s="1"/>
  <c r="N32" i="146"/>
  <c r="E32" i="146"/>
  <c r="F32" i="146" s="1"/>
  <c r="H32" i="146" s="1"/>
  <c r="C32" i="146"/>
  <c r="D32" i="146" s="1"/>
  <c r="DK31" i="146"/>
  <c r="DG31" i="146"/>
  <c r="DH32" i="146" s="1"/>
  <c r="DI32" i="146" s="1"/>
  <c r="DF31" i="146"/>
  <c r="DE31" i="146"/>
  <c r="DC31" i="146"/>
  <c r="DA31" i="146"/>
  <c r="CZ31" i="146"/>
  <c r="CY31" i="146"/>
  <c r="CX31" i="146"/>
  <c r="CW31" i="146"/>
  <c r="CU31" i="146"/>
  <c r="CT31" i="146"/>
  <c r="CV31" i="146" s="1"/>
  <c r="CS31" i="146"/>
  <c r="CR31" i="146"/>
  <c r="CQ31" i="146"/>
  <c r="CP31" i="146"/>
  <c r="CO31" i="146"/>
  <c r="CN31" i="146"/>
  <c r="CM31" i="146"/>
  <c r="CL31" i="146"/>
  <c r="CK31" i="146"/>
  <c r="CJ31" i="146"/>
  <c r="CI31" i="146"/>
  <c r="CH31" i="146"/>
  <c r="CG31" i="146"/>
  <c r="CF31" i="146"/>
  <c r="CE31" i="146"/>
  <c r="CD31" i="146"/>
  <c r="CC31" i="146"/>
  <c r="CB31" i="146"/>
  <c r="BY31" i="146"/>
  <c r="BX31" i="146"/>
  <c r="BW31" i="146"/>
  <c r="BV31" i="146"/>
  <c r="BU31" i="146"/>
  <c r="BT31" i="146"/>
  <c r="BS31" i="146"/>
  <c r="BR31" i="146"/>
  <c r="BQ31" i="146"/>
  <c r="BP31" i="146"/>
  <c r="BO31" i="146"/>
  <c r="BN31" i="146"/>
  <c r="BM31" i="146"/>
  <c r="BL31" i="146"/>
  <c r="BK31" i="146"/>
  <c r="BJ31" i="146"/>
  <c r="BI31" i="146"/>
  <c r="BH31" i="146"/>
  <c r="BG31" i="146"/>
  <c r="BB31" i="146"/>
  <c r="BA31" i="146"/>
  <c r="AZ31" i="146"/>
  <c r="AY31" i="146"/>
  <c r="AX31" i="146"/>
  <c r="AW31" i="146"/>
  <c r="AV31" i="146"/>
  <c r="AU31" i="146"/>
  <c r="AT31" i="146"/>
  <c r="AS31" i="146"/>
  <c r="AR31" i="146"/>
  <c r="AQ31" i="146"/>
  <c r="AP31" i="146"/>
  <c r="AO31" i="146"/>
  <c r="AN31" i="146"/>
  <c r="AM31" i="146"/>
  <c r="AL31" i="146"/>
  <c r="AK31" i="146"/>
  <c r="AH31" i="146"/>
  <c r="AG31" i="146"/>
  <c r="AF31" i="146"/>
  <c r="AE31" i="146"/>
  <c r="AD31" i="146"/>
  <c r="AC31" i="146"/>
  <c r="AB31" i="146"/>
  <c r="AA31" i="146"/>
  <c r="AI31" i="146" s="1"/>
  <c r="Z31" i="146"/>
  <c r="N31" i="146"/>
  <c r="C31" i="146"/>
  <c r="D31" i="146" s="1"/>
  <c r="DK30" i="146"/>
  <c r="DG30" i="146"/>
  <c r="DF30" i="146"/>
  <c r="DE30" i="146"/>
  <c r="DL30" i="146" s="1"/>
  <c r="DC30" i="146"/>
  <c r="DA30" i="146"/>
  <c r="CZ30" i="146"/>
  <c r="CY30" i="146"/>
  <c r="CX30" i="146"/>
  <c r="CW30" i="146"/>
  <c r="CU30" i="146"/>
  <c r="CT30" i="146"/>
  <c r="CS30" i="146"/>
  <c r="CR30" i="146"/>
  <c r="CQ30" i="146"/>
  <c r="CP30" i="146"/>
  <c r="CO30" i="146"/>
  <c r="CN30" i="146"/>
  <c r="CM30" i="146"/>
  <c r="CL30" i="146"/>
  <c r="CK30" i="146"/>
  <c r="CJ30" i="146"/>
  <c r="CI30" i="146"/>
  <c r="CH30" i="146"/>
  <c r="CG30" i="146"/>
  <c r="CF30" i="146"/>
  <c r="CE30" i="146"/>
  <c r="CD30" i="146"/>
  <c r="CC30" i="146"/>
  <c r="CB30" i="146"/>
  <c r="BY30" i="146"/>
  <c r="BX30" i="146"/>
  <c r="BW30" i="146"/>
  <c r="BV30" i="146"/>
  <c r="BU30" i="146"/>
  <c r="BT30" i="146"/>
  <c r="BS30" i="146"/>
  <c r="BR30" i="146"/>
  <c r="BQ30" i="146"/>
  <c r="BP30" i="146"/>
  <c r="BO30" i="146"/>
  <c r="BN30" i="146"/>
  <c r="BM30" i="146"/>
  <c r="BL30" i="146"/>
  <c r="BK30" i="146"/>
  <c r="BJ30" i="146"/>
  <c r="BI30" i="146"/>
  <c r="BH30" i="146"/>
  <c r="BG30" i="146"/>
  <c r="BB30" i="146"/>
  <c r="BA30" i="146"/>
  <c r="AZ30" i="146"/>
  <c r="AY30" i="146"/>
  <c r="AX30" i="146"/>
  <c r="AW30" i="146"/>
  <c r="AV30" i="146"/>
  <c r="AU30" i="146"/>
  <c r="AT30" i="146"/>
  <c r="AS30" i="146"/>
  <c r="AR30" i="146"/>
  <c r="AQ30" i="146"/>
  <c r="AP30" i="146"/>
  <c r="AO30" i="146"/>
  <c r="AN30" i="146"/>
  <c r="AM30" i="146"/>
  <c r="AL30" i="146"/>
  <c r="AK30" i="146"/>
  <c r="AH30" i="146"/>
  <c r="AG30" i="146"/>
  <c r="AF30" i="146"/>
  <c r="AE30" i="146"/>
  <c r="AD30" i="146"/>
  <c r="AC30" i="146"/>
  <c r="AB30" i="146"/>
  <c r="AA30" i="146"/>
  <c r="AI30" i="146" s="1"/>
  <c r="Z30" i="146"/>
  <c r="N30" i="146"/>
  <c r="C30" i="146"/>
  <c r="DK29" i="146"/>
  <c r="DG29" i="146"/>
  <c r="DF29" i="146"/>
  <c r="DE29" i="146"/>
  <c r="DA29" i="146"/>
  <c r="CZ29" i="146"/>
  <c r="CY29" i="146"/>
  <c r="CX29" i="146"/>
  <c r="CW29" i="146"/>
  <c r="CT29" i="146"/>
  <c r="CS29" i="146"/>
  <c r="CR29" i="146"/>
  <c r="CQ29" i="146"/>
  <c r="CP29" i="146"/>
  <c r="CO29" i="146"/>
  <c r="CN29" i="146"/>
  <c r="CM29" i="146"/>
  <c r="CL29" i="146"/>
  <c r="CK29" i="146"/>
  <c r="CJ29" i="146"/>
  <c r="CI29" i="146"/>
  <c r="CH29" i="146"/>
  <c r="CG29" i="146"/>
  <c r="CF29" i="146"/>
  <c r="CE29" i="146"/>
  <c r="CD29" i="146"/>
  <c r="CC29" i="146"/>
  <c r="CB29" i="146"/>
  <c r="BY29" i="146"/>
  <c r="BX29" i="146"/>
  <c r="BW29" i="146"/>
  <c r="BV29" i="146"/>
  <c r="BU29" i="146"/>
  <c r="BT29" i="146"/>
  <c r="BS29" i="146"/>
  <c r="BR29" i="146"/>
  <c r="BQ29" i="146"/>
  <c r="BP29" i="146"/>
  <c r="BO29" i="146"/>
  <c r="BN29" i="146"/>
  <c r="BM29" i="146"/>
  <c r="BL29" i="146"/>
  <c r="BK29" i="146"/>
  <c r="BJ29" i="146"/>
  <c r="BI29" i="146"/>
  <c r="BH29" i="146"/>
  <c r="BG29" i="146"/>
  <c r="BB29" i="146"/>
  <c r="BA29" i="146"/>
  <c r="AZ29" i="146"/>
  <c r="AY29" i="146"/>
  <c r="AX29" i="146"/>
  <c r="AW29" i="146"/>
  <c r="AV29" i="146"/>
  <c r="AU29" i="146"/>
  <c r="AT29" i="146"/>
  <c r="AS29" i="146"/>
  <c r="AR29" i="146"/>
  <c r="AQ29" i="146"/>
  <c r="AP29" i="146"/>
  <c r="AO29" i="146"/>
  <c r="AN29" i="146"/>
  <c r="AM29" i="146"/>
  <c r="AL29" i="146"/>
  <c r="AH29" i="146"/>
  <c r="AG29" i="146"/>
  <c r="AF29" i="146"/>
  <c r="AE29" i="146"/>
  <c r="AD29" i="146"/>
  <c r="AC29" i="146"/>
  <c r="AB29" i="146"/>
  <c r="AA29" i="146"/>
  <c r="AK29" i="146" s="1"/>
  <c r="Z29" i="146"/>
  <c r="AI29" i="146" s="1"/>
  <c r="N29" i="146"/>
  <c r="C29" i="146"/>
  <c r="E29" i="146" s="1"/>
  <c r="F29" i="146" s="1"/>
  <c r="H29" i="146" s="1"/>
  <c r="DK28" i="146"/>
  <c r="DG28" i="146"/>
  <c r="DF28" i="146"/>
  <c r="DE28" i="146"/>
  <c r="DC28" i="146"/>
  <c r="DA28" i="146"/>
  <c r="CZ28" i="146"/>
  <c r="CY28" i="146"/>
  <c r="CX28" i="146"/>
  <c r="CW28" i="146"/>
  <c r="CT28" i="146"/>
  <c r="CS28" i="146"/>
  <c r="CR28" i="146"/>
  <c r="CQ28" i="146"/>
  <c r="CP28" i="146"/>
  <c r="CO28" i="146"/>
  <c r="CN28" i="146"/>
  <c r="CM28" i="146"/>
  <c r="CL28" i="146"/>
  <c r="CK28" i="146"/>
  <c r="CJ28" i="146"/>
  <c r="CI28" i="146"/>
  <c r="CH28" i="146"/>
  <c r="CG28" i="146"/>
  <c r="CU28" i="146" s="1"/>
  <c r="CF28" i="146"/>
  <c r="CE28" i="146"/>
  <c r="CD28" i="146"/>
  <c r="CC28" i="146"/>
  <c r="CB28" i="146"/>
  <c r="BY28" i="146"/>
  <c r="BX28" i="146"/>
  <c r="BW28" i="146"/>
  <c r="BV28" i="146"/>
  <c r="BU28" i="146"/>
  <c r="BT28" i="146"/>
  <c r="BS28" i="146"/>
  <c r="BR28" i="146"/>
  <c r="BQ28" i="146"/>
  <c r="BP28" i="146"/>
  <c r="BO28" i="146"/>
  <c r="BN28" i="146"/>
  <c r="BM28" i="146"/>
  <c r="BL28" i="146"/>
  <c r="BK28" i="146"/>
  <c r="BJ28" i="146"/>
  <c r="BI28" i="146"/>
  <c r="BH28" i="146"/>
  <c r="BG28" i="146"/>
  <c r="BB28" i="146"/>
  <c r="BA28" i="146"/>
  <c r="AZ28" i="146"/>
  <c r="AY28" i="146"/>
  <c r="AX28" i="146"/>
  <c r="AW28" i="146"/>
  <c r="AV28" i="146"/>
  <c r="AU28" i="146"/>
  <c r="AT28" i="146"/>
  <c r="AS28" i="146"/>
  <c r="AR28" i="146"/>
  <c r="AQ28" i="146"/>
  <c r="AP28" i="146"/>
  <c r="AO28" i="146"/>
  <c r="AN28" i="146"/>
  <c r="AM28" i="146"/>
  <c r="AL28" i="146"/>
  <c r="AH28" i="146"/>
  <c r="AG28" i="146"/>
  <c r="AF28" i="146"/>
  <c r="AE28" i="146"/>
  <c r="AD28" i="146"/>
  <c r="AC28" i="146"/>
  <c r="AB28" i="146"/>
  <c r="AA28" i="146"/>
  <c r="AK28" i="146" s="1"/>
  <c r="Z28" i="146"/>
  <c r="N28" i="146"/>
  <c r="C28" i="146"/>
  <c r="E28" i="146" s="1"/>
  <c r="F28" i="146" s="1"/>
  <c r="H28" i="146" s="1"/>
  <c r="DK27" i="146"/>
  <c r="DG27" i="146"/>
  <c r="DF27" i="146"/>
  <c r="DJ28" i="146" s="1"/>
  <c r="DE27" i="146"/>
  <c r="DA27" i="146"/>
  <c r="CZ27" i="146"/>
  <c r="CY27" i="146"/>
  <c r="CX27" i="146"/>
  <c r="CW27" i="146"/>
  <c r="CT27" i="146"/>
  <c r="CS27" i="146"/>
  <c r="CR27" i="146"/>
  <c r="CQ27" i="146"/>
  <c r="CP27" i="146"/>
  <c r="CO27" i="146"/>
  <c r="CN27" i="146"/>
  <c r="CM27" i="146"/>
  <c r="CL27" i="146"/>
  <c r="CK27" i="146"/>
  <c r="CJ27" i="146"/>
  <c r="CI27" i="146"/>
  <c r="CH27" i="146"/>
  <c r="CG27" i="146"/>
  <c r="CF27" i="146"/>
  <c r="CE27" i="146"/>
  <c r="CD27" i="146"/>
  <c r="CC27" i="146"/>
  <c r="CB27" i="146"/>
  <c r="BY27" i="146"/>
  <c r="BX27" i="146"/>
  <c r="BW27" i="146"/>
  <c r="BV27" i="146"/>
  <c r="BU27" i="146"/>
  <c r="BT27" i="146"/>
  <c r="BS27" i="146"/>
  <c r="BR27" i="146"/>
  <c r="BQ27" i="146"/>
  <c r="BP27" i="146"/>
  <c r="BO27" i="146"/>
  <c r="BN27" i="146"/>
  <c r="BM27" i="146"/>
  <c r="BL27" i="146"/>
  <c r="BK27" i="146"/>
  <c r="BJ27" i="146"/>
  <c r="BI27" i="146"/>
  <c r="BH27" i="146"/>
  <c r="BG27" i="146"/>
  <c r="BB27" i="146"/>
  <c r="BA27" i="146"/>
  <c r="AZ27" i="146"/>
  <c r="AY27" i="146"/>
  <c r="AX27" i="146"/>
  <c r="AW27" i="146"/>
  <c r="AV27" i="146"/>
  <c r="AU27" i="146"/>
  <c r="AT27" i="146"/>
  <c r="AS27" i="146"/>
  <c r="AR27" i="146"/>
  <c r="AQ27" i="146"/>
  <c r="AP27" i="146"/>
  <c r="AO27" i="146"/>
  <c r="AN27" i="146"/>
  <c r="AM27" i="146"/>
  <c r="AL27" i="146"/>
  <c r="AH27" i="146"/>
  <c r="AG27" i="146"/>
  <c r="AF27" i="146"/>
  <c r="AE27" i="146"/>
  <c r="AD27" i="146"/>
  <c r="AC27" i="146"/>
  <c r="AB27" i="146"/>
  <c r="AA27" i="146"/>
  <c r="AK27" i="146" s="1"/>
  <c r="Z27" i="146"/>
  <c r="N27" i="146"/>
  <c r="E27" i="146"/>
  <c r="F27" i="146" s="1"/>
  <c r="H27" i="146" s="1"/>
  <c r="C27" i="146"/>
  <c r="DE26" i="146"/>
  <c r="DA26" i="146"/>
  <c r="CZ26" i="146"/>
  <c r="CY26" i="146"/>
  <c r="CX26" i="146"/>
  <c r="CW26" i="146"/>
  <c r="CT26" i="146"/>
  <c r="CR26" i="146"/>
  <c r="CQ26" i="146"/>
  <c r="CP26" i="146"/>
  <c r="CO26" i="146"/>
  <c r="CN26" i="146"/>
  <c r="CM26" i="146"/>
  <c r="CL26" i="146"/>
  <c r="CK26" i="146"/>
  <c r="CJ26" i="146"/>
  <c r="CI26" i="146"/>
  <c r="CH26" i="146"/>
  <c r="CG26" i="146"/>
  <c r="CU26" i="146" s="1"/>
  <c r="CF26" i="146"/>
  <c r="CE26" i="146"/>
  <c r="CD26" i="146"/>
  <c r="CC26" i="146"/>
  <c r="CB26" i="146"/>
  <c r="AH26" i="146"/>
  <c r="AG26" i="146"/>
  <c r="AF26" i="146"/>
  <c r="AE26" i="146"/>
  <c r="AD26" i="146"/>
  <c r="AC26" i="146"/>
  <c r="AB26" i="146"/>
  <c r="AA26" i="146"/>
  <c r="AK26" i="146" s="1"/>
  <c r="Z26" i="146"/>
  <c r="N26" i="146"/>
  <c r="C26" i="146"/>
  <c r="D27" i="146" s="1"/>
  <c r="DE25" i="146"/>
  <c r="DA25" i="146"/>
  <c r="CZ25" i="146"/>
  <c r="CY25" i="146"/>
  <c r="CX25" i="146"/>
  <c r="CW25" i="146"/>
  <c r="CT25" i="146"/>
  <c r="CR25" i="146"/>
  <c r="CQ25" i="146"/>
  <c r="CP25" i="146"/>
  <c r="CO25" i="146"/>
  <c r="CN25" i="146"/>
  <c r="CM25" i="146"/>
  <c r="CL25" i="146"/>
  <c r="CK25" i="146"/>
  <c r="CJ25" i="146"/>
  <c r="CI25" i="146"/>
  <c r="CH25" i="146"/>
  <c r="CG25" i="146"/>
  <c r="DC25" i="146" s="1"/>
  <c r="CF25" i="146"/>
  <c r="CE25" i="146"/>
  <c r="CD25" i="146"/>
  <c r="CC25" i="146"/>
  <c r="CB25" i="146"/>
  <c r="AH25" i="146"/>
  <c r="AG25" i="146"/>
  <c r="AF25" i="146"/>
  <c r="AE25" i="146"/>
  <c r="AD25" i="146"/>
  <c r="AC25" i="146"/>
  <c r="AB25" i="146"/>
  <c r="AA25" i="146"/>
  <c r="AK25" i="146" s="1"/>
  <c r="Z25" i="146"/>
  <c r="N25" i="146"/>
  <c r="C25" i="146"/>
  <c r="DE24" i="146"/>
  <c r="DA24" i="146"/>
  <c r="CZ24" i="146"/>
  <c r="CY24" i="146"/>
  <c r="CX24" i="146"/>
  <c r="CW24" i="146"/>
  <c r="CT24" i="146"/>
  <c r="CR24" i="146"/>
  <c r="CQ24" i="146"/>
  <c r="CP24" i="146"/>
  <c r="CO24" i="146"/>
  <c r="CN24" i="146"/>
  <c r="CM24" i="146"/>
  <c r="CL24" i="146"/>
  <c r="CK24" i="146"/>
  <c r="CJ24" i="146"/>
  <c r="CI24" i="146"/>
  <c r="CH24" i="146"/>
  <c r="CG24" i="146"/>
  <c r="CU24" i="146" s="1"/>
  <c r="CF24" i="146"/>
  <c r="CE24" i="146"/>
  <c r="CD24" i="146"/>
  <c r="CC24" i="146"/>
  <c r="CB24" i="146"/>
  <c r="AH24" i="146"/>
  <c r="AG24" i="146"/>
  <c r="AF24" i="146"/>
  <c r="AE24" i="146"/>
  <c r="AD24" i="146"/>
  <c r="AC24" i="146"/>
  <c r="AB24" i="146"/>
  <c r="AA24" i="146"/>
  <c r="AK24" i="146" s="1"/>
  <c r="Z24" i="146"/>
  <c r="N24" i="146"/>
  <c r="C24" i="146"/>
  <c r="E24" i="146" s="1"/>
  <c r="F24" i="146" s="1"/>
  <c r="H24" i="146" s="1"/>
  <c r="DE23" i="146"/>
  <c r="DA23" i="146"/>
  <c r="CZ23" i="146"/>
  <c r="CY23" i="146"/>
  <c r="CX23" i="146"/>
  <c r="CW23" i="146"/>
  <c r="CT23" i="146"/>
  <c r="CR23" i="146"/>
  <c r="CQ23" i="146"/>
  <c r="CP23" i="146"/>
  <c r="CO23" i="146"/>
  <c r="CN23" i="146"/>
  <c r="CM23" i="146"/>
  <c r="CL23" i="146"/>
  <c r="CK23" i="146"/>
  <c r="CJ23" i="146"/>
  <c r="CI23" i="146"/>
  <c r="CH23" i="146"/>
  <c r="CG23" i="146"/>
  <c r="CF23" i="146"/>
  <c r="CE23" i="146"/>
  <c r="CD23" i="146"/>
  <c r="CC23" i="146"/>
  <c r="CB23" i="146"/>
  <c r="AH23" i="146"/>
  <c r="AG23" i="146"/>
  <c r="AF23" i="146"/>
  <c r="AE23" i="146"/>
  <c r="AD23" i="146"/>
  <c r="AC23" i="146"/>
  <c r="AB23" i="146"/>
  <c r="AA23" i="146"/>
  <c r="AK23" i="146" s="1"/>
  <c r="Z23" i="146"/>
  <c r="N23" i="146"/>
  <c r="C23" i="146"/>
  <c r="E23" i="146" s="1"/>
  <c r="F23" i="146" s="1"/>
  <c r="H23" i="146" s="1"/>
  <c r="DE22" i="146"/>
  <c r="CZ22" i="146"/>
  <c r="CY22" i="146"/>
  <c r="CX22" i="146"/>
  <c r="CW22" i="146"/>
  <c r="CT22" i="146"/>
  <c r="CR22" i="146"/>
  <c r="CQ22" i="146"/>
  <c r="CP22" i="146"/>
  <c r="CO22" i="146"/>
  <c r="CN22" i="146"/>
  <c r="CM22" i="146"/>
  <c r="CL22" i="146"/>
  <c r="CK22" i="146"/>
  <c r="CJ22" i="146"/>
  <c r="CI22" i="146"/>
  <c r="CH22" i="146"/>
  <c r="CG22" i="146"/>
  <c r="CU22" i="146" s="1"/>
  <c r="CF22" i="146"/>
  <c r="CE22" i="146"/>
  <c r="CD22" i="146"/>
  <c r="CC22" i="146"/>
  <c r="CB22" i="146"/>
  <c r="AH22" i="146"/>
  <c r="AG22" i="146"/>
  <c r="AF22" i="146"/>
  <c r="AE22" i="146"/>
  <c r="AD22" i="146"/>
  <c r="AC22" i="146"/>
  <c r="AB22" i="146"/>
  <c r="AA22" i="146"/>
  <c r="AK22" i="146" s="1"/>
  <c r="Z22" i="146"/>
  <c r="N22" i="146"/>
  <c r="C22" i="146"/>
  <c r="E22" i="146" s="1"/>
  <c r="F22" i="146" s="1"/>
  <c r="H22" i="146" s="1"/>
  <c r="DE21" i="146"/>
  <c r="DA21" i="146"/>
  <c r="CZ21" i="146"/>
  <c r="CY21" i="146"/>
  <c r="CX21" i="146"/>
  <c r="CW21" i="146"/>
  <c r="CT21" i="146"/>
  <c r="CR21" i="146"/>
  <c r="CQ21" i="146"/>
  <c r="CP21" i="146"/>
  <c r="CO21" i="146"/>
  <c r="CN21" i="146"/>
  <c r="CM21" i="146"/>
  <c r="CL21" i="146"/>
  <c r="CK21" i="146"/>
  <c r="CJ21" i="146"/>
  <c r="CI21" i="146"/>
  <c r="CH21" i="146"/>
  <c r="CG21" i="146"/>
  <c r="CU21" i="146" s="1"/>
  <c r="CF21" i="146"/>
  <c r="CE21" i="146"/>
  <c r="CD21" i="146"/>
  <c r="CC21" i="146"/>
  <c r="CB21" i="146"/>
  <c r="AH21" i="146"/>
  <c r="AG21" i="146"/>
  <c r="AF21" i="146"/>
  <c r="AE21" i="146"/>
  <c r="AD21" i="146"/>
  <c r="AC21" i="146"/>
  <c r="AB21" i="146"/>
  <c r="AA21" i="146"/>
  <c r="AK21" i="146" s="1"/>
  <c r="Z21" i="146"/>
  <c r="N21" i="146"/>
  <c r="C21" i="146"/>
  <c r="DE20" i="146"/>
  <c r="DA20" i="146"/>
  <c r="CZ20" i="146"/>
  <c r="CY20" i="146"/>
  <c r="CX20" i="146"/>
  <c r="CW20" i="146"/>
  <c r="CT20" i="146"/>
  <c r="CR20" i="146"/>
  <c r="CQ20" i="146"/>
  <c r="CP20" i="146"/>
  <c r="CO20" i="146"/>
  <c r="CN20" i="146"/>
  <c r="CM20" i="146"/>
  <c r="CL20" i="146"/>
  <c r="CK20" i="146"/>
  <c r="CJ20" i="146"/>
  <c r="CI20" i="146"/>
  <c r="CH20" i="146"/>
  <c r="CG20" i="146"/>
  <c r="CU20" i="146" s="1"/>
  <c r="CF20" i="146"/>
  <c r="CE20" i="146"/>
  <c r="CD20" i="146"/>
  <c r="CC20" i="146"/>
  <c r="CB20" i="146"/>
  <c r="AH20" i="146"/>
  <c r="AG20" i="146"/>
  <c r="AF20" i="146"/>
  <c r="AE20" i="146"/>
  <c r="AD20" i="146"/>
  <c r="AC20" i="146"/>
  <c r="AB20" i="146"/>
  <c r="AA20" i="146"/>
  <c r="AK20" i="146" s="1"/>
  <c r="Z20" i="146"/>
  <c r="N20" i="146"/>
  <c r="E20" i="146"/>
  <c r="F20" i="146" s="1"/>
  <c r="H20" i="146" s="1"/>
  <c r="C20" i="146"/>
  <c r="DE19" i="146"/>
  <c r="DA19" i="146"/>
  <c r="CZ19" i="146"/>
  <c r="CY19" i="146"/>
  <c r="CX19" i="146"/>
  <c r="CW19" i="146"/>
  <c r="CT19" i="146"/>
  <c r="CR19" i="146"/>
  <c r="CQ19" i="146"/>
  <c r="CP19" i="146"/>
  <c r="CO19" i="146"/>
  <c r="CN19" i="146"/>
  <c r="CM19" i="146"/>
  <c r="CL19" i="146"/>
  <c r="CK19" i="146"/>
  <c r="CJ19" i="146"/>
  <c r="CI19" i="146"/>
  <c r="CH19" i="146"/>
  <c r="CG19" i="146"/>
  <c r="DC19" i="146" s="1"/>
  <c r="CF19" i="146"/>
  <c r="CE19" i="146"/>
  <c r="CD19" i="146"/>
  <c r="CC19" i="146"/>
  <c r="CB19" i="146"/>
  <c r="AH19" i="146"/>
  <c r="AG19" i="146"/>
  <c r="AF19" i="146"/>
  <c r="AE19" i="146"/>
  <c r="AD19" i="146"/>
  <c r="AC19" i="146"/>
  <c r="AB19" i="146"/>
  <c r="AA19" i="146"/>
  <c r="AK19" i="146" s="1"/>
  <c r="Z19" i="146"/>
  <c r="N19" i="146"/>
  <c r="C19" i="146"/>
  <c r="DK18" i="146"/>
  <c r="DG18" i="146"/>
  <c r="DF18" i="146"/>
  <c r="DE18" i="146"/>
  <c r="DA18" i="146"/>
  <c r="CZ18" i="146"/>
  <c r="CY18" i="146"/>
  <c r="CX18" i="146"/>
  <c r="CW18" i="146"/>
  <c r="CT18" i="146"/>
  <c r="CS18" i="146"/>
  <c r="CR18" i="146"/>
  <c r="CQ18" i="146"/>
  <c r="CP18" i="146"/>
  <c r="CO18" i="146"/>
  <c r="CN18" i="146"/>
  <c r="CM18" i="146"/>
  <c r="CL18" i="146"/>
  <c r="CK18" i="146"/>
  <c r="CJ18" i="146"/>
  <c r="CI18" i="146"/>
  <c r="CH18" i="146"/>
  <c r="CG18" i="146"/>
  <c r="DC18" i="146" s="1"/>
  <c r="CF18" i="146"/>
  <c r="CE18" i="146"/>
  <c r="CD18" i="146"/>
  <c r="CC18" i="146"/>
  <c r="CB18" i="146"/>
  <c r="BY18" i="146"/>
  <c r="BX18" i="146"/>
  <c r="BW18" i="146"/>
  <c r="BV18" i="146"/>
  <c r="BU18" i="146"/>
  <c r="BT18" i="146"/>
  <c r="BS18" i="146"/>
  <c r="BR18" i="146"/>
  <c r="BQ18" i="146"/>
  <c r="BP18" i="146"/>
  <c r="BO18" i="146"/>
  <c r="BN18" i="146"/>
  <c r="BM18" i="146"/>
  <c r="BL18" i="146"/>
  <c r="BK18" i="146"/>
  <c r="BJ18" i="146"/>
  <c r="BI18" i="146"/>
  <c r="BH18" i="146"/>
  <c r="BG18" i="146"/>
  <c r="BB18" i="146"/>
  <c r="BA18" i="146"/>
  <c r="AZ18" i="146"/>
  <c r="AY18" i="146"/>
  <c r="AX18" i="146"/>
  <c r="AW18" i="146"/>
  <c r="AV18" i="146"/>
  <c r="AU18" i="146"/>
  <c r="AT18" i="146"/>
  <c r="AS18" i="146"/>
  <c r="AR18" i="146"/>
  <c r="AQ18" i="146"/>
  <c r="AP18" i="146"/>
  <c r="AO18" i="146"/>
  <c r="AN18" i="146"/>
  <c r="AM18" i="146"/>
  <c r="AL18" i="146"/>
  <c r="AH18" i="146"/>
  <c r="AG18" i="146"/>
  <c r="AF18" i="146"/>
  <c r="AE18" i="146"/>
  <c r="AD18" i="146"/>
  <c r="AC18" i="146"/>
  <c r="AB18" i="146"/>
  <c r="AA18" i="146"/>
  <c r="AK18" i="146" s="1"/>
  <c r="Z18" i="146"/>
  <c r="AL26" i="146" s="1"/>
  <c r="AM26" i="146" s="1"/>
  <c r="N18" i="146"/>
  <c r="C18" i="146"/>
  <c r="E10" i="146" s="1"/>
  <c r="K12" i="146"/>
  <c r="H11" i="146"/>
  <c r="K14" i="146" s="1"/>
  <c r="AO7" i="146"/>
  <c r="AO4" i="146"/>
  <c r="E3" i="146"/>
  <c r="DL32" i="146" l="1"/>
  <c r="DH38" i="146"/>
  <c r="DI38" i="146" s="1"/>
  <c r="DL34" i="146"/>
  <c r="DL36" i="146"/>
  <c r="D19" i="146"/>
  <c r="E18" i="146"/>
  <c r="F18" i="146" s="1"/>
  <c r="H18" i="146" s="1"/>
  <c r="BG26" i="146"/>
  <c r="BH26" i="146" s="1"/>
  <c r="BP26" i="146" s="1"/>
  <c r="BW26" i="146" s="1"/>
  <c r="D26" i="146"/>
  <c r="E26" i="146"/>
  <c r="F26" i="146" s="1"/>
  <c r="H26" i="146" s="1"/>
  <c r="E19" i="146"/>
  <c r="F19" i="146" s="1"/>
  <c r="H19" i="146" s="1"/>
  <c r="BG23" i="146"/>
  <c r="BK23" i="146" s="1"/>
  <c r="AI27" i="146"/>
  <c r="AI26" i="146"/>
  <c r="DL28" i="146"/>
  <c r="BG20" i="146"/>
  <c r="BJ20" i="146" s="1"/>
  <c r="BG22" i="146"/>
  <c r="BK22" i="146" s="1"/>
  <c r="AI28" i="146"/>
  <c r="DC24" i="146"/>
  <c r="CU25" i="146"/>
  <c r="CV25" i="146" s="1"/>
  <c r="CU19" i="146"/>
  <c r="DC21" i="146"/>
  <c r="CV21" i="146"/>
  <c r="D23" i="146"/>
  <c r="D30" i="146"/>
  <c r="K13" i="146"/>
  <c r="AI18" i="146"/>
  <c r="AI21" i="146"/>
  <c r="CU18" i="146"/>
  <c r="AL22" i="146"/>
  <c r="AM22" i="146" s="1"/>
  <c r="DD19" i="146"/>
  <c r="DD20" i="146" s="1"/>
  <c r="DD21" i="146" s="1"/>
  <c r="DD22" i="146" s="1"/>
  <c r="DD23" i="146" s="1"/>
  <c r="DD24" i="146" s="1"/>
  <c r="DD25" i="146" s="1"/>
  <c r="DD26" i="146" s="1"/>
  <c r="DD27" i="146" s="1"/>
  <c r="DD28" i="146" s="1"/>
  <c r="DD29" i="146" s="1"/>
  <c r="DD30" i="146" s="1"/>
  <c r="DD31" i="146" s="1"/>
  <c r="DD32" i="146" s="1"/>
  <c r="DD33" i="146" s="1"/>
  <c r="DD34" i="146" s="1"/>
  <c r="DD35" i="146" s="1"/>
  <c r="DD36" i="146" s="1"/>
  <c r="DD37" i="146" s="1"/>
  <c r="DD38" i="146" s="1"/>
  <c r="DD39" i="146" s="1"/>
  <c r="DD40" i="146" s="1"/>
  <c r="DD41" i="146" s="1"/>
  <c r="DD42" i="146" s="1"/>
  <c r="DD43" i="146" s="1"/>
  <c r="DD44" i="146" s="1"/>
  <c r="DD45" i="146" s="1"/>
  <c r="DD46" i="146" s="1"/>
  <c r="DD47" i="146" s="1"/>
  <c r="DD48" i="146" s="1"/>
  <c r="DD49" i="146" s="1"/>
  <c r="AI19" i="146"/>
  <c r="D20" i="146"/>
  <c r="CK54" i="146"/>
  <c r="CK53" i="146"/>
  <c r="AL19" i="146"/>
  <c r="AM19" i="146" s="1"/>
  <c r="D21" i="146"/>
  <c r="D22" i="146"/>
  <c r="E21" i="146"/>
  <c r="F21" i="146" s="1"/>
  <c r="H21" i="146" s="1"/>
  <c r="BL26" i="146"/>
  <c r="CS26" i="146"/>
  <c r="BG19" i="146"/>
  <c r="AN26" i="146"/>
  <c r="AS26" i="146"/>
  <c r="AZ26" i="146" s="1"/>
  <c r="AR26" i="146"/>
  <c r="AY26" i="146" s="1"/>
  <c r="AQ26" i="146"/>
  <c r="AX26" i="146" s="1"/>
  <c r="AP26" i="146"/>
  <c r="AW26" i="146" s="1"/>
  <c r="AO26" i="146"/>
  <c r="AL21" i="146"/>
  <c r="AM21" i="146" s="1"/>
  <c r="DC20" i="146"/>
  <c r="BG21" i="146"/>
  <c r="DC22" i="146"/>
  <c r="D24" i="146"/>
  <c r="AL24" i="146"/>
  <c r="AM24" i="146" s="1"/>
  <c r="D25" i="146"/>
  <c r="AL25" i="146"/>
  <c r="AM25" i="146" s="1"/>
  <c r="BI26" i="146"/>
  <c r="DC29" i="146"/>
  <c r="E30" i="146"/>
  <c r="F30" i="146" s="1"/>
  <c r="H30" i="146" s="1"/>
  <c r="E31" i="146"/>
  <c r="F31" i="146" s="1"/>
  <c r="H31" i="146" s="1"/>
  <c r="DJ32" i="146"/>
  <c r="CU34" i="146"/>
  <c r="CU35" i="146"/>
  <c r="CV35" i="146" s="1"/>
  <c r="DH36" i="146"/>
  <c r="DI36" i="146" s="1"/>
  <c r="CU38" i="146"/>
  <c r="CV38" i="146" s="1"/>
  <c r="DL38" i="146"/>
  <c r="CU39" i="146"/>
  <c r="CV39" i="146" s="1"/>
  <c r="CU41" i="146"/>
  <c r="CV41" i="146" s="1"/>
  <c r="CU43" i="146"/>
  <c r="CV43" i="146" s="1"/>
  <c r="D47" i="146"/>
  <c r="AI20" i="146"/>
  <c r="AI23" i="146"/>
  <c r="DC23" i="146"/>
  <c r="BG24" i="146"/>
  <c r="E25" i="146"/>
  <c r="F25" i="146" s="1"/>
  <c r="H25" i="146" s="1"/>
  <c r="BG25" i="146"/>
  <c r="BJ26" i="146"/>
  <c r="CU29" i="146"/>
  <c r="CV29" i="146" s="1"/>
  <c r="DH30" i="146"/>
  <c r="DI30" i="146" s="1"/>
  <c r="DC32" i="146"/>
  <c r="D34" i="146"/>
  <c r="D35" i="146"/>
  <c r="DC46" i="146"/>
  <c r="CU48" i="146"/>
  <c r="D50" i="146"/>
  <c r="AI22" i="146"/>
  <c r="CU23" i="146"/>
  <c r="CV23" i="146" s="1"/>
  <c r="BK26" i="146"/>
  <c r="DC26" i="146"/>
  <c r="D28" i="146"/>
  <c r="D29" i="146"/>
  <c r="DC33" i="146"/>
  <c r="DJ36" i="146"/>
  <c r="D38" i="146"/>
  <c r="D39" i="146"/>
  <c r="D41" i="146"/>
  <c r="D43" i="146"/>
  <c r="D45" i="146"/>
  <c r="DC49" i="146"/>
  <c r="AL20" i="146"/>
  <c r="AM20" i="146" s="1"/>
  <c r="AL23" i="146"/>
  <c r="AM23" i="146" s="1"/>
  <c r="DC27" i="146"/>
  <c r="DJ30" i="146"/>
  <c r="CU33" i="146"/>
  <c r="CV33" i="146" s="1"/>
  <c r="DH34" i="146"/>
  <c r="DI34" i="146" s="1"/>
  <c r="DC36" i="146"/>
  <c r="DC37" i="146"/>
  <c r="DC40" i="146"/>
  <c r="DC42" i="146"/>
  <c r="DC44" i="146"/>
  <c r="E45" i="146"/>
  <c r="F45" i="146" s="1"/>
  <c r="H45" i="146" s="1"/>
  <c r="D48" i="146"/>
  <c r="CU27" i="146"/>
  <c r="CV27" i="146" s="1"/>
  <c r="DH28" i="146"/>
  <c r="DI28" i="146" s="1"/>
  <c r="CU37" i="146"/>
  <c r="CV37" i="146" s="1"/>
  <c r="CU40" i="146"/>
  <c r="CV40" i="146" s="1"/>
  <c r="CU42" i="146"/>
  <c r="CV42" i="146" s="1"/>
  <c r="CU44" i="146"/>
  <c r="CV44" i="146" s="1"/>
  <c r="DC47" i="146"/>
  <c r="AI24" i="146"/>
  <c r="AI25" i="146"/>
  <c r="D37" i="146"/>
  <c r="D49" i="146"/>
  <c r="BH23" i="146" l="1"/>
  <c r="DF23" i="146" s="1"/>
  <c r="DL24" i="146" s="1"/>
  <c r="DK26" i="146"/>
  <c r="BM26" i="146"/>
  <c r="BT26" i="146" s="1"/>
  <c r="BN26" i="146"/>
  <c r="BU26" i="146" s="1"/>
  <c r="DF26" i="146"/>
  <c r="BO26" i="146"/>
  <c r="BV26" i="146" s="1"/>
  <c r="DG26" i="146"/>
  <c r="BI23" i="146"/>
  <c r="BJ23" i="146"/>
  <c r="BJ22" i="146"/>
  <c r="BK20" i="146"/>
  <c r="BH20" i="146"/>
  <c r="BI20" i="146"/>
  <c r="BI22" i="146"/>
  <c r="BH22" i="146"/>
  <c r="BK21" i="146"/>
  <c r="BJ21" i="146"/>
  <c r="BI21" i="146"/>
  <c r="BH21" i="146"/>
  <c r="BS26" i="146"/>
  <c r="AS25" i="146"/>
  <c r="AZ25" i="146" s="1"/>
  <c r="AR25" i="146"/>
  <c r="AY25" i="146" s="1"/>
  <c r="AQ25" i="146"/>
  <c r="AX25" i="146" s="1"/>
  <c r="AP25" i="146"/>
  <c r="AW25" i="146" s="1"/>
  <c r="AO25" i="146"/>
  <c r="AN25" i="146"/>
  <c r="BY26" i="146"/>
  <c r="DG23" i="146"/>
  <c r="DH24" i="146" s="1"/>
  <c r="DI24" i="146" s="1"/>
  <c r="BN23" i="146"/>
  <c r="BU23" i="146" s="1"/>
  <c r="BL23" i="146"/>
  <c r="CS23" i="146"/>
  <c r="BK25" i="146"/>
  <c r="BJ25" i="146"/>
  <c r="BI25" i="146"/>
  <c r="BH25" i="146"/>
  <c r="AS24" i="146"/>
  <c r="AZ24" i="146" s="1"/>
  <c r="AR24" i="146"/>
  <c r="AY24" i="146" s="1"/>
  <c r="AQ24" i="146"/>
  <c r="AX24" i="146" s="1"/>
  <c r="AP24" i="146"/>
  <c r="AW24" i="146" s="1"/>
  <c r="AO24" i="146"/>
  <c r="AN24" i="146"/>
  <c r="AQ21" i="146"/>
  <c r="AX21" i="146" s="1"/>
  <c r="AP21" i="146"/>
  <c r="AW21" i="146" s="1"/>
  <c r="AO21" i="146"/>
  <c r="AN21" i="146"/>
  <c r="AS21" i="146"/>
  <c r="AZ21" i="146" s="1"/>
  <c r="AR21" i="146"/>
  <c r="AY21" i="146" s="1"/>
  <c r="AO22" i="146"/>
  <c r="AS22" i="146"/>
  <c r="AZ22" i="146" s="1"/>
  <c r="AR22" i="146"/>
  <c r="AY22" i="146" s="1"/>
  <c r="AQ22" i="146"/>
  <c r="AX22" i="146" s="1"/>
  <c r="AP22" i="146"/>
  <c r="AW22" i="146" s="1"/>
  <c r="AN22" i="146"/>
  <c r="AP23" i="146"/>
  <c r="AW23" i="146" s="1"/>
  <c r="AO23" i="146"/>
  <c r="AN23" i="146"/>
  <c r="AS23" i="146"/>
  <c r="AZ23" i="146" s="1"/>
  <c r="AR23" i="146"/>
  <c r="AY23" i="146" s="1"/>
  <c r="AQ23" i="146"/>
  <c r="AX23" i="146" s="1"/>
  <c r="AV26" i="146"/>
  <c r="BB26" i="146" s="1"/>
  <c r="AT26" i="146"/>
  <c r="AU26" i="146" s="1"/>
  <c r="BA26" i="146" s="1"/>
  <c r="AN19" i="146"/>
  <c r="AS19" i="146"/>
  <c r="AZ19" i="146" s="1"/>
  <c r="AR19" i="146"/>
  <c r="AY19" i="146" s="1"/>
  <c r="AQ19" i="146"/>
  <c r="AX19" i="146" s="1"/>
  <c r="AP19" i="146"/>
  <c r="AW19" i="146" s="1"/>
  <c r="AP20" i="146"/>
  <c r="AW20" i="146" s="1"/>
  <c r="AS20" i="146"/>
  <c r="AZ20" i="146" s="1"/>
  <c r="AR20" i="146"/>
  <c r="AY20" i="146" s="1"/>
  <c r="AQ20" i="146"/>
  <c r="AX20" i="146" s="1"/>
  <c r="AO20" i="146"/>
  <c r="AN20" i="146"/>
  <c r="BK24" i="146"/>
  <c r="BJ24" i="146"/>
  <c r="BI24" i="146"/>
  <c r="BH24" i="146"/>
  <c r="BJ19" i="146"/>
  <c r="BH19" i="146"/>
  <c r="BK19" i="146"/>
  <c r="BI19" i="146"/>
  <c r="BO23" i="146" l="1"/>
  <c r="BV23" i="146" s="1"/>
  <c r="DJ24" i="146"/>
  <c r="BP23" i="146"/>
  <c r="BW23" i="146" s="1"/>
  <c r="DK23" i="146"/>
  <c r="BQ26" i="146"/>
  <c r="BR26" i="146" s="1"/>
  <c r="BX26" i="146" s="1"/>
  <c r="BM23" i="146"/>
  <c r="BT23" i="146" s="1"/>
  <c r="BY23" i="146" s="1"/>
  <c r="DG22" i="146"/>
  <c r="DF22" i="146"/>
  <c r="CS22" i="146"/>
  <c r="BO22" i="146"/>
  <c r="BV22" i="146" s="1"/>
  <c r="BP22" i="146"/>
  <c r="BW22" i="146" s="1"/>
  <c r="BN22" i="146"/>
  <c r="BU22" i="146" s="1"/>
  <c r="BM22" i="146"/>
  <c r="BT22" i="146" s="1"/>
  <c r="BY22" i="146" s="1"/>
  <c r="BL22" i="146"/>
  <c r="DK22" i="146"/>
  <c r="DK20" i="146"/>
  <c r="BM20" i="146"/>
  <c r="BT20" i="146" s="1"/>
  <c r="BY20" i="146" s="1"/>
  <c r="BL20" i="146"/>
  <c r="CS20" i="146"/>
  <c r="BP20" i="146"/>
  <c r="BW20" i="146" s="1"/>
  <c r="DG20" i="146"/>
  <c r="BO20" i="146"/>
  <c r="BV20" i="146" s="1"/>
  <c r="DF20" i="146"/>
  <c r="BN20" i="146"/>
  <c r="BU20" i="146" s="1"/>
  <c r="AV23" i="146"/>
  <c r="BB23" i="146" s="1"/>
  <c r="AT23" i="146"/>
  <c r="AU23" i="146" s="1"/>
  <c r="BA23" i="146" s="1"/>
  <c r="BM24" i="146"/>
  <c r="BT24" i="146" s="1"/>
  <c r="BY24" i="146" s="1"/>
  <c r="BL24" i="146"/>
  <c r="CS24" i="146"/>
  <c r="BP24" i="146"/>
  <c r="BW24" i="146" s="1"/>
  <c r="BO24" i="146"/>
  <c r="BV24" i="146" s="1"/>
  <c r="BN24" i="146"/>
  <c r="BU24" i="146" s="1"/>
  <c r="DF24" i="146"/>
  <c r="DK24" i="146"/>
  <c r="DG24" i="146"/>
  <c r="BS23" i="146"/>
  <c r="AT21" i="146"/>
  <c r="AU21" i="146" s="1"/>
  <c r="BA21" i="146" s="1"/>
  <c r="AV21" i="146"/>
  <c r="BB21" i="146" s="1"/>
  <c r="AV19" i="146"/>
  <c r="BB19" i="146" s="1"/>
  <c r="AT19" i="146"/>
  <c r="AU19" i="146" s="1"/>
  <c r="BA19" i="146" s="1"/>
  <c r="BM25" i="146"/>
  <c r="BT25" i="146" s="1"/>
  <c r="BY25" i="146" s="1"/>
  <c r="BL25" i="146"/>
  <c r="CS25" i="146"/>
  <c r="BP25" i="146"/>
  <c r="BW25" i="146" s="1"/>
  <c r="BO25" i="146"/>
  <c r="BV25" i="146" s="1"/>
  <c r="BN25" i="146"/>
  <c r="BU25" i="146" s="1"/>
  <c r="DK25" i="146"/>
  <c r="DF25" i="146"/>
  <c r="DG25" i="146"/>
  <c r="BN21" i="146"/>
  <c r="BU21" i="146" s="1"/>
  <c r="CS21" i="146"/>
  <c r="BP21" i="146"/>
  <c r="BW21" i="146" s="1"/>
  <c r="BO21" i="146"/>
  <c r="BV21" i="146" s="1"/>
  <c r="BM21" i="146"/>
  <c r="BT21" i="146" s="1"/>
  <c r="BY21" i="146" s="1"/>
  <c r="BL21" i="146"/>
  <c r="DF21" i="146"/>
  <c r="DG21" i="146"/>
  <c r="DK21" i="146"/>
  <c r="AV25" i="146"/>
  <c r="BB25" i="146" s="1"/>
  <c r="AT25" i="146"/>
  <c r="AU25" i="146" s="1"/>
  <c r="BA25" i="146" s="1"/>
  <c r="CS19" i="146"/>
  <c r="BP19" i="146"/>
  <c r="BW19" i="146" s="1"/>
  <c r="BO19" i="146"/>
  <c r="BV19" i="146" s="1"/>
  <c r="BN19" i="146"/>
  <c r="BU19" i="146" s="1"/>
  <c r="BM19" i="146"/>
  <c r="BT19" i="146" s="1"/>
  <c r="BY19" i="146" s="1"/>
  <c r="BL19" i="146"/>
  <c r="DF19" i="146"/>
  <c r="DG19" i="146"/>
  <c r="DK19" i="146"/>
  <c r="AT20" i="146"/>
  <c r="AU20" i="146" s="1"/>
  <c r="BA20" i="146" s="1"/>
  <c r="AV20" i="146"/>
  <c r="BB20" i="146" s="1"/>
  <c r="AT22" i="146"/>
  <c r="AU22" i="146" s="1"/>
  <c r="BA22" i="146" s="1"/>
  <c r="AV22" i="146"/>
  <c r="BB22" i="146" s="1"/>
  <c r="AV24" i="146"/>
  <c r="BB24" i="146" s="1"/>
  <c r="AT24" i="146"/>
  <c r="AU24" i="146" s="1"/>
  <c r="BA24" i="146" s="1"/>
  <c r="BQ23" i="146" l="1"/>
  <c r="BR23" i="146" s="1"/>
  <c r="BX23" i="146" s="1"/>
  <c r="BS20" i="146"/>
  <c r="BQ20" i="146"/>
  <c r="BR20" i="146" s="1"/>
  <c r="BX20" i="146" s="1"/>
  <c r="BQ22" i="146"/>
  <c r="BR22" i="146" s="1"/>
  <c r="BX22" i="146" s="1"/>
  <c r="BS22" i="146"/>
  <c r="BS25" i="146"/>
  <c r="BQ25" i="146"/>
  <c r="BR25" i="146" s="1"/>
  <c r="BX25" i="146" s="1"/>
  <c r="DJ22" i="146"/>
  <c r="DH22" i="146"/>
  <c r="DI22" i="146" s="1"/>
  <c r="DL22" i="146"/>
  <c r="DH26" i="146"/>
  <c r="DI26" i="146" s="1"/>
  <c r="DL26" i="146"/>
  <c r="DJ26" i="146"/>
  <c r="BS24" i="146"/>
  <c r="BQ24" i="146"/>
  <c r="BR24" i="146" s="1"/>
  <c r="BX24" i="146" s="1"/>
  <c r="BS21" i="146"/>
  <c r="BQ21" i="146"/>
  <c r="BR21" i="146" s="1"/>
  <c r="BX21" i="146" s="1"/>
  <c r="BQ19" i="146"/>
  <c r="BR19" i="146" s="1"/>
  <c r="BX19" i="146" s="1"/>
  <c r="BS19" i="146"/>
</calcChain>
</file>

<file path=xl/sharedStrings.xml><?xml version="1.0" encoding="utf-8"?>
<sst xmlns="http://schemas.openxmlformats.org/spreadsheetml/2006/main" count="456" uniqueCount="206">
  <si>
    <t>H2</t>
  </si>
  <si>
    <t>CO</t>
  </si>
  <si>
    <t>CO2</t>
  </si>
  <si>
    <t>Curr Dens (mA/cm2)</t>
  </si>
  <si>
    <t>Current (A)</t>
  </si>
  <si>
    <t>uV.s/mol%</t>
  </si>
  <si>
    <t>mln/min</t>
  </si>
  <si>
    <t>mol/s</t>
  </si>
  <si>
    <t>CALIBRATION AND EXPERIMENTAL SETTINGS</t>
  </si>
  <si>
    <t>Electrode area</t>
  </si>
  <si>
    <t>cm2</t>
  </si>
  <si>
    <t>R</t>
  </si>
  <si>
    <t>CONSTANTS</t>
  </si>
  <si>
    <t>F</t>
  </si>
  <si>
    <t>n (H2 and CO)</t>
  </si>
  <si>
    <t>H2 only (mln/min)</t>
  </si>
  <si>
    <t>Total (mol/s)</t>
  </si>
  <si>
    <t>is equal to</t>
  </si>
  <si>
    <t>CO2 inlet flow</t>
  </si>
  <si>
    <t>EXPERIMENT IDENTIFICATION</t>
  </si>
  <si>
    <t>Experiment ID</t>
  </si>
  <si>
    <t>TOTALCHROM PEAK AREAS</t>
  </si>
  <si>
    <t>GC CONCENTRATIONS (mol%)</t>
  </si>
  <si>
    <t>Sum</t>
  </si>
  <si>
    <t>Unaccounted</t>
  </si>
  <si>
    <t>Remarks</t>
  </si>
  <si>
    <t>Minimum</t>
  </si>
  <si>
    <t>Average</t>
  </si>
  <si>
    <t>Maximum</t>
  </si>
  <si>
    <t>Flow</t>
  </si>
  <si>
    <t>Total (sccm)</t>
  </si>
  <si>
    <t>-</t>
  </si>
  <si>
    <t>O2</t>
  </si>
  <si>
    <t>N2</t>
  </si>
  <si>
    <t>OER current (A)</t>
  </si>
  <si>
    <t>n (OER)</t>
  </si>
  <si>
    <t>OER FE (%)</t>
  </si>
  <si>
    <t>ANODE</t>
  </si>
  <si>
    <t>CATHODE</t>
  </si>
  <si>
    <t>DD-MM-YYYY HH:MM:SS</t>
  </si>
  <si>
    <t>UNIX TIME</t>
  </si>
  <si>
    <t>UNIX time start</t>
  </si>
  <si>
    <t>GMT shift (s)</t>
  </si>
  <si>
    <t>C2H4</t>
  </si>
  <si>
    <t>Conditioning time (h)</t>
  </si>
  <si>
    <t>Time elapsed (h)</t>
  </si>
  <si>
    <t>Interval (min)</t>
  </si>
  <si>
    <t>Elapsed minus cond. (h)</t>
  </si>
  <si>
    <t>CO_FID</t>
  </si>
  <si>
    <t>CO2_TCD</t>
  </si>
  <si>
    <t>O2_TCD</t>
  </si>
  <si>
    <t>N2_TCD</t>
  </si>
  <si>
    <t>CO_TCD</t>
  </si>
  <si>
    <t>H2_TCD</t>
  </si>
  <si>
    <t>CH4_FID</t>
  </si>
  <si>
    <t>Std. Dev. (mV)</t>
  </si>
  <si>
    <t>Average (V)</t>
  </si>
  <si>
    <t>Maximum (V)</t>
  </si>
  <si>
    <t>Minimum (V)</t>
  </si>
  <si>
    <t>HYDROGEN ADDITION TO FLOW</t>
  </si>
  <si>
    <t>Side ID</t>
  </si>
  <si>
    <t>C2H4_FID</t>
  </si>
  <si>
    <t>C2H6_FID</t>
  </si>
  <si>
    <t>Point in run?</t>
  </si>
  <si>
    <t>GAS CHROMATOGRAPHY DATA ACQUISITION INFORMATION</t>
  </si>
  <si>
    <t>GC CALIBRATION - RESPONSE FACTORS</t>
  </si>
  <si>
    <t>CELL CURRENT</t>
  </si>
  <si>
    <t>UNIX time</t>
  </si>
  <si>
    <t>GC shift (min)</t>
  </si>
  <si>
    <t>Std Dev</t>
  </si>
  <si>
    <t>CTD</t>
  </si>
  <si>
    <t>FLOW CALIBRATION FUNCTION</t>
  </si>
  <si>
    <t>Vsignal = Kmix(xH2,xCO) * Q</t>
  </si>
  <si>
    <t>B_icpt</t>
  </si>
  <si>
    <t>k_H2</t>
  </si>
  <si>
    <t>k_CO</t>
  </si>
  <si>
    <t>corr_H2O</t>
  </si>
  <si>
    <t>Function inputs are molar fractions!</t>
  </si>
  <si>
    <t>Kmix</t>
  </si>
  <si>
    <t>Kmix = B_icpt + k_H2 * x_H2 + k_CO * x_CO</t>
  </si>
  <si>
    <t>CORRECTED FLOW USING MASS FLOW METER (mln/min)</t>
  </si>
  <si>
    <t>RED-Y MFM FLOW READOUT (mln/min)</t>
  </si>
  <si>
    <r>
      <rPr>
        <b/>
        <sz val="11"/>
        <color rgb="FF00B050"/>
        <rFont val="Calibri"/>
        <family val="2"/>
        <scheme val="minor"/>
      </rPr>
      <t>FLOW-CORRECTED</t>
    </r>
    <r>
      <rPr>
        <b/>
        <sz val="11"/>
        <color theme="1"/>
        <rFont val="Calibri"/>
        <family val="2"/>
        <scheme val="minor"/>
      </rPr>
      <t xml:space="preserve"> FARADAIC EFFICIENCY (%)</t>
    </r>
  </si>
  <si>
    <r>
      <rPr>
        <b/>
        <sz val="11"/>
        <color rgb="FF00B050"/>
        <rFont val="Calibri"/>
        <family val="2"/>
        <scheme val="minor"/>
      </rPr>
      <t>FLOW-CORRECTED</t>
    </r>
    <r>
      <rPr>
        <b/>
        <sz val="11"/>
        <color theme="1"/>
        <rFont val="Calibri"/>
        <family val="2"/>
        <scheme val="minor"/>
      </rPr>
      <t xml:space="preserve"> PCDs (mA/cm2)</t>
    </r>
  </si>
  <si>
    <t>Difference</t>
  </si>
  <si>
    <t>FLOW BENCHMARK</t>
  </si>
  <si>
    <t>File number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</si>
  <si>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</si>
  <si>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</si>
  <si>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</si>
  <si>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</si>
  <si>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</si>
  <si>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</si>
  <si>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</si>
  <si>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</si>
  <si>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</si>
  <si>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</si>
  <si>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</si>
  <si>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</si>
  <si>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</si>
  <si>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</si>
  <si>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</si>
  <si>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</si>
  <si>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</si>
  <si>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</si>
  <si>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</si>
  <si>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</si>
  <si>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</si>
  <si>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</si>
  <si>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</si>
  <si>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</si>
  <si>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</si>
  <si>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</si>
  <si>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</si>
  <si>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Main</t>
  </si>
  <si>
    <t>O:\FYSIK\list-SurfCat\setups\307-059-largeCO2MEA\Data\</t>
  </si>
  <si>
    <t>File path</t>
  </si>
  <si>
    <t>Subfolder</t>
  </si>
  <si>
    <t>iV data start</t>
  </si>
  <si>
    <t>GC</t>
  </si>
  <si>
    <t>iV</t>
  </si>
  <si>
    <t>CurrentVoltageData.txt</t>
  </si>
  <si>
    <t>Summary.txt</t>
  </si>
  <si>
    <t>source</t>
  </si>
  <si>
    <t>FlowData.vprj</t>
  </si>
  <si>
    <t>DIRECTORIES</t>
  </si>
  <si>
    <t>FLOW CALIBRATION FUNCTION - ANODE</t>
  </si>
  <si>
    <t>Kmix = B_icpt_AND + k_AIR * (1- x_CO2)</t>
  </si>
  <si>
    <t>k_AIR</t>
  </si>
  <si>
    <t>B_icpt_AIR</t>
  </si>
  <si>
    <t>CURRENT DENSITY</t>
  </si>
  <si>
    <t>O2 (min/min)</t>
  </si>
  <si>
    <t>O2 (mol/s)</t>
  </si>
  <si>
    <t>1 mln/min</t>
  </si>
  <si>
    <t>Non-OER FE (%)</t>
  </si>
  <si>
    <t>OXYGEN EVOLUTION REACTION AT THE ANODE</t>
  </si>
  <si>
    <t>CO2 flow anode</t>
  </si>
  <si>
    <t>CO flow cathode</t>
  </si>
  <si>
    <t>CO2 flow cathode</t>
  </si>
  <si>
    <t>Carbon sum</t>
  </si>
  <si>
    <t>Carbon balance</t>
  </si>
  <si>
    <t>Total acc. (%)</t>
  </si>
  <si>
    <t>FID</t>
  </si>
  <si>
    <t>FILE NAME</t>
  </si>
  <si>
    <t>WAKA WAKA EH EH</t>
  </si>
  <si>
    <t>O2 adjusted</t>
  </si>
  <si>
    <t>CO (%)</t>
  </si>
  <si>
    <t>Use CO from</t>
  </si>
  <si>
    <t>Point ID</t>
  </si>
  <si>
    <t>G</t>
  </si>
  <si>
    <t>GC CONCENTRATIONS</t>
  </si>
  <si>
    <t>H2 flow cathode</t>
  </si>
  <si>
    <t>Crossover ratio</t>
  </si>
  <si>
    <t>TOTAL FLOWS</t>
  </si>
  <si>
    <t>ANODE EXPECTED</t>
  </si>
  <si>
    <t>Total CO2 consumed</t>
  </si>
  <si>
    <t>CO GP Selectivity (%)</t>
  </si>
  <si>
    <t>028</t>
  </si>
  <si>
    <t>029</t>
  </si>
  <si>
    <t>030</t>
  </si>
  <si>
    <t>031</t>
  </si>
  <si>
    <t>032</t>
  </si>
  <si>
    <t>UnaccCharge</t>
  </si>
  <si>
    <t>CELL VOLTAGE AND CURRENT</t>
  </si>
  <si>
    <t>CO2 anode (mln/min)</t>
  </si>
  <si>
    <t>CO2 anode (mol/s)</t>
  </si>
  <si>
    <t>COX current (A)</t>
  </si>
  <si>
    <t>COX FE (%)</t>
  </si>
  <si>
    <t>INERT X-OVER</t>
  </si>
  <si>
    <t>Previous O2 value</t>
  </si>
  <si>
    <t>Total GP accounted</t>
  </si>
  <si>
    <t>THERE MUST BE SOMETHING WRONG WITH O2 AND N2 CALIBRATION</t>
  </si>
  <si>
    <t>AVERAGE (%)</t>
  </si>
  <si>
    <t>STD DEV (%)</t>
  </si>
  <si>
    <t>Exclude</t>
  </si>
  <si>
    <t>C3H6_FID</t>
  </si>
  <si>
    <t>CH4</t>
  </si>
  <si>
    <t>C3H6</t>
  </si>
  <si>
    <r>
      <t xml:space="preserve">FARADAIC EFFICIENCY (%) - </t>
    </r>
    <r>
      <rPr>
        <b/>
        <sz val="11"/>
        <color rgb="FFFF0000"/>
        <rFont val="Calibri"/>
        <family val="2"/>
        <scheme val="minor"/>
      </rPr>
      <t>NOT FLOW-CORRECTED</t>
    </r>
  </si>
  <si>
    <r>
      <t xml:space="preserve">PCD (mA/cm2) - </t>
    </r>
    <r>
      <rPr>
        <b/>
        <sz val="11"/>
        <color rgb="FFFF0000"/>
        <rFont val="Calibri"/>
        <family val="2"/>
        <scheme val="minor"/>
      </rPr>
      <t>NOT FLOW-CORRECTED</t>
    </r>
  </si>
  <si>
    <t>as</t>
  </si>
  <si>
    <t>GC CALIBRATION - RESPONSE FACTORS (AUGUST 2019)</t>
  </si>
  <si>
    <t>Gaston</t>
  </si>
  <si>
    <t>GC CALIBRATION - RESPONSE FACTORS (NOVEMBER 2019)</t>
  </si>
  <si>
    <t>Old factors, not recalibrated</t>
  </si>
  <si>
    <t>C3H8_FID</t>
  </si>
  <si>
    <t>Seems wrong, use AUG19</t>
  </si>
  <si>
    <t>AF20004</t>
  </si>
  <si>
    <t>&lt;--- this cell is now meaningless</t>
  </si>
  <si>
    <t>H2_FID</t>
  </si>
  <si>
    <t>O2_FID</t>
  </si>
  <si>
    <t>N2_FID</t>
  </si>
  <si>
    <t>CH4_TCD</t>
  </si>
  <si>
    <t>CO2_FID</t>
  </si>
  <si>
    <t>C2H4_TCD</t>
  </si>
  <si>
    <t>C2H6</t>
  </si>
  <si>
    <t>C2H6_TCD</t>
  </si>
  <si>
    <t>C3H6_TCD</t>
  </si>
  <si>
    <t>C3H8</t>
  </si>
  <si>
    <t>C3H8_TCD</t>
  </si>
  <si>
    <t>GC CALIBRATION - RESPONSE FACTORS (FEBRUARY 2020) 50 SCCM</t>
  </si>
  <si>
    <t>CAL FACTOR</t>
  </si>
  <si>
    <t>RT (min)</t>
  </si>
  <si>
    <t>BLK</t>
  </si>
  <si>
    <t>From AUG19</t>
  </si>
  <si>
    <t>From before AUG19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</si>
</sst>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.000"/>
    <numFmt numFmtId="166" formatCode="0.000E+00"/>
    <numFmt numFmtId="167" formatCode="0.0"/>
    <numFmt numFmtId="168" formatCode="dd/mm/yyyy\ hh:mm:ss"/>
    <numFmt numFmtId="169" formatCode="dd/mm/yy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/>
    <xf numFmtId="166" fontId="0" fillId="6" borderId="0" xfId="0" applyNumberFormat="1" applyFill="1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/>
    <xf numFmtId="0" fontId="2" fillId="0" borderId="0" xfId="0" applyFont="1"/>
    <xf numFmtId="11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6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/>
    <xf numFmtId="0" fontId="5" fillId="0" borderId="0" xfId="0" applyFont="1"/>
    <xf numFmtId="0" fontId="1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left"/>
    </xf>
    <xf numFmtId="0" fontId="1" fillId="0" borderId="0" xfId="0" applyFont="1" applyFill="1" applyAlignment="1">
      <alignment horizontal="right"/>
    </xf>
    <xf numFmtId="168" fontId="0" fillId="0" borderId="0" xfId="0" applyNumberFormat="1"/>
    <xf numFmtId="0" fontId="0" fillId="6" borderId="0" xfId="0" applyFill="1" applyAlignment="1">
      <alignment horizontal="left"/>
    </xf>
    <xf numFmtId="0" fontId="1" fillId="0" borderId="0" xfId="0" applyFont="1" applyAlignment="1"/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6" borderId="0" xfId="0" applyFont="1" applyFill="1"/>
    <xf numFmtId="0" fontId="0" fillId="6" borderId="0" xfId="0" applyFill="1"/>
    <xf numFmtId="0" fontId="1" fillId="6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165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65" fontId="0" fillId="10" borderId="0" xfId="0" applyNumberFormat="1" applyFill="1" applyAlignment="1">
      <alignment horizontal="center"/>
    </xf>
    <xf numFmtId="2" fontId="4" fillId="10" borderId="0" xfId="0" applyNumberFormat="1" applyFont="1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0" fillId="10" borderId="0" xfId="0" applyNumberFormat="1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168" fontId="0" fillId="10" borderId="0" xfId="0" applyNumberFormat="1" applyFont="1" applyFill="1" applyAlignment="1">
      <alignment horizontal="center"/>
    </xf>
    <xf numFmtId="2" fontId="1" fillId="0" borderId="0" xfId="0" applyNumberFormat="1" applyFont="1" applyAlignment="1"/>
    <xf numFmtId="2" fontId="1" fillId="0" borderId="0" xfId="0" applyNumberFormat="1" applyFont="1" applyAlignment="1">
      <alignment horizontal="right"/>
    </xf>
    <xf numFmtId="0" fontId="1" fillId="6" borderId="0" xfId="0" applyFont="1" applyFill="1" applyAlignment="1"/>
    <xf numFmtId="167" fontId="2" fillId="0" borderId="0" xfId="0" applyNumberFormat="1" applyFont="1" applyAlignment="1">
      <alignment horizontal="center"/>
    </xf>
    <xf numFmtId="168" fontId="4" fillId="10" borderId="0" xfId="0" applyNumberFormat="1" applyFont="1" applyFill="1" applyAlignment="1">
      <alignment horizontal="center"/>
    </xf>
    <xf numFmtId="165" fontId="4" fillId="10" borderId="0" xfId="0" applyNumberFormat="1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/>
    <xf numFmtId="169" fontId="0" fillId="0" borderId="0" xfId="0" applyNumberFormat="1" applyAlignment="1">
      <alignment horizontal="center"/>
    </xf>
    <xf numFmtId="0" fontId="1" fillId="8" borderId="0" xfId="0" applyFont="1" applyFill="1"/>
    <xf numFmtId="165" fontId="4" fillId="0" borderId="0" xfId="0" applyNumberFormat="1" applyFont="1" applyFill="1" applyAlignment="1">
      <alignment horizontal="center"/>
    </xf>
    <xf numFmtId="165" fontId="0" fillId="0" borderId="0" xfId="0" applyNumberFormat="1"/>
    <xf numFmtId="0" fontId="3" fillId="0" borderId="0" xfId="0" applyFont="1" applyAlignment="1">
      <alignment horizontal="center"/>
    </xf>
    <xf numFmtId="164" fontId="0" fillId="10" borderId="0" xfId="0" applyNumberFormat="1" applyFill="1" applyAlignment="1">
      <alignment horizontal="center"/>
    </xf>
    <xf numFmtId="0" fontId="5" fillId="0" borderId="0" xfId="0" quotePrefix="1" applyFont="1"/>
    <xf numFmtId="2" fontId="0" fillId="2" borderId="0" xfId="0" applyNumberFormat="1" applyFill="1" applyAlignment="1">
      <alignment horizontal="center"/>
    </xf>
    <xf numFmtId="0" fontId="5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GC concentrations (anode) vs.</a:t>
            </a:r>
            <a:r>
              <a:rPr lang="da-DK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time</a:t>
            </a:r>
            <a:endParaRPr lang="da-DK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Oxygen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B-4393-A9FB-70A493F0CD2F}"/>
            </c:ext>
          </c:extLst>
        </c:ser>
        <c:ser>
          <c:idx val="1"/>
          <c:order val="2"/>
          <c:tx>
            <c:v>Carbon dioxide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2225">
                <a:solidFill>
                  <a:srgbClr val="0000FF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B-4393-A9FB-70A493F0C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18024"/>
        <c:axId val="288618680"/>
      </c:scatterChart>
      <c:scatterChart>
        <c:scatterStyle val="lineMarker"/>
        <c:varyColors val="0"/>
        <c:ser>
          <c:idx val="2"/>
          <c:order val="1"/>
          <c:tx>
            <c:v>Nitrogen (secondary axis)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FFC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B-4393-A9FB-70A493F0C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561600"/>
        <c:axId val="663563896"/>
      </c:scatterChart>
      <c:valAx>
        <c:axId val="288618024"/>
        <c:scaling>
          <c:orientation val="minMax"/>
          <c:max val="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elapsed 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(h)</a:t>
                </a:r>
                <a:endParaRPr lang="en-US" sz="1200" b="1" baseline="30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680"/>
        <c:crosses val="autoZero"/>
        <c:crossBetween val="midCat"/>
        <c:majorUnit val="1"/>
      </c:valAx>
      <c:valAx>
        <c:axId val="288618680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Concentration O2 and CO2 (mol%)</a:t>
                </a:r>
                <a:endParaRPr lang="en-US" sz="12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024"/>
        <c:crosses val="autoZero"/>
        <c:crossBetween val="midCat"/>
        <c:majorUnit val="10"/>
        <c:minorUnit val="5"/>
      </c:valAx>
      <c:valAx>
        <c:axId val="663563896"/>
        <c:scaling>
          <c:orientation val="minMax"/>
          <c:max val="5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a-DK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Concentration N2</a:t>
                </a:r>
                <a:r>
                  <a:rPr lang="da-DK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(mol%)</a:t>
                </a:r>
                <a:endParaRPr lang="da-DK" sz="12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3561600"/>
        <c:crosses val="max"/>
        <c:crossBetween val="midCat"/>
        <c:majorUnit val="1"/>
        <c:minorUnit val="0.5"/>
      </c:valAx>
      <c:valAx>
        <c:axId val="663561600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663563896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Faradaic</a:t>
            </a:r>
            <a:r>
              <a:rPr lang="da-DK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efficiency - flow-corrected</a:t>
            </a:r>
            <a:endParaRPr lang="da-DK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Carbon monoxide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3-4A99-86A0-7A5FB77C83D7}"/>
            </c:ext>
          </c:extLst>
        </c:ser>
        <c:ser>
          <c:idx val="1"/>
          <c:order val="1"/>
          <c:tx>
            <c:v>Hydrogen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0000FF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3-4A99-86A0-7A5FB77C83D7}"/>
            </c:ext>
          </c:extLst>
        </c:ser>
        <c:ser>
          <c:idx val="2"/>
          <c:order val="2"/>
          <c:tx>
            <c:v>Unaccounted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00B05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3-4A99-86A0-7A5FB77C8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18024"/>
        <c:axId val="288618680"/>
      </c:scatterChart>
      <c:valAx>
        <c:axId val="288618024"/>
        <c:scaling>
          <c:orientation val="minMax"/>
          <c:max val="5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Current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density (mA cm</a:t>
                </a:r>
                <a:r>
                  <a:rPr lang="en-US" sz="1200" b="1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-2 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200" b="1" baseline="30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680"/>
        <c:crosses val="autoZero"/>
        <c:crossBetween val="midCat"/>
        <c:majorUnit val="50"/>
        <c:minorUnit val="25"/>
      </c:valAx>
      <c:valAx>
        <c:axId val="288618680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Faradaic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efficiency (%)</a:t>
                </a:r>
                <a:endParaRPr lang="en-US" sz="12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024"/>
        <c:crosses val="autoZero"/>
        <c:crossBetween val="midCat"/>
        <c:majorUnit val="10"/>
        <c:minorUnit val="5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Partial current</a:t>
            </a:r>
            <a:r>
              <a:rPr lang="da-DK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density - flow-corrected</a:t>
            </a:r>
            <a:endParaRPr lang="da-DK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Carbon monoxide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E-4E0F-8C5B-58FC599954A9}"/>
            </c:ext>
          </c:extLst>
        </c:ser>
        <c:ser>
          <c:idx val="1"/>
          <c:order val="1"/>
          <c:tx>
            <c:v>Hydrogen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0000FF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0E-4E0F-8C5B-58FC599954A9}"/>
            </c:ext>
          </c:extLst>
        </c:ser>
        <c:ser>
          <c:idx val="2"/>
          <c:order val="2"/>
          <c:tx>
            <c:v>Unaccounted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00B05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0E-4E0F-8C5B-58FC59995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18024"/>
        <c:axId val="288618680"/>
      </c:scatterChart>
      <c:valAx>
        <c:axId val="288618024"/>
        <c:scaling>
          <c:orientation val="minMax"/>
          <c:max val="5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Current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density (mA cm</a:t>
                </a:r>
                <a:r>
                  <a:rPr lang="en-US" sz="1200" b="1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-2 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200" b="1" baseline="30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680"/>
        <c:crosses val="autoZero"/>
        <c:crossBetween val="midCat"/>
        <c:majorUnit val="50"/>
        <c:minorUnit val="25"/>
      </c:valAx>
      <c:valAx>
        <c:axId val="288618680"/>
        <c:scaling>
          <c:orientation val="minMax"/>
          <c:max val="3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Partial current density </a:t>
                </a:r>
                <a:r>
                  <a:rPr lang="en-US" sz="12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(mA cm</a:t>
                </a:r>
                <a:r>
                  <a:rPr lang="en-US" sz="12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-2 </a:t>
                </a:r>
                <a:r>
                  <a:rPr lang="en-US" sz="12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024"/>
        <c:crosses val="autoZero"/>
        <c:crossBetween val="midCat"/>
        <c:majorUnit val="50"/>
        <c:minorUnit val="25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Crossover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Crossover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3-47E2-8FC2-35E10B0C2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18024"/>
        <c:axId val="288618680"/>
      </c:scatterChart>
      <c:scatterChart>
        <c:scatterStyle val="lineMarker"/>
        <c:varyColors val="0"/>
        <c:ser>
          <c:idx val="1"/>
          <c:order val="1"/>
          <c:tx>
            <c:v>Carbon balance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22225">
                <a:solidFill>
                  <a:srgbClr val="0000FF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33-47E2-8FC2-35E10B0C2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983792"/>
        <c:axId val="1301983464"/>
      </c:scatterChart>
      <c:valAx>
        <c:axId val="288618024"/>
        <c:scaling>
          <c:orientation val="minMax"/>
          <c:max val="5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Current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density (mA cm</a:t>
                </a:r>
                <a:r>
                  <a:rPr lang="en-US" sz="1200" b="1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-2 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200" b="1" baseline="30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680"/>
        <c:crosses val="autoZero"/>
        <c:crossBetween val="midCat"/>
        <c:majorUnit val="50"/>
        <c:minorUnit val="25"/>
      </c:valAx>
      <c:valAx>
        <c:axId val="288618680"/>
        <c:scaling>
          <c:orientation val="minMax"/>
          <c:max val="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Crossover ratio</a:t>
                </a:r>
                <a:endParaRPr lang="en-US" sz="12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024"/>
        <c:crosses val="autoZero"/>
        <c:crossBetween val="midCat"/>
        <c:majorUnit val="0.5"/>
        <c:minorUnit val="0.25"/>
      </c:valAx>
      <c:valAx>
        <c:axId val="1301983464"/>
        <c:scaling>
          <c:orientation val="minMax"/>
          <c:max val="110"/>
          <c:min val="96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a-DK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Carbon</a:t>
                </a:r>
                <a:r>
                  <a:rPr lang="da-DK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balance (%)</a:t>
                </a:r>
                <a:endParaRPr lang="da-DK" sz="12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01983792"/>
        <c:crosses val="max"/>
        <c:crossBetween val="midCat"/>
        <c:majorUnit val="2"/>
      </c:valAx>
      <c:valAx>
        <c:axId val="130198379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30198346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Flow measurement - anode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Outlet 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C-458B-81D0-E5753AA1A814}"/>
            </c:ext>
          </c:extLst>
        </c:ser>
        <c:ser>
          <c:idx val="2"/>
          <c:order val="1"/>
          <c:tx>
            <c:v>MFM readout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FFC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C-458B-81D0-E5753AA1A814}"/>
            </c:ext>
          </c:extLst>
        </c:ser>
        <c:ser>
          <c:idx val="3"/>
          <c:order val="3"/>
          <c:tx>
            <c:v>Expected anode flow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8C-458B-81D0-E5753AA1A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18024"/>
        <c:axId val="288618680"/>
      </c:scatterChart>
      <c:scatterChart>
        <c:scatterStyle val="lineMarker"/>
        <c:varyColors val="0"/>
        <c:ser>
          <c:idx val="1"/>
          <c:order val="2"/>
          <c:tx>
            <c:v>Kmix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8C-458B-81D0-E5753AA1A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116944"/>
        <c:axId val="1202112352"/>
      </c:scatterChart>
      <c:valAx>
        <c:axId val="288618024"/>
        <c:scaling>
          <c:orientation val="minMax"/>
          <c:max val="5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Current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density (mA cm</a:t>
                </a:r>
                <a:r>
                  <a:rPr lang="en-US" sz="1200" b="1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-2 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200" b="1" baseline="30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680"/>
        <c:crosses val="autoZero"/>
        <c:crossBetween val="midCat"/>
        <c:majorUnit val="50"/>
        <c:minorUnit val="25"/>
      </c:valAx>
      <c:valAx>
        <c:axId val="288618680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Outlet flow (mln/min)</a:t>
                </a:r>
                <a:endParaRPr lang="en-US" sz="12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024"/>
        <c:crosses val="autoZero"/>
        <c:crossBetween val="midCat"/>
        <c:majorUnit val="2"/>
        <c:minorUnit val="1"/>
      </c:valAx>
      <c:valAx>
        <c:axId val="1202112352"/>
        <c:scaling>
          <c:orientation val="minMax"/>
          <c:max val="1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Kmix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2116944"/>
        <c:crosses val="max"/>
        <c:crossBetween val="midCat"/>
      </c:valAx>
      <c:valAx>
        <c:axId val="120211694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2021123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GC concentrations (anode) vs.</a:t>
            </a:r>
            <a:r>
              <a:rPr lang="da-DK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time</a:t>
            </a:r>
            <a:endParaRPr lang="da-DK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Oxygen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5-4256-8369-3FA6ECC45E9E}"/>
            </c:ext>
          </c:extLst>
        </c:ser>
        <c:ser>
          <c:idx val="1"/>
          <c:order val="2"/>
          <c:tx>
            <c:v>Carbon dioxide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2225">
                <a:solidFill>
                  <a:srgbClr val="0000FF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A5-4256-8369-3FA6ECC45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18024"/>
        <c:axId val="288618680"/>
      </c:scatterChart>
      <c:scatterChart>
        <c:scatterStyle val="lineMarker"/>
        <c:varyColors val="0"/>
        <c:ser>
          <c:idx val="2"/>
          <c:order val="1"/>
          <c:tx>
            <c:v>Nitrogen (secondary axis)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FFC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A5-4256-8369-3FA6ECC45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561600"/>
        <c:axId val="663563896"/>
      </c:scatterChart>
      <c:valAx>
        <c:axId val="288618024"/>
        <c:scaling>
          <c:orientation val="minMax"/>
          <c:max val="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elapsed 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(h)</a:t>
                </a:r>
                <a:endParaRPr lang="en-US" sz="1200" b="1" baseline="30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680"/>
        <c:crosses val="autoZero"/>
        <c:crossBetween val="midCat"/>
        <c:majorUnit val="1"/>
      </c:valAx>
      <c:valAx>
        <c:axId val="288618680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Concentration O2 and CO2 (mol%)</a:t>
                </a:r>
                <a:endParaRPr lang="en-US" sz="12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024"/>
        <c:crosses val="autoZero"/>
        <c:crossBetween val="midCat"/>
        <c:majorUnit val="10"/>
        <c:minorUnit val="5"/>
      </c:valAx>
      <c:valAx>
        <c:axId val="663563896"/>
        <c:scaling>
          <c:orientation val="minMax"/>
          <c:max val="5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a-DK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Concentration N2</a:t>
                </a:r>
                <a:r>
                  <a:rPr lang="da-DK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(mol%)</a:t>
                </a:r>
                <a:endParaRPr lang="da-DK" sz="12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3561600"/>
        <c:crosses val="max"/>
        <c:crossBetween val="midCat"/>
        <c:majorUnit val="1"/>
        <c:minorUnit val="0.5"/>
      </c:valAx>
      <c:valAx>
        <c:axId val="663561600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663563896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Flow measurement - anode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Outlet 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D-485F-9ABB-52FA95ACD366}"/>
            </c:ext>
          </c:extLst>
        </c:ser>
        <c:ser>
          <c:idx val="2"/>
          <c:order val="1"/>
          <c:tx>
            <c:v>O2 flow anode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FFC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5D-485F-9ABB-52FA95ACD366}"/>
            </c:ext>
          </c:extLst>
        </c:ser>
        <c:ser>
          <c:idx val="3"/>
          <c:order val="2"/>
          <c:tx>
            <c:v>Expected anode flow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5D-485F-9ABB-52FA95ACD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18024"/>
        <c:axId val="288618680"/>
      </c:scatterChart>
      <c:valAx>
        <c:axId val="288618024"/>
        <c:scaling>
          <c:orientation val="minMax"/>
          <c:max val="5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Current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density (mA cm</a:t>
                </a:r>
                <a:r>
                  <a:rPr lang="en-US" sz="1200" b="1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-2 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200" b="1" baseline="30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680"/>
        <c:crosses val="autoZero"/>
        <c:crossBetween val="midCat"/>
        <c:majorUnit val="50"/>
        <c:minorUnit val="25"/>
      </c:valAx>
      <c:valAx>
        <c:axId val="288618680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Outlet flow (mln/min)</a:t>
                </a:r>
                <a:endParaRPr lang="en-US" sz="12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024"/>
        <c:crosses val="autoZero"/>
        <c:crossBetween val="midCat"/>
        <c:majorUnit val="2"/>
        <c:minorUnit val="1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Flow measurement - cathode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outlet 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A-4944-9830-053D809BBD3F}"/>
            </c:ext>
          </c:extLst>
        </c:ser>
        <c:ser>
          <c:idx val="2"/>
          <c:order val="1"/>
          <c:tx>
            <c:v>CO2 outlet 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FFC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BA-4944-9830-053D809BB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18024"/>
        <c:axId val="288618680"/>
      </c:scatterChart>
      <c:valAx>
        <c:axId val="288618024"/>
        <c:scaling>
          <c:orientation val="minMax"/>
          <c:max val="5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Current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density (mA cm</a:t>
                </a:r>
                <a:r>
                  <a:rPr lang="en-US" sz="1200" b="1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-2 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200" b="1" baseline="30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680"/>
        <c:crosses val="autoZero"/>
        <c:crossBetween val="midCat"/>
        <c:majorUnit val="50"/>
        <c:minorUnit val="25"/>
      </c:valAx>
      <c:valAx>
        <c:axId val="288618680"/>
        <c:scaling>
          <c:orientation val="minMax"/>
          <c:max val="102"/>
          <c:min val="7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Outlet flow (mln/min)</a:t>
                </a:r>
                <a:endParaRPr lang="en-US" sz="12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024"/>
        <c:crosses val="autoZero"/>
        <c:crossBetween val="midCat"/>
        <c:majorUnit val="2"/>
        <c:minorUnit val="1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Partial current</a:t>
            </a:r>
            <a:r>
              <a:rPr lang="da-DK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density - flow-corrected</a:t>
            </a:r>
            <a:endParaRPr lang="da-DK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Carbon monoxide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A-4329-AA2C-0911336DBD98}"/>
            </c:ext>
          </c:extLst>
        </c:ser>
        <c:ser>
          <c:idx val="1"/>
          <c:order val="1"/>
          <c:tx>
            <c:v>Hydrogen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0000FF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A-4329-AA2C-0911336DBD98}"/>
            </c:ext>
          </c:extLst>
        </c:ser>
        <c:ser>
          <c:idx val="2"/>
          <c:order val="2"/>
          <c:tx>
            <c:v>Unaccounted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00B05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3A-4329-AA2C-0911336DB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18024"/>
        <c:axId val="288618680"/>
      </c:scatterChart>
      <c:valAx>
        <c:axId val="288618024"/>
        <c:scaling>
          <c:orientation val="minMax"/>
          <c:max val="5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Current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density (mA cm</a:t>
                </a:r>
                <a:r>
                  <a:rPr lang="en-US" sz="1200" b="1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-2 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200" b="1" baseline="30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680"/>
        <c:crosses val="autoZero"/>
        <c:crossBetween val="midCat"/>
        <c:majorUnit val="50"/>
        <c:minorUnit val="25"/>
      </c:valAx>
      <c:valAx>
        <c:axId val="288618680"/>
        <c:scaling>
          <c:orientation val="minMax"/>
          <c:max val="3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Partial current density </a:t>
                </a:r>
                <a:r>
                  <a:rPr lang="en-US" sz="12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(mA cm</a:t>
                </a:r>
                <a:r>
                  <a:rPr lang="en-US" sz="12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-2 </a:t>
                </a:r>
                <a:r>
                  <a:rPr lang="en-US" sz="12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024"/>
        <c:crosses val="autoZero"/>
        <c:crossBetween val="midCat"/>
        <c:majorUnit val="50"/>
        <c:minorUnit val="25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Unaccounted faradaic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Unaccounted FE Anode (%)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4-4F6F-BF4F-38F7F5976122}"/>
            </c:ext>
          </c:extLst>
        </c:ser>
        <c:ser>
          <c:idx val="2"/>
          <c:order val="1"/>
          <c:tx>
            <c:v>Unaccounted FE Cathode (%)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FFC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4-4F6F-BF4F-38F7F5976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18024"/>
        <c:axId val="288618680"/>
      </c:scatterChart>
      <c:valAx>
        <c:axId val="288618024"/>
        <c:scaling>
          <c:orientation val="minMax"/>
          <c:max val="5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Current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density (mA cm</a:t>
                </a:r>
                <a:r>
                  <a:rPr lang="en-US" sz="1200" b="1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-2 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200" b="1" baseline="30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680"/>
        <c:crosses val="autoZero"/>
        <c:crossBetween val="midCat"/>
        <c:majorUnit val="50"/>
        <c:minorUnit val="25"/>
      </c:valAx>
      <c:valAx>
        <c:axId val="288618680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Faradaic efficiency (%)</a:t>
                </a:r>
                <a:endParaRPr lang="en-US" sz="12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024"/>
        <c:crosses val="autoZero"/>
        <c:crossBetween val="midCat"/>
        <c:majorUnit val="2"/>
        <c:minorUnit val="1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Flow measurement - anode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Outlet 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1-438F-998C-B987B0F1E3C6}"/>
            </c:ext>
          </c:extLst>
        </c:ser>
        <c:ser>
          <c:idx val="2"/>
          <c:order val="1"/>
          <c:tx>
            <c:v>O2 flow anode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FFC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A1-438F-998C-B987B0F1E3C6}"/>
            </c:ext>
          </c:extLst>
        </c:ser>
        <c:ser>
          <c:idx val="3"/>
          <c:order val="2"/>
          <c:tx>
            <c:v>Expected anode flow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A1-438F-998C-B987B0F1E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18024"/>
        <c:axId val="288618680"/>
      </c:scatterChart>
      <c:valAx>
        <c:axId val="288618024"/>
        <c:scaling>
          <c:orientation val="minMax"/>
          <c:max val="5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Current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density (mA cm</a:t>
                </a:r>
                <a:r>
                  <a:rPr lang="en-US" sz="1200" b="1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-2 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200" b="1" baseline="30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680"/>
        <c:crosses val="autoZero"/>
        <c:crossBetween val="midCat"/>
        <c:majorUnit val="50"/>
        <c:minorUnit val="25"/>
      </c:valAx>
      <c:valAx>
        <c:axId val="288618680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Outlet flow (mln/min)</a:t>
                </a:r>
                <a:endParaRPr lang="en-US" sz="12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024"/>
        <c:crosses val="autoZero"/>
        <c:crossBetween val="midCat"/>
        <c:majorUnit val="2"/>
        <c:minorUnit val="1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Flow measurement - cathode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outlet 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1-4E43-806A-56BE02A3ED9F}"/>
            </c:ext>
          </c:extLst>
        </c:ser>
        <c:ser>
          <c:idx val="2"/>
          <c:order val="1"/>
          <c:tx>
            <c:v>CO2 outlet 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FFC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81-4E43-806A-56BE02A3E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18024"/>
        <c:axId val="288618680"/>
      </c:scatterChart>
      <c:valAx>
        <c:axId val="288618024"/>
        <c:scaling>
          <c:orientation val="minMax"/>
          <c:max val="5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Current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density (mA cm</a:t>
                </a:r>
                <a:r>
                  <a:rPr lang="en-US" sz="1200" b="1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-2 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200" b="1" baseline="30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680"/>
        <c:crosses val="autoZero"/>
        <c:crossBetween val="midCat"/>
        <c:majorUnit val="50"/>
        <c:minorUnit val="25"/>
      </c:valAx>
      <c:valAx>
        <c:axId val="288618680"/>
        <c:scaling>
          <c:orientation val="minMax"/>
          <c:max val="102"/>
          <c:min val="7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Outlet flow (mln/min)</a:t>
                </a:r>
                <a:endParaRPr lang="en-US" sz="12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024"/>
        <c:crosses val="autoZero"/>
        <c:crossBetween val="midCat"/>
        <c:majorUnit val="2"/>
        <c:minorUnit val="1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Partial current</a:t>
            </a:r>
            <a:r>
              <a:rPr lang="da-DK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density - flow-corrected</a:t>
            </a:r>
            <a:endParaRPr lang="da-DK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Carbon monoxide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B-4638-B8E9-030CA1D8AA9F}"/>
            </c:ext>
          </c:extLst>
        </c:ser>
        <c:ser>
          <c:idx val="1"/>
          <c:order val="1"/>
          <c:tx>
            <c:v>Hydrogen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0000FF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4B-4638-B8E9-030CA1D8AA9F}"/>
            </c:ext>
          </c:extLst>
        </c:ser>
        <c:ser>
          <c:idx val="2"/>
          <c:order val="2"/>
          <c:tx>
            <c:v>Unaccounted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00B05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4B-4638-B8E9-030CA1D8A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18024"/>
        <c:axId val="288618680"/>
      </c:scatterChart>
      <c:valAx>
        <c:axId val="288618024"/>
        <c:scaling>
          <c:orientation val="minMax"/>
          <c:max val="5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Current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density (mA cm</a:t>
                </a:r>
                <a:r>
                  <a:rPr lang="en-US" sz="1200" b="1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-2 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200" b="1" baseline="30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680"/>
        <c:crosses val="autoZero"/>
        <c:crossBetween val="midCat"/>
        <c:majorUnit val="50"/>
        <c:minorUnit val="25"/>
      </c:valAx>
      <c:valAx>
        <c:axId val="288618680"/>
        <c:scaling>
          <c:orientation val="minMax"/>
          <c:max val="3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Partial current density </a:t>
                </a:r>
                <a:r>
                  <a:rPr lang="en-US" sz="12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(mA cm</a:t>
                </a:r>
                <a:r>
                  <a:rPr lang="en-US" sz="12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-2 </a:t>
                </a:r>
                <a:r>
                  <a:rPr lang="en-US" sz="12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024"/>
        <c:crosses val="autoZero"/>
        <c:crossBetween val="midCat"/>
        <c:majorUnit val="50"/>
        <c:minorUnit val="25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Unaccounted faradaic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Unaccounted FE Anode (%)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E-4C02-83FF-D5FBA8FADFDB}"/>
            </c:ext>
          </c:extLst>
        </c:ser>
        <c:ser>
          <c:idx val="2"/>
          <c:order val="1"/>
          <c:tx>
            <c:v>Unaccounted FE Cathode (%)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FFC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EE-4C02-83FF-D5FBA8FAD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18024"/>
        <c:axId val="288618680"/>
      </c:scatterChart>
      <c:valAx>
        <c:axId val="288618024"/>
        <c:scaling>
          <c:orientation val="minMax"/>
          <c:max val="5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Current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density (mA cm</a:t>
                </a:r>
                <a:r>
                  <a:rPr lang="en-US" sz="1200" b="1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-2 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200" b="1" baseline="30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680"/>
        <c:crosses val="autoZero"/>
        <c:crossBetween val="midCat"/>
        <c:majorUnit val="50"/>
        <c:minorUnit val="25"/>
      </c:valAx>
      <c:valAx>
        <c:axId val="288618680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Faradaic efficiency (%)</a:t>
                </a:r>
                <a:endParaRPr lang="en-US" sz="12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024"/>
        <c:crosses val="autoZero"/>
        <c:crossBetween val="midCat"/>
        <c:majorUnit val="2"/>
        <c:minorUnit val="1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Faradaic</a:t>
            </a:r>
            <a:r>
              <a:rPr lang="da-DK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efficiency - </a:t>
            </a:r>
            <a:r>
              <a:rPr lang="da-DK" b="1" u="sng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not</a:t>
            </a:r>
            <a:r>
              <a:rPr lang="da-DK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flow-corrected</a:t>
            </a:r>
            <a:endParaRPr lang="da-DK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A-440F-8D3F-71087737CA61}"/>
            </c:ext>
          </c:extLst>
        </c:ser>
        <c:ser>
          <c:idx val="1"/>
          <c:order val="1"/>
          <c:tx>
            <c:v>Hydrogen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0000FF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A-440F-8D3F-71087737CA61}"/>
            </c:ext>
          </c:extLst>
        </c:ser>
        <c:ser>
          <c:idx val="2"/>
          <c:order val="2"/>
          <c:tx>
            <c:v>Unaccounted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00B05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2A-440F-8D3F-71087737C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18024"/>
        <c:axId val="288618680"/>
      </c:scatterChart>
      <c:valAx>
        <c:axId val="288618024"/>
        <c:scaling>
          <c:orientation val="minMax"/>
          <c:max val="5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Current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density (mA cm</a:t>
                </a:r>
                <a:r>
                  <a:rPr lang="en-US" sz="1200" b="1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-2 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200" b="1" baseline="30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680"/>
        <c:crosses val="autoZero"/>
        <c:crossBetween val="midCat"/>
        <c:majorUnit val="50"/>
        <c:minorUnit val="25"/>
      </c:valAx>
      <c:valAx>
        <c:axId val="288618680"/>
        <c:scaling>
          <c:orientation val="minMax"/>
          <c:max val="1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Faradaic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efficiency (%)</a:t>
                </a:r>
                <a:endParaRPr lang="en-US" sz="12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024"/>
        <c:crosses val="autoZero"/>
        <c:crossBetween val="midCat"/>
        <c:majorUnit val="10"/>
        <c:minorUnit val="5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Cell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05308641975307"/>
          <c:y val="8.6559999999999998E-2"/>
          <c:w val="0.83276496913580245"/>
          <c:h val="0.7959451851851852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D-4CBB-9760-E041A33B7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18024"/>
        <c:axId val="288618680"/>
      </c:scatterChart>
      <c:valAx>
        <c:axId val="288618024"/>
        <c:scaling>
          <c:orientation val="minMax"/>
          <c:max val="5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Current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density (mA cm</a:t>
                </a:r>
                <a:r>
                  <a:rPr lang="en-US" sz="1200" b="1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-2 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200" b="1" baseline="30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680"/>
        <c:crosses val="autoZero"/>
        <c:crossBetween val="midCat"/>
        <c:minorUnit val="25"/>
      </c:valAx>
      <c:valAx>
        <c:axId val="288618680"/>
        <c:scaling>
          <c:orientation val="minMax"/>
          <c:max val="4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Cell voltage (V)</a:t>
                </a:r>
              </a:p>
            </c:rich>
          </c:tx>
          <c:layout>
            <c:manualLayout>
              <c:xMode val="edge"/>
              <c:yMode val="edge"/>
              <c:x val="2.7438271604938273E-2"/>
              <c:y val="0.37553592592592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024"/>
        <c:crosses val="autoZero"/>
        <c:crossBetween val="midCat"/>
        <c:majorUnit val="0.2"/>
        <c:minorUnit val="0.1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Partial current</a:t>
            </a:r>
            <a:r>
              <a:rPr lang="da-DK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density - </a:t>
            </a:r>
            <a:r>
              <a:rPr lang="da-DK" b="1" u="sng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not</a:t>
            </a:r>
            <a:r>
              <a:rPr lang="da-DK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flow-corrected</a:t>
            </a:r>
            <a:endParaRPr lang="da-DK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Carbon monoxide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7-4341-88BA-A3B12E76DB31}"/>
            </c:ext>
          </c:extLst>
        </c:ser>
        <c:ser>
          <c:idx val="1"/>
          <c:order val="1"/>
          <c:tx>
            <c:v>Hydrogen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0000FF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7-4341-88BA-A3B12E76DB31}"/>
            </c:ext>
          </c:extLst>
        </c:ser>
        <c:ser>
          <c:idx val="2"/>
          <c:order val="2"/>
          <c:tx>
            <c:v>Unaccounted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00B05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F7-4341-88BA-A3B12E76D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18024"/>
        <c:axId val="288618680"/>
      </c:scatterChart>
      <c:valAx>
        <c:axId val="288618024"/>
        <c:scaling>
          <c:orientation val="minMax"/>
          <c:max val="5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Current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density (mA cm</a:t>
                </a:r>
                <a:r>
                  <a:rPr lang="en-US" sz="1200" b="1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-2 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200" b="1" baseline="30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680"/>
        <c:crosses val="autoZero"/>
        <c:crossBetween val="midCat"/>
        <c:majorUnit val="50"/>
        <c:minorUnit val="25"/>
      </c:valAx>
      <c:valAx>
        <c:axId val="288618680"/>
        <c:scaling>
          <c:orientation val="minMax"/>
          <c:max val="3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Partial current density </a:t>
                </a:r>
                <a:r>
                  <a:rPr lang="en-US" sz="12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(mA cm</a:t>
                </a:r>
                <a:r>
                  <a:rPr lang="en-US" sz="1200" b="1" i="0" kern="1200" baseline="3000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-2 </a:t>
                </a:r>
                <a:r>
                  <a:rPr lang="en-US" sz="1200" b="1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024"/>
        <c:crosses val="autoZero"/>
        <c:crossBetween val="midCat"/>
        <c:majorUnit val="50"/>
        <c:minorUnit val="25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Flow measurement - cathode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Outlet flow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9-465E-AC38-4540C304F22C}"/>
            </c:ext>
          </c:extLst>
        </c:ser>
        <c:ser>
          <c:idx val="2"/>
          <c:order val="1"/>
          <c:tx>
            <c:v>MFM readout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rgbClr val="FFC000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09-465E-AC38-4540C304F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18024"/>
        <c:axId val="288618680"/>
      </c:scatterChart>
      <c:scatterChart>
        <c:scatterStyle val="lineMarker"/>
        <c:varyColors val="0"/>
        <c:ser>
          <c:idx val="1"/>
          <c:order val="2"/>
          <c:tx>
            <c:v>Kmix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09-465E-AC38-4540C304F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116944"/>
        <c:axId val="1202112352"/>
      </c:scatterChart>
      <c:valAx>
        <c:axId val="288618024"/>
        <c:scaling>
          <c:orientation val="minMax"/>
          <c:max val="5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Current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density (mA cm</a:t>
                </a:r>
                <a:r>
                  <a:rPr lang="en-US" sz="1200" b="1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-2 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200" b="1" baseline="30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680"/>
        <c:crosses val="autoZero"/>
        <c:crossBetween val="midCat"/>
        <c:majorUnit val="50"/>
        <c:minorUnit val="25"/>
      </c:valAx>
      <c:valAx>
        <c:axId val="288618680"/>
        <c:scaling>
          <c:orientation val="minMax"/>
          <c:max val="102"/>
          <c:min val="7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Outlet flow (mln/min)</a:t>
                </a:r>
                <a:endParaRPr lang="en-US" sz="12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8618024"/>
        <c:crosses val="autoZero"/>
        <c:crossBetween val="midCat"/>
        <c:majorUnit val="2"/>
        <c:minorUnit val="1"/>
      </c:valAx>
      <c:valAx>
        <c:axId val="1202112352"/>
        <c:scaling>
          <c:orientation val="minMax"/>
          <c:max val="1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Kmix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2116944"/>
        <c:crosses val="max"/>
        <c:crossBetween val="midCat"/>
      </c:valAx>
      <c:valAx>
        <c:axId val="120211694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2021123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13</xdr:row>
      <xdr:rowOff>0</xdr:rowOff>
    </xdr:from>
    <xdr:to>
      <xdr:col>36</xdr:col>
      <xdr:colOff>372094</xdr:colOff>
      <xdr:row>39</xdr:row>
      <xdr:rowOff>66000</xdr:rowOff>
    </xdr:to>
    <xdr:graphicFrame macro="">
      <xdr:nvGraphicFramePr>
        <xdr:cNvPr id="10" name="Diagram 1">
          <a:extLst>
            <a:ext uri="{FF2B5EF4-FFF2-40B4-BE49-F238E27FC236}">
              <a16:creationId xmlns:a16="http://schemas.microsoft.com/office/drawing/2014/main" id="{48CEA9D3-8DF3-4DAC-A308-FF826284B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73</xdr:col>
      <xdr:colOff>523875</xdr:colOff>
      <xdr:row>13</xdr:row>
      <xdr:rowOff>0</xdr:rowOff>
    </xdr:from>
    <xdr:to>
      <xdr:col>80</xdr:col>
      <xdr:colOff>133969</xdr:colOff>
      <xdr:row>15</xdr:row>
      <xdr:rowOff>185063</xdr:rowOff>
    </xdr:to>
    <xdr:graphicFrame macro="">
      <xdr:nvGraphicFramePr>
        <xdr:cNvPr id="11" name="Diagram 1">
          <a:extLst>
            <a:ext uri="{FF2B5EF4-FFF2-40B4-BE49-F238E27FC236}">
              <a16:creationId xmlns:a16="http://schemas.microsoft.com/office/drawing/2014/main" id="{5D14F406-425E-47DF-96A7-4E050E8CD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65</xdr:col>
      <xdr:colOff>23812</xdr:colOff>
      <xdr:row>13</xdr:row>
      <xdr:rowOff>0</xdr:rowOff>
    </xdr:from>
    <xdr:to>
      <xdr:col>73</xdr:col>
      <xdr:colOff>74437</xdr:colOff>
      <xdr:row>17</xdr:row>
      <xdr:rowOff>30282</xdr:rowOff>
    </xdr:to>
    <xdr:graphicFrame macro="">
      <xdr:nvGraphicFramePr>
        <xdr:cNvPr id="12" name="Diagram 1">
          <a:extLst>
            <a:ext uri="{FF2B5EF4-FFF2-40B4-BE49-F238E27FC236}">
              <a16:creationId xmlns:a16="http://schemas.microsoft.com/office/drawing/2014/main" id="{B5DBAC86-533D-4340-AF54-90CA7DC44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23812</xdr:colOff>
      <xdr:row>18</xdr:row>
      <xdr:rowOff>154782</xdr:rowOff>
    </xdr:from>
    <xdr:to>
      <xdr:col>73</xdr:col>
      <xdr:colOff>23813</xdr:colOff>
      <xdr:row>47</xdr:row>
      <xdr:rowOff>30282</xdr:rowOff>
    </xdr:to>
    <xdr:graphicFrame macro="">
      <xdr:nvGraphicFramePr>
        <xdr:cNvPr id="13" name="Diagram 1">
          <a:extLst>
            <a:ext uri="{FF2B5EF4-FFF2-40B4-BE49-F238E27FC236}">
              <a16:creationId xmlns:a16="http://schemas.microsoft.com/office/drawing/2014/main" id="{35562AEA-6E0E-4A92-A076-C1A73D04F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80</xdr:col>
      <xdr:colOff>916782</xdr:colOff>
      <xdr:row>13</xdr:row>
      <xdr:rowOff>0</xdr:rowOff>
    </xdr:from>
    <xdr:to>
      <xdr:col>90</xdr:col>
      <xdr:colOff>479250</xdr:colOff>
      <xdr:row>16</xdr:row>
      <xdr:rowOff>137437</xdr:rowOff>
    </xdr:to>
    <xdr:graphicFrame macro="">
      <xdr:nvGraphicFramePr>
        <xdr:cNvPr id="14" name="Diagram 1">
          <a:extLst>
            <a:ext uri="{FF2B5EF4-FFF2-40B4-BE49-F238E27FC236}">
              <a16:creationId xmlns:a16="http://schemas.microsoft.com/office/drawing/2014/main" id="{F4B93A60-AF38-46FB-955A-B9424E867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51</xdr:row>
      <xdr:rowOff>0</xdr:rowOff>
    </xdr:from>
    <xdr:to>
      <xdr:col>13</xdr:col>
      <xdr:colOff>479250</xdr:colOff>
      <xdr:row>79</xdr:row>
      <xdr:rowOff>66000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32B90EA-567A-4817-9704-78C7CF468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179293</xdr:colOff>
      <xdr:row>51</xdr:row>
      <xdr:rowOff>0</xdr:rowOff>
    </xdr:from>
    <xdr:to>
      <xdr:col>6</xdr:col>
      <xdr:colOff>396605</xdr:colOff>
      <xdr:row>79</xdr:row>
      <xdr:rowOff>66000</xdr:rowOff>
    </xdr:to>
    <xdr:graphicFrame macro="">
      <xdr:nvGraphicFramePr>
        <xdr:cNvPr id="3" name="Diagram 1">
          <a:extLst>
            <a:ext uri="{FF2B5EF4-FFF2-40B4-BE49-F238E27FC236}">
              <a16:creationId xmlns:a16="http://schemas.microsoft.com/office/drawing/2014/main" id="{909B46B9-A561-48C6-A37E-2810ACB74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51</xdr:row>
      <xdr:rowOff>0</xdr:rowOff>
    </xdr:from>
    <xdr:to>
      <xdr:col>21</xdr:col>
      <xdr:colOff>538781</xdr:colOff>
      <xdr:row>79</xdr:row>
      <xdr:rowOff>66000</xdr:rowOff>
    </xdr:to>
    <xdr:graphicFrame macro="">
      <xdr:nvGraphicFramePr>
        <xdr:cNvPr id="4" name="Diagram 1">
          <a:extLst>
            <a:ext uri="{FF2B5EF4-FFF2-40B4-BE49-F238E27FC236}">
              <a16:creationId xmlns:a16="http://schemas.microsoft.com/office/drawing/2014/main" id="{1E6C2E1E-15E9-4032-83E2-AB53E249E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428624</xdr:colOff>
      <xdr:row>51</xdr:row>
      <xdr:rowOff>0</xdr:rowOff>
    </xdr:from>
    <xdr:to>
      <xdr:col>41</xdr:col>
      <xdr:colOff>50624</xdr:colOff>
      <xdr:row>79</xdr:row>
      <xdr:rowOff>66000</xdr:rowOff>
    </xdr:to>
    <xdr:graphicFrame macro="">
      <xdr:nvGraphicFramePr>
        <xdr:cNvPr id="5" name="Diagram 1">
          <a:extLst>
            <a:ext uri="{FF2B5EF4-FFF2-40B4-BE49-F238E27FC236}">
              <a16:creationId xmlns:a16="http://schemas.microsoft.com/office/drawing/2014/main" id="{6F50E3BC-D660-42F2-B705-DDB591D22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51</xdr:row>
      <xdr:rowOff>0</xdr:rowOff>
    </xdr:from>
    <xdr:to>
      <xdr:col>51</xdr:col>
      <xdr:colOff>3000</xdr:colOff>
      <xdr:row>79</xdr:row>
      <xdr:rowOff>66000</xdr:rowOff>
    </xdr:to>
    <xdr:graphicFrame macro="">
      <xdr:nvGraphicFramePr>
        <xdr:cNvPr id="6" name="Diagram 1">
          <a:extLst>
            <a:ext uri="{FF2B5EF4-FFF2-40B4-BE49-F238E27FC236}">
              <a16:creationId xmlns:a16="http://schemas.microsoft.com/office/drawing/2014/main" id="{11A36FA0-9E73-4925-AC3F-2A34FBBE1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0</xdr:colOff>
      <xdr:row>51</xdr:row>
      <xdr:rowOff>0</xdr:rowOff>
    </xdr:from>
    <xdr:to>
      <xdr:col>61</xdr:col>
      <xdr:colOff>0</xdr:colOff>
      <xdr:row>79</xdr:row>
      <xdr:rowOff>66000</xdr:rowOff>
    </xdr:to>
    <xdr:graphicFrame macro="">
      <xdr:nvGraphicFramePr>
        <xdr:cNvPr id="7" name="Diagram 1">
          <a:extLst>
            <a:ext uri="{FF2B5EF4-FFF2-40B4-BE49-F238E27FC236}">
              <a16:creationId xmlns:a16="http://schemas.microsoft.com/office/drawing/2014/main" id="{284CD026-41EF-465C-81E8-4E0D29C54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92</xdr:col>
      <xdr:colOff>0</xdr:colOff>
      <xdr:row>50</xdr:row>
      <xdr:rowOff>0</xdr:rowOff>
    </xdr:from>
    <xdr:to>
      <xdr:col>98</xdr:col>
      <xdr:colOff>428823</xdr:colOff>
      <xdr:row>78</xdr:row>
      <xdr:rowOff>66000</xdr:rowOff>
    </xdr:to>
    <xdr:graphicFrame macro="">
      <xdr:nvGraphicFramePr>
        <xdr:cNvPr id="8" name="Diagram 1">
          <a:extLst>
            <a:ext uri="{FF2B5EF4-FFF2-40B4-BE49-F238E27FC236}">
              <a16:creationId xmlns:a16="http://schemas.microsoft.com/office/drawing/2014/main" id="{CD643898-0EB7-4622-BCBB-36668FA2C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63</xdr:col>
      <xdr:colOff>0</xdr:colOff>
      <xdr:row>50</xdr:row>
      <xdr:rowOff>0</xdr:rowOff>
    </xdr:from>
    <xdr:to>
      <xdr:col>71</xdr:col>
      <xdr:colOff>372094</xdr:colOff>
      <xdr:row>78</xdr:row>
      <xdr:rowOff>66000</xdr:rowOff>
    </xdr:to>
    <xdr:graphicFrame macro="">
      <xdr:nvGraphicFramePr>
        <xdr:cNvPr id="9" name="Diagram 1">
          <a:extLst>
            <a:ext uri="{FF2B5EF4-FFF2-40B4-BE49-F238E27FC236}">
              <a16:creationId xmlns:a16="http://schemas.microsoft.com/office/drawing/2014/main" id="{E488E620-2FFB-4EEF-9AE0-99FFF938A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63</xdr:col>
      <xdr:colOff>0</xdr:colOff>
      <xdr:row>80</xdr:row>
      <xdr:rowOff>0</xdr:rowOff>
    </xdr:from>
    <xdr:to>
      <xdr:col>71</xdr:col>
      <xdr:colOff>372094</xdr:colOff>
      <xdr:row>108</xdr:row>
      <xdr:rowOff>66000</xdr:rowOff>
    </xdr:to>
    <xdr:graphicFrame macro="">
      <xdr:nvGraphicFramePr>
        <xdr:cNvPr id="10" name="Diagram 1">
          <a:extLst>
            <a:ext uri="{FF2B5EF4-FFF2-40B4-BE49-F238E27FC236}">
              <a16:creationId xmlns:a16="http://schemas.microsoft.com/office/drawing/2014/main" id="{48CEA9D3-8DF3-4DAC-A308-FF826284B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108</xdr:col>
      <xdr:colOff>523875</xdr:colOff>
      <xdr:row>51</xdr:row>
      <xdr:rowOff>119063</xdr:rowOff>
    </xdr:from>
    <xdr:to>
      <xdr:col>115</xdr:col>
      <xdr:colOff>133969</xdr:colOff>
      <xdr:row>84</xdr:row>
      <xdr:rowOff>185063</xdr:rowOff>
    </xdr:to>
    <xdr:graphicFrame macro="">
      <xdr:nvGraphicFramePr>
        <xdr:cNvPr id="11" name="Diagram 1">
          <a:extLst>
            <a:ext uri="{FF2B5EF4-FFF2-40B4-BE49-F238E27FC236}">
              <a16:creationId xmlns:a16="http://schemas.microsoft.com/office/drawing/2014/main" id="{5D14F406-425E-47DF-96A7-4E050E8CD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100</xdr:col>
      <xdr:colOff>23812</xdr:colOff>
      <xdr:row>52</xdr:row>
      <xdr:rowOff>154782</xdr:rowOff>
    </xdr:from>
    <xdr:to>
      <xdr:col>108</xdr:col>
      <xdr:colOff>74437</xdr:colOff>
      <xdr:row>86</xdr:row>
      <xdr:rowOff>30282</xdr:rowOff>
    </xdr:to>
    <xdr:graphicFrame macro="">
      <xdr:nvGraphicFramePr>
        <xdr:cNvPr id="12" name="Diagram 1">
          <a:extLst>
            <a:ext uri="{FF2B5EF4-FFF2-40B4-BE49-F238E27FC236}">
              <a16:creationId xmlns:a16="http://schemas.microsoft.com/office/drawing/2014/main" id="{B5DBAC86-533D-4340-AF54-90CA7DC44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100</xdr:col>
      <xdr:colOff>23812</xdr:colOff>
      <xdr:row>87</xdr:row>
      <xdr:rowOff>154782</xdr:rowOff>
    </xdr:from>
    <xdr:to>
      <xdr:col>108</xdr:col>
      <xdr:colOff>23813</xdr:colOff>
      <xdr:row>116</xdr:row>
      <xdr:rowOff>30282</xdr:rowOff>
    </xdr:to>
    <xdr:graphicFrame macro="">
      <xdr:nvGraphicFramePr>
        <xdr:cNvPr id="13" name="Diagram 1">
          <a:extLst>
            <a:ext uri="{FF2B5EF4-FFF2-40B4-BE49-F238E27FC236}">
              <a16:creationId xmlns:a16="http://schemas.microsoft.com/office/drawing/2014/main" id="{35562AEA-6E0E-4A92-A076-C1A73D04F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115</xdr:col>
      <xdr:colOff>916782</xdr:colOff>
      <xdr:row>52</xdr:row>
      <xdr:rowOff>71437</xdr:rowOff>
    </xdr:from>
    <xdr:to>
      <xdr:col>125</xdr:col>
      <xdr:colOff>479250</xdr:colOff>
      <xdr:row>85</xdr:row>
      <xdr:rowOff>137437</xdr:rowOff>
    </xdr:to>
    <xdr:graphicFrame macro="">
      <xdr:nvGraphicFramePr>
        <xdr:cNvPr id="14" name="Diagram 1">
          <a:extLst>
            <a:ext uri="{FF2B5EF4-FFF2-40B4-BE49-F238E27FC236}">
              <a16:creationId xmlns:a16="http://schemas.microsoft.com/office/drawing/2014/main" id="{F4B93A60-AF38-46FB-955A-B9424E867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:BF13"/>
  <sheetViews>
    <sheetView zoomScale="80" zoomScaleNormal="80" workbookViewId="0">
      <selection activeCell="Q12" sqref="A1:Q12"/>
    </sheetView>
  </sheetViews>
  <sheetFormatPr defaultColWidth="9.140625" defaultRowHeight="15" x14ac:dyDescent="0.25"/>
  <cols>
    <col min="1" max="1" width="12.5703125" style="34" customWidth="1"/>
    <col min="2" max="2" width="15.140625" style="34" customWidth="1"/>
    <col min="3" max="3" width="16.5703125" style="34" customWidth="1"/>
    <col min="4" max="4" width="9.85546875" style="34" customWidth="1"/>
    <col min="5" max="5" width="11.85546875" style="34" customWidth="1"/>
    <col min="6" max="6" width="11.5703125" style="34" customWidth="1"/>
    <col min="7" max="7" width="12.7109375" style="34" customWidth="1"/>
    <col min="8" max="9" width="13.7109375" style="34" customWidth="1"/>
    <col min="10" max="10" width="13" style="34" customWidth="1"/>
    <col min="11" max="11" width="12.140625" style="34" customWidth="1"/>
    <col min="12" max="12" width="12.5703125" style="34" customWidth="1"/>
    <col min="13" max="13" width="11.85546875" style="34" customWidth="1"/>
    <col min="14" max="14" width="12.42578125" style="34" bestFit="1" customWidth="1"/>
    <col min="15" max="15" width="11.28515625" style="34" customWidth="1"/>
    <col min="16" max="16" width="11.140625" style="34" customWidth="1"/>
    <col min="17" max="17" width="11.42578125" style="34" customWidth="1"/>
    <col min="18" max="18" width="20.5703125" style="34" bestFit="1" customWidth="1"/>
    <col min="19" max="19" width="10.140625" style="34" customWidth="1"/>
    <col min="20" max="20" width="10.28515625" style="34" customWidth="1"/>
    <col min="21" max="21" width="9.140625" style="34"/>
    <col min="22" max="22" width="13" style="34" bestFit="1" customWidth="1"/>
    <col min="23" max="23" width="10.7109375" style="34" customWidth="1"/>
    <col min="24" max="24" width="9.42578125" style="34" customWidth="1"/>
    <col min="25" max="26" width="13.7109375" style="34" bestFit="1" customWidth="1"/>
    <col min="27" max="27" width="14.42578125" style="34" bestFit="1" customWidth="1"/>
    <col min="28" max="31" width="10.7109375" style="34" customWidth="1"/>
    <col min="32" max="32" width="12.7109375" style="34" bestFit="1" customWidth="1"/>
    <col min="33" max="33" width="9.140625" style="34"/>
    <col min="34" max="34" width="19.140625" style="34" bestFit="1" customWidth="1"/>
    <col min="35" max="35" width="10.140625" style="34" customWidth="1"/>
    <col min="36" max="36" width="10.28515625" style="34" customWidth="1"/>
    <col min="37" max="37" width="10.42578125" style="34" customWidth="1"/>
    <col min="38" max="38" width="10" style="34" customWidth="1"/>
    <col min="39" max="39" width="11.7109375" style="34" customWidth="1"/>
    <col min="40" max="40" width="13.140625" style="34" bestFit="1" customWidth="1"/>
    <col min="41" max="41" width="12.28515625" style="34" bestFit="1" customWidth="1"/>
    <col min="42" max="42" width="14.7109375" style="34" bestFit="1" customWidth="1"/>
    <col min="43" max="43" width="14.7109375" style="34" customWidth="1"/>
    <col min="44" max="44" width="10.5703125" style="34" bestFit="1" customWidth="1"/>
    <col min="45" max="45" width="15" style="34" bestFit="1" customWidth="1"/>
    <col min="46" max="47" width="15" style="34" customWidth="1"/>
    <col min="48" max="48" width="17.7109375" style="34" bestFit="1" customWidth="1"/>
    <col min="49" max="49" width="17.7109375" style="34" customWidth="1"/>
    <col min="50" max="50" width="19.85546875" style="34" bestFit="1" customWidth="1"/>
    <col min="51" max="55" width="19.85546875" style="34" customWidth="1"/>
    <col min="56" max="56" width="12.85546875" style="34" customWidth="1"/>
    <col min="57" max="57" width="2.5703125" style="34" customWidth="1"/>
    <col min="58" max="58" width="16" style="34" customWidth="1"/>
    <col min="59" max="59" width="15.28515625" style="34" bestFit="1" customWidth="1"/>
    <col min="60" max="60" width="16" style="34" customWidth="1"/>
    <col min="61" max="61" width="12.85546875" style="34" customWidth="1"/>
    <col min="62" max="62" width="14.7109375" style="34" bestFit="1" customWidth="1"/>
    <col min="63" max="63" width="15.7109375" style="34" customWidth="1"/>
    <col min="64" max="64" width="16.28515625" style="34" customWidth="1"/>
    <col min="65" max="65" width="20" style="34" customWidth="1"/>
    <col min="66" max="66" width="10.28515625" style="34" bestFit="1" customWidth="1"/>
    <col min="67" max="67" width="14.85546875" style="34" bestFit="1" customWidth="1"/>
    <col min="68" max="68" width="8.42578125" style="34" bestFit="1" customWidth="1"/>
    <col min="69" max="69" width="7.140625" style="34" bestFit="1" customWidth="1"/>
    <col min="70" max="71" width="12.28515625" style="34" bestFit="1" customWidth="1"/>
    <col min="72" max="72" width="15.28515625" style="34" bestFit="1" customWidth="1"/>
    <col min="73" max="73" width="15.28515625" style="34" customWidth="1"/>
    <col min="74" max="74" width="11.5703125" style="34" customWidth="1"/>
    <col min="75" max="76" width="14.85546875" style="34" bestFit="1" customWidth="1"/>
    <col min="77" max="77" width="14.85546875" style="34" customWidth="1"/>
    <col min="78" max="78" width="12.140625" style="34" customWidth="1"/>
    <col min="79" max="79" width="15.42578125" style="34" customWidth="1"/>
    <col min="80" max="80" width="19.42578125" style="34" bestFit="1" customWidth="1"/>
    <col min="81" max="81" width="14.5703125" style="34" bestFit="1" customWidth="1"/>
    <col min="82" max="82" width="16.28515625" style="34" bestFit="1" customWidth="1"/>
    <col min="83" max="16384" width="9.140625" style="34"/>
  </cols>
  <sheetData>
    <row r="1" spans="18:58" x14ac:dyDescent="0.25">
      <c r="R1" s="89" t="s">
        <v>200</v>
      </c>
      <c r="S1" s="90"/>
      <c r="T1" s="90"/>
      <c r="U1" s="90"/>
      <c r="V1" s="90"/>
      <c r="W1" s="91"/>
    </row>
    <row r="2" spans="18:58" x14ac:dyDescent="0.25">
      <c r="R2" s="92"/>
      <c r="S2" s="93" t="s">
        <v>202</v>
      </c>
      <c r="T2" s="93" t="s">
        <v>201</v>
      </c>
      <c r="U2" s="93"/>
      <c r="V2" s="93" t="s">
        <v>201</v>
      </c>
      <c r="W2" s="94"/>
    </row>
    <row r="3" spans="18:58" x14ac:dyDescent="0.25">
      <c r="R3" s="92" t="s">
        <v>0</v>
      </c>
      <c r="S3" s="93">
        <v>2.8889999999999998</v>
      </c>
      <c r="T3" s="93" t="s">
        <v>189</v>
      </c>
      <c r="U3" s="93" t="s">
        <v>31</v>
      </c>
      <c r="V3" s="93" t="s">
        <v>53</v>
      </c>
      <c r="W3" s="94">
        <v>64809.761643116442</v>
      </c>
    </row>
    <row r="4" spans="18:58" x14ac:dyDescent="0.25">
      <c r="R4" s="92" t="s">
        <v>32</v>
      </c>
      <c r="S4" s="93">
        <v>0</v>
      </c>
      <c r="T4" s="93" t="s">
        <v>190</v>
      </c>
      <c r="U4" s="93" t="s">
        <v>31</v>
      </c>
      <c r="V4" s="93" t="s">
        <v>50</v>
      </c>
      <c r="W4" s="94" t="s">
        <v>31</v>
      </c>
    </row>
    <row r="5" spans="18:58" x14ac:dyDescent="0.25">
      <c r="R5" s="92" t="s">
        <v>33</v>
      </c>
      <c r="S5" s="93">
        <v>0</v>
      </c>
      <c r="T5" s="93" t="s">
        <v>191</v>
      </c>
      <c r="U5" s="93" t="s">
        <v>31</v>
      </c>
      <c r="V5" s="93" t="s">
        <v>51</v>
      </c>
      <c r="W5" s="94" t="s">
        <v>31</v>
      </c>
    </row>
    <row r="6" spans="18:58" x14ac:dyDescent="0.25">
      <c r="R6" s="92" t="s">
        <v>176</v>
      </c>
      <c r="S6" s="93">
        <v>8.0733333333333324</v>
      </c>
      <c r="T6" s="93" t="s">
        <v>54</v>
      </c>
      <c r="U6" s="93">
        <v>2840371.1658671247</v>
      </c>
      <c r="V6" s="93" t="s">
        <v>192</v>
      </c>
      <c r="W6" s="94">
        <v>16177.272087454601</v>
      </c>
    </row>
    <row r="7" spans="18:58" x14ac:dyDescent="0.25">
      <c r="R7" s="92" t="s">
        <v>1</v>
      </c>
      <c r="S7" s="93">
        <v>10.427333333333333</v>
      </c>
      <c r="T7" s="93" t="s">
        <v>48</v>
      </c>
      <c r="U7" s="93">
        <v>2790461.4442220801</v>
      </c>
      <c r="V7" s="93" t="s">
        <v>52</v>
      </c>
      <c r="W7" s="94">
        <v>4955.2344378605812</v>
      </c>
    </row>
    <row r="8" spans="18:58" x14ac:dyDescent="0.25">
      <c r="R8" s="92" t="s">
        <v>2</v>
      </c>
      <c r="S8" s="93">
        <v>14.026666666666666</v>
      </c>
      <c r="T8" s="93" t="s">
        <v>193</v>
      </c>
      <c r="U8" s="93">
        <v>2727445.5325029353</v>
      </c>
      <c r="V8" s="93" t="s">
        <v>49</v>
      </c>
      <c r="W8" s="94">
        <v>5399.9508131515095</v>
      </c>
    </row>
    <row r="9" spans="18:58" x14ac:dyDescent="0.25">
      <c r="R9" s="92" t="s">
        <v>43</v>
      </c>
      <c r="S9" s="93">
        <v>16.278666666666666</v>
      </c>
      <c r="T9" s="93" t="s">
        <v>61</v>
      </c>
      <c r="U9" s="93">
        <v>5716926.3375418158</v>
      </c>
      <c r="V9" s="93" t="s">
        <v>194</v>
      </c>
      <c r="W9" s="94">
        <v>12136.309499131992</v>
      </c>
    </row>
    <row r="10" spans="18:58" x14ac:dyDescent="0.25">
      <c r="R10" s="92" t="s">
        <v>195</v>
      </c>
      <c r="S10" s="93">
        <v>18.008666666666667</v>
      </c>
      <c r="T10" s="93" t="s">
        <v>62</v>
      </c>
      <c r="U10" s="93">
        <v>5807952.7892120527</v>
      </c>
      <c r="V10" s="93" t="s">
        <v>196</v>
      </c>
      <c r="W10" s="94">
        <v>14176.164254876476</v>
      </c>
    </row>
    <row r="11" spans="18:58" x14ac:dyDescent="0.25">
      <c r="R11" s="92" t="s">
        <v>177</v>
      </c>
      <c r="S11" s="93">
        <v>23.7745</v>
      </c>
      <c r="T11" s="93" t="s">
        <v>175</v>
      </c>
      <c r="U11" s="93">
        <v>8698110.4290166683</v>
      </c>
      <c r="V11" s="93" t="s">
        <v>197</v>
      </c>
      <c r="W11" s="94">
        <v>9767.9822837710526</v>
      </c>
    </row>
    <row r="12" spans="18:58" ht="15.75" thickBot="1" x14ac:dyDescent="0.3">
      <c r="R12" s="95" t="s">
        <v>198</v>
      </c>
      <c r="S12" s="96">
        <v>24.1675</v>
      </c>
      <c r="T12" s="96" t="s">
        <v>185</v>
      </c>
      <c r="U12" s="96">
        <v>8855983.9090606049</v>
      </c>
      <c r="V12" s="96" t="s">
        <v>199</v>
      </c>
      <c r="W12" s="97">
        <v>11813.412521552067</v>
      </c>
    </row>
    <row r="13" spans="18:58" x14ac:dyDescent="0.25">
      <c r="BF13" s="11"/>
    </row>
  </sheetData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E11" sqref="E11"/>
    </sheetView>
  </sheetViews>
  <sheetFormatPr defaultRowHeight="15" x14ac:dyDescent="0.25"/>
  <cols>
    <col min="1" max="9" width="9.140625" style="34"/>
    <col min="10" max="10" width="13.28515625" style="34" customWidth="1"/>
    <col min="11" max="13" width="9.140625" style="34"/>
    <col min="14" max="14" width="10.5703125" style="34" bestFit="1" customWidth="1"/>
    <col min="15" max="16384" width="9.140625" style="34"/>
  </cols>
  <sheetData>
    <row r="1" spans="1:14" x14ac:dyDescent="0.25">
      <c r="B1" s="40" t="s">
        <v>183</v>
      </c>
      <c r="C1" s="75"/>
      <c r="D1" s="38"/>
      <c r="E1" s="38"/>
      <c r="I1" s="35"/>
      <c r="M1" s="35"/>
    </row>
    <row r="2" spans="1:14" x14ac:dyDescent="0.25">
      <c r="B2" s="35" t="s">
        <v>48</v>
      </c>
      <c r="C2" s="99">
        <v>3306618.0752500701</v>
      </c>
      <c r="D2" s="1" t="s">
        <v>5</v>
      </c>
      <c r="I2" s="35"/>
      <c r="J2" s="21"/>
    </row>
    <row r="3" spans="1:14" x14ac:dyDescent="0.25">
      <c r="B3" s="35" t="s">
        <v>53</v>
      </c>
      <c r="C3" s="99">
        <v>75668.221377827416</v>
      </c>
      <c r="D3" s="1" t="s">
        <v>5</v>
      </c>
      <c r="H3" s="21"/>
      <c r="I3" s="35"/>
      <c r="J3" s="21"/>
      <c r="L3" s="35"/>
      <c r="M3" s="99"/>
    </row>
    <row r="4" spans="1:14" x14ac:dyDescent="0.25">
      <c r="B4" s="35" t="s">
        <v>50</v>
      </c>
      <c r="C4" s="99">
        <v>7369.8271999999997</v>
      </c>
      <c r="D4" s="1" t="s">
        <v>5</v>
      </c>
      <c r="F4" s="34" t="s">
        <v>204</v>
      </c>
      <c r="I4" s="35"/>
      <c r="J4" s="21"/>
      <c r="L4" s="35"/>
      <c r="M4" s="99"/>
    </row>
    <row r="5" spans="1:14" x14ac:dyDescent="0.25">
      <c r="B5" s="35" t="s">
        <v>51</v>
      </c>
      <c r="C5" s="99">
        <v>5755.5434999999998</v>
      </c>
      <c r="D5" s="1" t="s">
        <v>5</v>
      </c>
      <c r="F5" s="34" t="s">
        <v>204</v>
      </c>
      <c r="I5" s="35"/>
      <c r="J5" s="21"/>
      <c r="L5" s="35"/>
      <c r="M5" s="99"/>
      <c r="N5" s="11"/>
    </row>
    <row r="6" spans="1:14" x14ac:dyDescent="0.25">
      <c r="B6" s="35" t="s">
        <v>52</v>
      </c>
      <c r="C6" s="99">
        <v>5318.2108806714523</v>
      </c>
      <c r="D6" s="1" t="s">
        <v>5</v>
      </c>
      <c r="F6" s="34" t="s">
        <v>205</v>
      </c>
      <c r="I6" s="35"/>
      <c r="J6" s="21"/>
      <c r="L6" s="35"/>
      <c r="M6" s="99"/>
      <c r="N6" s="11"/>
    </row>
    <row r="7" spans="1:14" x14ac:dyDescent="0.25">
      <c r="B7" s="35" t="s">
        <v>49</v>
      </c>
      <c r="C7" s="21">
        <v>5366.4085999999998</v>
      </c>
      <c r="D7" s="1" t="s">
        <v>5</v>
      </c>
      <c r="F7" s="34" t="s">
        <v>204</v>
      </c>
      <c r="I7" s="35"/>
      <c r="J7" s="21"/>
      <c r="L7" s="35"/>
      <c r="M7" s="99"/>
    </row>
    <row r="8" spans="1:14" x14ac:dyDescent="0.25">
      <c r="A8" s="26"/>
      <c r="B8" s="35" t="s">
        <v>61</v>
      </c>
      <c r="C8" s="99">
        <v>6701790.3860058412</v>
      </c>
      <c r="D8" s="1" t="s">
        <v>5</v>
      </c>
      <c r="G8" s="19"/>
      <c r="I8" s="35"/>
      <c r="J8" s="21"/>
      <c r="L8" s="35"/>
      <c r="M8" s="99"/>
      <c r="N8" s="11"/>
    </row>
    <row r="9" spans="1:14" x14ac:dyDescent="0.25">
      <c r="B9" s="35" t="s">
        <v>175</v>
      </c>
      <c r="C9" s="99">
        <v>10252315.323150016</v>
      </c>
      <c r="D9" s="1" t="s">
        <v>5</v>
      </c>
      <c r="G9" s="19"/>
      <c r="I9" s="35"/>
      <c r="J9" s="21"/>
      <c r="L9" s="35"/>
      <c r="M9" s="99"/>
    </row>
    <row r="10" spans="1:14" x14ac:dyDescent="0.25">
      <c r="B10" s="35" t="s">
        <v>54</v>
      </c>
      <c r="C10" s="99">
        <v>3359980.8275419176</v>
      </c>
      <c r="D10" s="1" t="s">
        <v>5</v>
      </c>
      <c r="I10" s="35"/>
      <c r="J10" s="21"/>
      <c r="L10" s="35"/>
      <c r="M10" s="99"/>
    </row>
    <row r="11" spans="1:14" x14ac:dyDescent="0.25">
      <c r="B11" s="35" t="s">
        <v>185</v>
      </c>
      <c r="C11" s="99">
        <v>10382908.250316774</v>
      </c>
      <c r="D11" s="1" t="s">
        <v>5</v>
      </c>
      <c r="L11" s="35"/>
      <c r="M11" s="99"/>
    </row>
    <row r="12" spans="1:14" x14ac:dyDescent="0.25">
      <c r="L12" s="35"/>
      <c r="M12" s="9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D43" sqref="D43"/>
    </sheetView>
  </sheetViews>
  <sheetFormatPr defaultRowHeight="15" x14ac:dyDescent="0.25"/>
  <sheetData>
    <row r="1" spans="1:17" x14ac:dyDescent="0.25">
      <c r="A1" s="34"/>
      <c r="B1" s="40" t="s">
        <v>65</v>
      </c>
      <c r="C1" s="75"/>
      <c r="D1" s="38"/>
      <c r="E1" s="38"/>
      <c r="F1" s="34"/>
      <c r="G1" s="34"/>
      <c r="H1" s="34"/>
      <c r="I1" s="35" t="s">
        <v>181</v>
      </c>
      <c r="J1" s="34"/>
      <c r="K1" s="34"/>
      <c r="L1" s="34"/>
      <c r="M1" s="35" t="s">
        <v>183</v>
      </c>
      <c r="N1" s="34"/>
      <c r="O1" s="34"/>
      <c r="P1" s="34"/>
      <c r="Q1" s="34"/>
    </row>
    <row r="2" spans="1:17" x14ac:dyDescent="0.25">
      <c r="A2" s="34"/>
      <c r="B2" s="35" t="s">
        <v>48</v>
      </c>
      <c r="C2" s="98">
        <v>2790461.4442220801</v>
      </c>
      <c r="D2" s="1" t="s">
        <v>5</v>
      </c>
      <c r="E2" s="34"/>
      <c r="F2" s="34"/>
      <c r="G2" s="34"/>
      <c r="H2" s="34"/>
      <c r="I2" s="35" t="s">
        <v>48</v>
      </c>
      <c r="J2" s="21">
        <v>3425773.2348769982</v>
      </c>
      <c r="K2" s="34"/>
      <c r="L2" s="34"/>
      <c r="M2" s="35" t="s">
        <v>48</v>
      </c>
      <c r="N2" s="21">
        <v>3306618.0752500668</v>
      </c>
      <c r="O2" s="34"/>
      <c r="P2" s="34"/>
      <c r="Q2" s="34"/>
    </row>
    <row r="3" spans="1:17" x14ac:dyDescent="0.25">
      <c r="A3" s="34"/>
      <c r="B3" s="35" t="s">
        <v>53</v>
      </c>
      <c r="C3" s="98">
        <v>64809.761643116442</v>
      </c>
      <c r="D3" s="1" t="s">
        <v>5</v>
      </c>
      <c r="E3" s="34"/>
      <c r="F3" s="34"/>
      <c r="G3" s="34"/>
      <c r="H3" s="21"/>
      <c r="I3" s="35" t="s">
        <v>53</v>
      </c>
      <c r="J3" s="21">
        <v>70238.8505</v>
      </c>
      <c r="K3" s="34"/>
      <c r="L3" s="34"/>
      <c r="M3" s="35" t="s">
        <v>53</v>
      </c>
      <c r="N3" s="21">
        <v>75668.221377827416</v>
      </c>
      <c r="O3" s="34"/>
      <c r="P3" s="34"/>
      <c r="Q3" s="34"/>
    </row>
    <row r="4" spans="1:17" x14ac:dyDescent="0.25">
      <c r="A4" s="34"/>
      <c r="B4" s="35" t="s">
        <v>50</v>
      </c>
      <c r="C4" s="98">
        <v>7369.8271999999997</v>
      </c>
      <c r="D4" s="1" t="s">
        <v>5</v>
      </c>
      <c r="E4" s="34"/>
      <c r="F4" s="34" t="e">
        <f>C4/#REF!</f>
        <v>#REF!</v>
      </c>
      <c r="G4" s="34"/>
      <c r="H4" s="34"/>
      <c r="I4" s="35" t="s">
        <v>50</v>
      </c>
      <c r="J4" s="21">
        <v>7369.8271999999997</v>
      </c>
      <c r="K4" s="34"/>
      <c r="L4" s="34"/>
      <c r="M4" s="35" t="s">
        <v>50</v>
      </c>
      <c r="N4" s="21">
        <v>7369.8271999999997</v>
      </c>
      <c r="O4" s="11" t="s">
        <v>184</v>
      </c>
      <c r="P4" s="34"/>
      <c r="Q4" s="34"/>
    </row>
    <row r="5" spans="1:17" x14ac:dyDescent="0.25">
      <c r="A5" s="34"/>
      <c r="B5" s="35" t="s">
        <v>51</v>
      </c>
      <c r="C5" s="98">
        <v>5755.5434999999998</v>
      </c>
      <c r="D5" s="1" t="s">
        <v>5</v>
      </c>
      <c r="E5" s="34"/>
      <c r="F5" s="34"/>
      <c r="G5" s="34"/>
      <c r="H5" s="34"/>
      <c r="I5" s="35" t="s">
        <v>51</v>
      </c>
      <c r="J5" s="21">
        <v>5755.5434999999998</v>
      </c>
      <c r="K5" s="34"/>
      <c r="L5" s="34"/>
      <c r="M5" s="35" t="s">
        <v>51</v>
      </c>
      <c r="N5" s="21">
        <v>5755.5434999999998</v>
      </c>
      <c r="O5" s="11" t="s">
        <v>184</v>
      </c>
      <c r="P5" s="34"/>
      <c r="Q5" s="34"/>
    </row>
    <row r="6" spans="1:17" x14ac:dyDescent="0.25">
      <c r="A6" s="34"/>
      <c r="B6" s="35" t="s">
        <v>52</v>
      </c>
      <c r="C6" s="98">
        <v>4955.2344378605812</v>
      </c>
      <c r="D6" s="1" t="s">
        <v>5</v>
      </c>
      <c r="E6" s="34"/>
      <c r="F6" s="34" t="s">
        <v>169</v>
      </c>
      <c r="G6" s="34"/>
      <c r="H6" s="34" t="s">
        <v>180</v>
      </c>
      <c r="I6" s="35" t="s">
        <v>52</v>
      </c>
      <c r="J6" s="21">
        <v>6212.8143</v>
      </c>
      <c r="K6" s="34"/>
      <c r="L6" s="34"/>
      <c r="M6" s="35" t="s">
        <v>52</v>
      </c>
      <c r="N6" s="21">
        <v>5318.2108806714523</v>
      </c>
      <c r="O6" s="34"/>
      <c r="P6" s="34"/>
      <c r="Q6" s="34"/>
    </row>
    <row r="7" spans="1:17" x14ac:dyDescent="0.25">
      <c r="A7" s="34"/>
      <c r="B7" s="35" t="s">
        <v>49</v>
      </c>
      <c r="C7" s="98">
        <v>5399.9508131515095</v>
      </c>
      <c r="D7" s="1" t="s">
        <v>5</v>
      </c>
      <c r="E7" s="34"/>
      <c r="F7" s="34">
        <f>0.97*7597.76</f>
        <v>7369.8271999999997</v>
      </c>
      <c r="G7" s="34"/>
      <c r="H7" s="34"/>
      <c r="I7" s="35" t="s">
        <v>49</v>
      </c>
      <c r="J7" s="21">
        <v>5366.4085999999998</v>
      </c>
      <c r="K7" s="34"/>
      <c r="L7" s="34"/>
      <c r="M7" s="35" t="s">
        <v>49</v>
      </c>
      <c r="N7" s="21">
        <v>6397.581492446152</v>
      </c>
      <c r="O7" s="11" t="s">
        <v>186</v>
      </c>
      <c r="P7" s="34"/>
      <c r="Q7" s="34"/>
    </row>
    <row r="8" spans="1:17" x14ac:dyDescent="0.25">
      <c r="A8" s="26"/>
      <c r="B8" s="35" t="s">
        <v>61</v>
      </c>
      <c r="C8" s="98">
        <v>5716926.3375418158</v>
      </c>
      <c r="D8" s="1" t="s">
        <v>5</v>
      </c>
      <c r="E8" s="34"/>
      <c r="F8" s="34"/>
      <c r="G8" s="19"/>
      <c r="H8" s="34"/>
      <c r="I8" s="35" t="s">
        <v>61</v>
      </c>
      <c r="J8" s="21">
        <v>6984270.0452048816</v>
      </c>
      <c r="K8" s="34"/>
      <c r="L8" s="34"/>
      <c r="M8" s="35" t="s">
        <v>61</v>
      </c>
      <c r="N8" s="21">
        <v>6701790.3860058412</v>
      </c>
      <c r="O8" s="34"/>
      <c r="P8" s="34"/>
      <c r="Q8" s="34"/>
    </row>
    <row r="9" spans="1:17" x14ac:dyDescent="0.25">
      <c r="A9" s="34"/>
      <c r="B9" s="35" t="s">
        <v>175</v>
      </c>
      <c r="C9" s="98">
        <v>8698110.4290166683</v>
      </c>
      <c r="D9" s="1" t="s">
        <v>5</v>
      </c>
      <c r="E9" s="34"/>
      <c r="F9" s="34"/>
      <c r="G9" s="19"/>
      <c r="H9" s="34"/>
      <c r="I9" s="35" t="s">
        <v>175</v>
      </c>
      <c r="J9" s="21">
        <v>10517532.284177672</v>
      </c>
      <c r="K9" s="34"/>
      <c r="L9" s="34"/>
      <c r="M9" s="35" t="s">
        <v>175</v>
      </c>
      <c r="N9" s="21">
        <v>10252315.323150016</v>
      </c>
      <c r="O9" s="34"/>
      <c r="P9" s="34"/>
      <c r="Q9" s="34"/>
    </row>
    <row r="10" spans="1:17" x14ac:dyDescent="0.25">
      <c r="A10" s="34"/>
      <c r="B10" s="35" t="s">
        <v>54</v>
      </c>
      <c r="C10" s="98">
        <v>2840371.1658671247</v>
      </c>
      <c r="D10" s="1" t="s">
        <v>5</v>
      </c>
      <c r="E10" s="34"/>
      <c r="F10" s="34"/>
      <c r="G10" s="34"/>
      <c r="H10" s="34"/>
      <c r="I10" s="35" t="s">
        <v>54</v>
      </c>
      <c r="J10" s="21">
        <v>3488772.0644695866</v>
      </c>
      <c r="K10" s="34"/>
      <c r="L10" s="34"/>
      <c r="M10" s="35" t="s">
        <v>54</v>
      </c>
      <c r="N10" s="21">
        <v>3359980.8275419176</v>
      </c>
      <c r="O10" s="34"/>
      <c r="P10" s="34"/>
      <c r="Q10" s="34"/>
    </row>
    <row r="11" spans="1:17" x14ac:dyDescent="0.25">
      <c r="A11" s="34"/>
      <c r="B11" s="35" t="s">
        <v>185</v>
      </c>
      <c r="C11" s="98">
        <v>8855983.9090606049</v>
      </c>
      <c r="D11" s="1" t="s">
        <v>5</v>
      </c>
      <c r="E11" s="34"/>
      <c r="F11" s="34"/>
      <c r="G11" s="34"/>
      <c r="H11" s="34"/>
      <c r="I11" s="34"/>
      <c r="J11" s="34"/>
      <c r="K11" s="34"/>
      <c r="L11" s="34"/>
      <c r="M11" s="35" t="s">
        <v>185</v>
      </c>
      <c r="N11" s="34">
        <v>10382908.250316774</v>
      </c>
      <c r="O11" s="34"/>
      <c r="P11" s="34"/>
      <c r="Q11" s="34"/>
    </row>
    <row r="12" spans="1:17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63"/>
  <sheetViews>
    <sheetView topLeftCell="AG1" zoomScale="80" zoomScaleNormal="80" workbookViewId="0">
      <selection activeCell="AR1" sqref="AR1"/>
    </sheetView>
  </sheetViews>
  <sheetFormatPr defaultColWidth="9.140625" defaultRowHeight="15" x14ac:dyDescent="0.25"/>
  <cols>
    <col min="1" max="1" width="20.140625" style="34" customWidth="1"/>
    <col min="2" max="2" width="24.7109375" style="76" customWidth="1"/>
    <col min="3" max="3" width="14.85546875" style="76" bestFit="1" customWidth="1"/>
    <col min="4" max="4" width="15.5703125" style="76" customWidth="1"/>
    <col min="5" max="5" width="16.5703125" style="76" customWidth="1"/>
    <col min="6" max="6" width="22.28515625" style="76" customWidth="1"/>
    <col min="7" max="7" width="9.85546875" style="76" customWidth="1"/>
    <col min="8" max="8" width="14.7109375" style="76" customWidth="1"/>
    <col min="9" max="9" width="13.28515625" style="76" customWidth="1"/>
    <col min="10" max="10" width="13.5703125" style="76" bestFit="1" customWidth="1"/>
    <col min="11" max="11" width="13" style="76" bestFit="1" customWidth="1"/>
    <col min="12" max="12" width="14.42578125" style="76" bestFit="1" customWidth="1"/>
    <col min="13" max="13" width="21" style="76" customWidth="1"/>
    <col min="14" max="19" width="12.5703125" style="76" customWidth="1"/>
    <col min="20" max="20" width="12.85546875" style="76" customWidth="1"/>
    <col min="21" max="23" width="13.7109375" style="34" customWidth="1"/>
    <col min="24" max="24" width="10" style="34" bestFit="1" customWidth="1"/>
    <col min="25" max="25" width="42.28515625" style="34" bestFit="1" customWidth="1"/>
    <col min="26" max="26" width="13.28515625" style="34" customWidth="1"/>
    <col min="27" max="31" width="13.7109375" style="34" customWidth="1"/>
    <col min="32" max="32" width="12.140625" style="34" customWidth="1"/>
    <col min="33" max="33" width="11" style="34" customWidth="1"/>
    <col min="34" max="34" width="17.5703125" style="34" customWidth="1"/>
    <col min="35" max="35" width="14.42578125" style="34" customWidth="1"/>
    <col min="36" max="36" width="12.5703125" style="34" customWidth="1"/>
    <col min="37" max="37" width="15.140625" style="34" customWidth="1"/>
    <col min="38" max="38" width="16.5703125" style="34" customWidth="1"/>
    <col min="39" max="39" width="9.85546875" style="34" customWidth="1"/>
    <col min="40" max="40" width="11.85546875" style="34" customWidth="1"/>
    <col min="41" max="41" width="11.5703125" style="34" customWidth="1"/>
    <col min="42" max="42" width="12.7109375" style="34" customWidth="1"/>
    <col min="43" max="44" width="13.7109375" style="34" customWidth="1"/>
    <col min="45" max="45" width="13" style="34" customWidth="1"/>
    <col min="46" max="46" width="12.140625" style="34" customWidth="1"/>
    <col min="47" max="47" width="12.5703125" style="34" customWidth="1"/>
    <col min="48" max="48" width="11.85546875" style="34" customWidth="1"/>
    <col min="49" max="49" width="12.42578125" style="34" bestFit="1" customWidth="1"/>
    <col min="50" max="50" width="11.28515625" style="34" customWidth="1"/>
    <col min="51" max="51" width="11.140625" style="34" customWidth="1"/>
    <col min="52" max="52" width="11.42578125" style="34" customWidth="1"/>
    <col min="53" max="53" width="20.5703125" style="34" bestFit="1" customWidth="1"/>
    <col min="54" max="54" width="10.140625" style="34" customWidth="1"/>
    <col min="55" max="55" width="10.28515625" style="34" customWidth="1"/>
    <col min="56" max="56" width="9.140625" style="34"/>
    <col min="57" max="57" width="13" style="34" bestFit="1" customWidth="1"/>
    <col min="58" max="58" width="10.7109375" style="34" customWidth="1"/>
    <col min="59" max="59" width="9.42578125" style="34" customWidth="1"/>
    <col min="60" max="61" width="13.7109375" style="34" bestFit="1" customWidth="1"/>
    <col min="62" max="62" width="14.42578125" style="34" bestFit="1" customWidth="1"/>
    <col min="63" max="66" width="10.7109375" style="34" customWidth="1"/>
    <col min="67" max="67" width="12.7109375" style="34" bestFit="1" customWidth="1"/>
    <col min="68" max="68" width="9.140625" style="34"/>
    <col min="69" max="69" width="19.140625" style="34" bestFit="1" customWidth="1"/>
    <col min="70" max="70" width="10.140625" style="34" customWidth="1"/>
    <col min="71" max="71" width="10.28515625" style="34" customWidth="1"/>
    <col min="72" max="72" width="10.42578125" style="34" customWidth="1"/>
    <col min="73" max="73" width="10" style="34" customWidth="1"/>
    <col min="74" max="74" width="11.7109375" style="34" customWidth="1"/>
    <col min="75" max="75" width="13.140625" style="34" bestFit="1" customWidth="1"/>
    <col min="76" max="76" width="12.28515625" style="34" bestFit="1" customWidth="1"/>
    <col min="77" max="77" width="14.7109375" style="34" bestFit="1" customWidth="1"/>
    <col min="78" max="78" width="14.7109375" style="34" customWidth="1"/>
    <col min="79" max="79" width="10.5703125" style="34" bestFit="1" customWidth="1"/>
    <col min="80" max="80" width="15" style="34" bestFit="1" customWidth="1"/>
    <col min="81" max="82" width="15" style="34" customWidth="1"/>
    <col min="83" max="83" width="17.7109375" style="34" bestFit="1" customWidth="1"/>
    <col min="84" max="84" width="17.7109375" style="34" customWidth="1"/>
    <col min="85" max="85" width="19.85546875" style="34" bestFit="1" customWidth="1"/>
    <col min="86" max="90" width="19.85546875" style="34" customWidth="1"/>
    <col min="91" max="91" width="12.85546875" style="34" customWidth="1"/>
    <col min="92" max="92" width="2.5703125" style="34" customWidth="1"/>
    <col min="93" max="93" width="16" style="34" customWidth="1"/>
    <col min="94" max="94" width="15.28515625" style="34" bestFit="1" customWidth="1"/>
    <col min="95" max="95" width="16" style="34" customWidth="1"/>
    <col min="96" max="96" width="12.85546875" style="34" customWidth="1"/>
    <col min="97" max="97" width="14.7109375" style="34" bestFit="1" customWidth="1"/>
    <col min="98" max="98" width="15.7109375" style="34" customWidth="1"/>
    <col min="99" max="99" width="16.28515625" style="34" customWidth="1"/>
    <col min="100" max="100" width="20" style="34" customWidth="1"/>
    <col min="101" max="101" width="10.28515625" style="34" bestFit="1" customWidth="1"/>
    <col min="102" max="102" width="14.85546875" style="34" bestFit="1" customWidth="1"/>
    <col min="103" max="103" width="8.42578125" style="34" bestFit="1" customWidth="1"/>
    <col min="104" max="104" width="7.140625" style="34" bestFit="1" customWidth="1"/>
    <col min="105" max="106" width="12.28515625" style="34" bestFit="1" customWidth="1"/>
    <col min="107" max="107" width="15.28515625" style="34" bestFit="1" customWidth="1"/>
    <col min="108" max="108" width="15.28515625" style="34" customWidth="1"/>
    <col min="109" max="109" width="11.5703125" style="34" customWidth="1"/>
    <col min="110" max="111" width="14.85546875" style="34" bestFit="1" customWidth="1"/>
    <col min="112" max="112" width="14.85546875" style="34" customWidth="1"/>
    <col min="113" max="113" width="12.140625" style="34" customWidth="1"/>
    <col min="114" max="114" width="15.42578125" style="34" customWidth="1"/>
    <col min="115" max="115" width="19.42578125" style="34" bestFit="1" customWidth="1"/>
    <col min="116" max="116" width="14.5703125" style="34" bestFit="1" customWidth="1"/>
    <col min="117" max="117" width="16.28515625" style="34" bestFit="1" customWidth="1"/>
    <col min="118" max="16384" width="9.140625" style="34"/>
  </cols>
  <sheetData>
    <row r="1" spans="1:128" x14ac:dyDescent="0.25">
      <c r="A1" s="38" t="s">
        <v>8</v>
      </c>
      <c r="B1" s="6"/>
      <c r="C1" s="6"/>
      <c r="D1" s="6"/>
      <c r="E1" s="6"/>
      <c r="F1" s="6"/>
      <c r="G1" s="38" t="s">
        <v>12</v>
      </c>
      <c r="H1" s="38"/>
      <c r="I1" s="38"/>
      <c r="J1" s="39"/>
      <c r="K1" s="6"/>
      <c r="L1" s="40" t="s">
        <v>71</v>
      </c>
      <c r="M1" s="6"/>
      <c r="N1" s="32" t="s">
        <v>72</v>
      </c>
      <c r="O1" s="6"/>
      <c r="P1" s="6"/>
      <c r="Q1" s="40" t="s">
        <v>126</v>
      </c>
      <c r="R1" s="6"/>
      <c r="S1" s="6"/>
      <c r="T1" s="39"/>
      <c r="U1" s="39"/>
      <c r="V1" s="39"/>
      <c r="W1" s="39"/>
      <c r="X1" s="39"/>
      <c r="AH1" s="39"/>
      <c r="AI1" s="39"/>
      <c r="AK1" s="40" t="s">
        <v>65</v>
      </c>
      <c r="AL1" s="75"/>
      <c r="AM1" s="38"/>
      <c r="AN1" s="38"/>
      <c r="AR1" s="35" t="s">
        <v>181</v>
      </c>
      <c r="AV1" s="35" t="s">
        <v>183</v>
      </c>
      <c r="BA1" s="34" t="s">
        <v>200</v>
      </c>
    </row>
    <row r="2" spans="1:128" x14ac:dyDescent="0.25">
      <c r="A2" s="35" t="s">
        <v>9</v>
      </c>
      <c r="B2" s="50">
        <v>2.25</v>
      </c>
      <c r="C2" s="1" t="s">
        <v>10</v>
      </c>
      <c r="D2" s="1"/>
      <c r="E2" s="1"/>
      <c r="F2" s="1"/>
      <c r="G2" s="35" t="s">
        <v>11</v>
      </c>
      <c r="H2" s="34">
        <v>8.3144720000000005E-2</v>
      </c>
      <c r="I2" s="34"/>
      <c r="J2" s="34"/>
      <c r="K2" s="1"/>
      <c r="L2" s="9" t="s">
        <v>79</v>
      </c>
      <c r="Q2" s="9" t="s">
        <v>127</v>
      </c>
      <c r="T2" s="34"/>
      <c r="AK2" s="35" t="s">
        <v>48</v>
      </c>
      <c r="AL2" s="2">
        <v>2790461.4442220801</v>
      </c>
      <c r="AM2" s="1" t="s">
        <v>5</v>
      </c>
      <c r="AR2" s="35" t="s">
        <v>48</v>
      </c>
      <c r="AS2" s="21">
        <v>3425773.2348769982</v>
      </c>
      <c r="AV2" s="35" t="s">
        <v>48</v>
      </c>
      <c r="AW2" s="21">
        <v>3306618.0752500668</v>
      </c>
      <c r="BB2" s="34" t="s">
        <v>202</v>
      </c>
      <c r="BC2" s="34" t="s">
        <v>201</v>
      </c>
      <c r="BE2" s="34" t="s">
        <v>201</v>
      </c>
    </row>
    <row r="3" spans="1:128" x14ac:dyDescent="0.25">
      <c r="A3" s="35" t="s">
        <v>18</v>
      </c>
      <c r="B3" s="45">
        <v>50</v>
      </c>
      <c r="C3" s="1" t="s">
        <v>6</v>
      </c>
      <c r="D3" s="76" t="s">
        <v>17</v>
      </c>
      <c r="E3" s="4">
        <f>B3/1000*1.013/($H$2*273.15)/60</f>
        <v>3.7169979309792543E-5</v>
      </c>
      <c r="F3" s="34" t="s">
        <v>7</v>
      </c>
      <c r="G3" s="35" t="s">
        <v>13</v>
      </c>
      <c r="H3" s="34">
        <v>96485.331999999995</v>
      </c>
      <c r="I3" s="34"/>
      <c r="J3" s="34"/>
      <c r="K3" s="1"/>
      <c r="L3" s="33" t="s">
        <v>74</v>
      </c>
      <c r="M3" s="76">
        <v>-1.5139684436244401</v>
      </c>
      <c r="N3" s="3" t="s">
        <v>77</v>
      </c>
      <c r="Q3" s="9" t="s">
        <v>128</v>
      </c>
      <c r="R3" s="76">
        <v>-0.32400000000000001</v>
      </c>
      <c r="T3" s="34"/>
      <c r="AK3" s="35" t="s">
        <v>53</v>
      </c>
      <c r="AL3" s="2">
        <v>64809.761643116442</v>
      </c>
      <c r="AM3" s="1" t="s">
        <v>5</v>
      </c>
      <c r="AQ3" s="21"/>
      <c r="AR3" s="35" t="s">
        <v>53</v>
      </c>
      <c r="AS3" s="21">
        <v>70238.8505</v>
      </c>
      <c r="AV3" s="35" t="s">
        <v>53</v>
      </c>
      <c r="AW3" s="21">
        <v>75668.221377827416</v>
      </c>
      <c r="BA3" s="34" t="s">
        <v>0</v>
      </c>
      <c r="BB3" s="34">
        <v>2.8889999999999998</v>
      </c>
      <c r="BC3" s="34" t="s">
        <v>189</v>
      </c>
      <c r="BD3" s="34" t="s">
        <v>31</v>
      </c>
      <c r="BE3" s="34" t="s">
        <v>53</v>
      </c>
      <c r="BF3" s="34">
        <v>64809.761643116442</v>
      </c>
    </row>
    <row r="4" spans="1:128" x14ac:dyDescent="0.25">
      <c r="A4" s="35"/>
      <c r="B4" s="25"/>
      <c r="C4" s="58" t="s">
        <v>133</v>
      </c>
      <c r="D4" s="59" t="s">
        <v>17</v>
      </c>
      <c r="E4" s="59">
        <v>7.4339958619585078E-7</v>
      </c>
      <c r="F4" s="60" t="s">
        <v>7</v>
      </c>
      <c r="G4" s="35" t="s">
        <v>14</v>
      </c>
      <c r="H4" s="34">
        <v>2</v>
      </c>
      <c r="I4" s="34"/>
      <c r="J4" s="34"/>
      <c r="K4" s="1"/>
      <c r="L4" s="33" t="s">
        <v>75</v>
      </c>
      <c r="M4" s="76">
        <v>-0.3773612414358955</v>
      </c>
      <c r="Q4" s="9" t="s">
        <v>129</v>
      </c>
      <c r="R4" s="76">
        <v>0.97450000000000003</v>
      </c>
      <c r="T4" s="34"/>
      <c r="AK4" s="35" t="s">
        <v>50</v>
      </c>
      <c r="AL4" s="2">
        <v>7369.8271999999997</v>
      </c>
      <c r="AM4" s="1" t="s">
        <v>5</v>
      </c>
      <c r="AO4" s="34" t="e">
        <f>AL4/AE5</f>
        <v>#DIV/0!</v>
      </c>
      <c r="AR4" s="35" t="s">
        <v>50</v>
      </c>
      <c r="AS4" s="21">
        <v>7369.8271999999997</v>
      </c>
      <c r="AV4" s="35" t="s">
        <v>50</v>
      </c>
      <c r="AW4" s="21">
        <v>7369.8271999999997</v>
      </c>
      <c r="AX4" s="11" t="s">
        <v>184</v>
      </c>
      <c r="BA4" s="34" t="s">
        <v>32</v>
      </c>
      <c r="BB4" s="34">
        <v>0</v>
      </c>
      <c r="BC4" s="34" t="s">
        <v>190</v>
      </c>
      <c r="BD4" s="34" t="s">
        <v>31</v>
      </c>
      <c r="BE4" s="34" t="s">
        <v>50</v>
      </c>
      <c r="BF4" s="34" t="s">
        <v>31</v>
      </c>
    </row>
    <row r="5" spans="1:128" x14ac:dyDescent="0.25">
      <c r="A5" s="35"/>
      <c r="B5" s="25"/>
      <c r="C5" s="1"/>
      <c r="D5" s="1"/>
      <c r="E5" s="1"/>
      <c r="F5" s="1"/>
      <c r="G5" s="35" t="s">
        <v>35</v>
      </c>
      <c r="H5" s="34">
        <v>4</v>
      </c>
      <c r="I5" s="34"/>
      <c r="J5" s="34"/>
      <c r="K5" s="1"/>
      <c r="L5" s="33" t="s">
        <v>73</v>
      </c>
      <c r="M5" s="76">
        <v>0.99865264879526472</v>
      </c>
      <c r="T5" s="34"/>
      <c r="AK5" s="35" t="s">
        <v>51</v>
      </c>
      <c r="AL5" s="2">
        <v>5755.5434999999998</v>
      </c>
      <c r="AM5" s="1" t="s">
        <v>5</v>
      </c>
      <c r="AR5" s="35" t="s">
        <v>51</v>
      </c>
      <c r="AS5" s="21">
        <v>5755.5434999999998</v>
      </c>
      <c r="AV5" s="35" t="s">
        <v>51</v>
      </c>
      <c r="AW5" s="21">
        <v>5755.5434999999998</v>
      </c>
      <c r="AX5" s="11" t="s">
        <v>184</v>
      </c>
      <c r="BA5" s="34" t="s">
        <v>33</v>
      </c>
      <c r="BB5" s="34">
        <v>0</v>
      </c>
      <c r="BC5" s="34" t="s">
        <v>191</v>
      </c>
      <c r="BD5" s="34" t="s">
        <v>31</v>
      </c>
      <c r="BE5" s="34" t="s">
        <v>51</v>
      </c>
      <c r="BF5" s="34" t="s">
        <v>31</v>
      </c>
    </row>
    <row r="6" spans="1:128" x14ac:dyDescent="0.25">
      <c r="B6" s="24"/>
      <c r="G6" s="35" t="s">
        <v>41</v>
      </c>
      <c r="H6" s="31">
        <v>25569</v>
      </c>
      <c r="I6" s="23" t="s">
        <v>42</v>
      </c>
      <c r="J6" s="76">
        <v>3600</v>
      </c>
      <c r="K6" s="34"/>
      <c r="L6" s="33" t="s">
        <v>76</v>
      </c>
      <c r="M6" s="76">
        <v>1</v>
      </c>
      <c r="AK6" s="35" t="s">
        <v>52</v>
      </c>
      <c r="AL6" s="2">
        <v>4955.2344378605812</v>
      </c>
      <c r="AM6" s="1" t="s">
        <v>5</v>
      </c>
      <c r="AO6" s="34" t="s">
        <v>169</v>
      </c>
      <c r="AQ6" s="34" t="s">
        <v>180</v>
      </c>
      <c r="AR6" s="35" t="s">
        <v>52</v>
      </c>
      <c r="AS6" s="21">
        <v>6212.8143</v>
      </c>
      <c r="AV6" s="35" t="s">
        <v>52</v>
      </c>
      <c r="AW6" s="21">
        <v>5318.2108806714523</v>
      </c>
      <c r="BA6" s="34" t="s">
        <v>176</v>
      </c>
      <c r="BB6" s="34">
        <v>8.0733333333333324</v>
      </c>
      <c r="BC6" s="34" t="s">
        <v>54</v>
      </c>
      <c r="BD6" s="34">
        <v>2840371.1658671247</v>
      </c>
      <c r="BE6" s="34" t="s">
        <v>192</v>
      </c>
      <c r="BF6" s="34">
        <v>16177.272087454601</v>
      </c>
    </row>
    <row r="7" spans="1:128" x14ac:dyDescent="0.25">
      <c r="A7" s="3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U7" s="4"/>
      <c r="V7" s="4"/>
      <c r="W7" s="4"/>
      <c r="X7" s="4"/>
      <c r="AK7" s="35" t="s">
        <v>49</v>
      </c>
      <c r="AL7" s="2">
        <v>5399.9508131515095</v>
      </c>
      <c r="AM7" s="1" t="s">
        <v>5</v>
      </c>
      <c r="AO7" s="34">
        <f>0.97*7597.76</f>
        <v>7369.8271999999997</v>
      </c>
      <c r="AR7" s="35" t="s">
        <v>49</v>
      </c>
      <c r="AS7" s="21">
        <v>5366.4085999999998</v>
      </c>
      <c r="AV7" s="35" t="s">
        <v>49</v>
      </c>
      <c r="AW7" s="21">
        <v>6397.581492446152</v>
      </c>
      <c r="AX7" s="11" t="s">
        <v>186</v>
      </c>
      <c r="BA7" s="34" t="s">
        <v>1</v>
      </c>
      <c r="BB7" s="34">
        <v>10.427333333333333</v>
      </c>
      <c r="BC7" s="34" t="s">
        <v>48</v>
      </c>
      <c r="BD7" s="34">
        <v>2790461.4442220801</v>
      </c>
      <c r="BE7" s="34" t="s">
        <v>52</v>
      </c>
      <c r="BF7" s="34">
        <v>4955.2344378605812</v>
      </c>
    </row>
    <row r="8" spans="1:128" x14ac:dyDescent="0.25">
      <c r="A8" s="38" t="s">
        <v>19</v>
      </c>
      <c r="B8" s="6"/>
      <c r="C8" s="6"/>
      <c r="D8" s="7"/>
      <c r="E8" s="7"/>
      <c r="F8" s="7"/>
      <c r="G8" s="54" t="s">
        <v>125</v>
      </c>
      <c r="H8" s="7"/>
      <c r="I8" s="7"/>
      <c r="J8" s="7"/>
      <c r="K8" s="7"/>
      <c r="L8" s="6"/>
      <c r="M8" s="8"/>
      <c r="N8" s="8"/>
      <c r="O8" s="8"/>
      <c r="P8" s="39"/>
      <c r="Q8" s="39"/>
      <c r="R8" s="7"/>
      <c r="S8" s="7"/>
      <c r="T8" s="6"/>
      <c r="U8" s="39"/>
      <c r="V8" s="39"/>
      <c r="W8" s="39"/>
      <c r="X8" s="39"/>
      <c r="AA8" s="39"/>
      <c r="AB8" s="39"/>
      <c r="AC8" s="39"/>
      <c r="AD8" s="39"/>
      <c r="AE8" s="39"/>
      <c r="AF8" s="39"/>
      <c r="AG8" s="39"/>
      <c r="AH8" s="39"/>
      <c r="AI8" s="39"/>
      <c r="AJ8" s="26"/>
      <c r="AK8" s="35" t="s">
        <v>61</v>
      </c>
      <c r="AL8" s="2">
        <v>5716926.3375418158</v>
      </c>
      <c r="AM8" s="1" t="s">
        <v>5</v>
      </c>
      <c r="AP8" s="19"/>
      <c r="AR8" s="35" t="s">
        <v>61</v>
      </c>
      <c r="AS8" s="21">
        <v>6984270.0452048816</v>
      </c>
      <c r="AV8" s="35" t="s">
        <v>61</v>
      </c>
      <c r="AW8" s="21">
        <v>6701790.3860058412</v>
      </c>
      <c r="BA8" s="34" t="s">
        <v>2</v>
      </c>
      <c r="BB8" s="34">
        <v>14.026666666666666</v>
      </c>
      <c r="BC8" s="34" t="s">
        <v>193</v>
      </c>
      <c r="BD8" s="34">
        <v>2727445.5325029353</v>
      </c>
      <c r="BE8" s="34" t="s">
        <v>49</v>
      </c>
      <c r="BF8" s="34">
        <v>5399.9508131515095</v>
      </c>
    </row>
    <row r="9" spans="1:128" x14ac:dyDescent="0.25">
      <c r="A9" s="35" t="s">
        <v>20</v>
      </c>
      <c r="B9" s="50" t="s">
        <v>187</v>
      </c>
      <c r="C9" s="3"/>
      <c r="D9" s="3"/>
      <c r="E9" s="3"/>
      <c r="F9" s="3"/>
      <c r="G9" s="9" t="s">
        <v>114</v>
      </c>
      <c r="H9" s="3" t="s">
        <v>115</v>
      </c>
      <c r="R9" s="3"/>
      <c r="S9" s="3"/>
      <c r="AK9" s="35" t="s">
        <v>175</v>
      </c>
      <c r="AL9" s="2">
        <v>8698110.4290166683</v>
      </c>
      <c r="AM9" s="1" t="s">
        <v>5</v>
      </c>
      <c r="AP9" s="19"/>
      <c r="AR9" s="35" t="s">
        <v>175</v>
      </c>
      <c r="AS9" s="21">
        <v>10517532.284177672</v>
      </c>
      <c r="AV9" s="35" t="s">
        <v>175</v>
      </c>
      <c r="AW9" s="21">
        <v>10252315.323150016</v>
      </c>
      <c r="BA9" s="34" t="s">
        <v>43</v>
      </c>
      <c r="BB9" s="34">
        <v>16.278666666666666</v>
      </c>
      <c r="BC9" s="34" t="s">
        <v>61</v>
      </c>
      <c r="BD9" s="34">
        <v>5716926.3375418158</v>
      </c>
      <c r="BE9" s="34" t="s">
        <v>194</v>
      </c>
      <c r="BF9" s="34">
        <v>12136.309499131992</v>
      </c>
    </row>
    <row r="10" spans="1:128" x14ac:dyDescent="0.25">
      <c r="A10" s="35" t="s">
        <v>118</v>
      </c>
      <c r="B10" s="47">
        <v>1583415765.5</v>
      </c>
      <c r="C10" s="3" t="s">
        <v>67</v>
      </c>
      <c r="D10" s="78" t="s">
        <v>68</v>
      </c>
      <c r="E10" s="2">
        <f>(C18-B10)/60</f>
        <v>4.7583333373069765</v>
      </c>
      <c r="F10" s="3"/>
      <c r="G10" s="9" t="s">
        <v>117</v>
      </c>
      <c r="H10" s="10" t="s">
        <v>182</v>
      </c>
      <c r="I10" s="10"/>
      <c r="J10" s="10"/>
      <c r="K10" s="34"/>
      <c r="L10" s="34"/>
      <c r="R10" s="3"/>
      <c r="S10" s="3"/>
      <c r="AK10" s="35" t="s">
        <v>54</v>
      </c>
      <c r="AL10" s="2">
        <v>2840371.1658671247</v>
      </c>
      <c r="AM10" s="1" t="s">
        <v>5</v>
      </c>
      <c r="AR10" s="35" t="s">
        <v>54</v>
      </c>
      <c r="AS10" s="21">
        <v>3488772.0644695866</v>
      </c>
      <c r="AV10" s="35" t="s">
        <v>54</v>
      </c>
      <c r="AW10" s="21">
        <v>3359980.8275419176</v>
      </c>
      <c r="BA10" s="34" t="s">
        <v>195</v>
      </c>
      <c r="BB10" s="34">
        <v>18.008666666666667</v>
      </c>
      <c r="BC10" s="34" t="s">
        <v>62</v>
      </c>
      <c r="BD10" s="34">
        <v>5807952.7892120527</v>
      </c>
      <c r="BE10" s="34" t="s">
        <v>196</v>
      </c>
      <c r="BF10" s="34">
        <v>14176.164254876476</v>
      </c>
    </row>
    <row r="11" spans="1:128" x14ac:dyDescent="0.25">
      <c r="A11" s="35" t="s">
        <v>44</v>
      </c>
      <c r="B11" s="47"/>
      <c r="C11" s="77" t="s">
        <v>188</v>
      </c>
      <c r="D11" s="2"/>
      <c r="E11" s="3"/>
      <c r="F11" s="3"/>
      <c r="G11" s="9" t="s">
        <v>116</v>
      </c>
      <c r="H11" s="10" t="str">
        <f>CONCATENATE(H9,,H10,"\",B9,"\")</f>
        <v>O:\FYSIK\list-SurfCat\setups\307-059-largeCO2MEA\Data\Gaston\AF20004\</v>
      </c>
      <c r="I11" s="10"/>
      <c r="J11" s="10"/>
      <c r="K11" s="34"/>
      <c r="L11" s="34"/>
      <c r="M11" s="3"/>
      <c r="N11" s="3"/>
      <c r="O11" s="3"/>
      <c r="P11" s="3"/>
      <c r="Q11" s="3"/>
      <c r="R11" s="3"/>
      <c r="S11" s="3"/>
      <c r="U11" s="36"/>
      <c r="V11" s="36"/>
      <c r="W11" s="36"/>
      <c r="X11" s="36"/>
      <c r="AK11" s="35" t="s">
        <v>185</v>
      </c>
      <c r="AL11" s="76">
        <v>8855983.9090606049</v>
      </c>
      <c r="AM11" s="1" t="s">
        <v>5</v>
      </c>
      <c r="AV11" s="35" t="s">
        <v>185</v>
      </c>
      <c r="AW11" s="34">
        <v>10382908.250316774</v>
      </c>
      <c r="BA11" s="34" t="s">
        <v>177</v>
      </c>
      <c r="BB11" s="34">
        <v>23.7745</v>
      </c>
      <c r="BC11" s="34" t="s">
        <v>175</v>
      </c>
      <c r="BD11" s="34">
        <v>8698110.4290166683</v>
      </c>
      <c r="BE11" s="34" t="s">
        <v>197</v>
      </c>
      <c r="BF11" s="34">
        <v>9767.9822837710526</v>
      </c>
    </row>
    <row r="12" spans="1:128" x14ac:dyDescent="0.25">
      <c r="A12" s="35"/>
      <c r="C12" s="3"/>
      <c r="D12" s="3"/>
      <c r="E12" s="3"/>
      <c r="F12" s="3"/>
      <c r="G12" s="33" t="s">
        <v>120</v>
      </c>
      <c r="H12" s="3" t="s">
        <v>121</v>
      </c>
      <c r="J12" s="23" t="s">
        <v>123</v>
      </c>
      <c r="K12" s="3" t="str">
        <f>CONCATENATE(H11,B9,"_",H12)</f>
        <v>O:\FYSIK\list-SurfCat\setups\307-059-largeCO2MEA\Data\Gaston\AF20004\AF20004_CurrentVoltageData.txt</v>
      </c>
      <c r="L12" s="3"/>
      <c r="M12" s="3"/>
      <c r="N12" s="3"/>
      <c r="O12" s="3"/>
      <c r="P12" s="3"/>
      <c r="Q12" s="3"/>
      <c r="R12" s="3"/>
      <c r="S12" s="3"/>
      <c r="U12" s="36"/>
      <c r="V12" s="36"/>
      <c r="W12" s="36"/>
      <c r="X12" s="36"/>
      <c r="BA12" s="34" t="s">
        <v>198</v>
      </c>
      <c r="BB12" s="34">
        <v>24.1675</v>
      </c>
      <c r="BC12" s="34" t="s">
        <v>185</v>
      </c>
      <c r="BD12" s="34">
        <v>8855983.9090606049</v>
      </c>
      <c r="BE12" s="34" t="s">
        <v>199</v>
      </c>
      <c r="BF12" s="34">
        <v>11813.412521552067</v>
      </c>
    </row>
    <row r="13" spans="1:128" x14ac:dyDescent="0.25">
      <c r="F13" s="2"/>
      <c r="G13" s="52" t="s">
        <v>119</v>
      </c>
      <c r="H13" s="29" t="s">
        <v>122</v>
      </c>
      <c r="I13" s="2"/>
      <c r="J13" s="53" t="s">
        <v>123</v>
      </c>
      <c r="K13" s="29" t="str">
        <f>CONCATENATE(H11,H13)</f>
        <v>O:\FYSIK\list-SurfCat\setups\307-059-largeCO2MEA\Data\Gaston\AF20004\Summary.txt</v>
      </c>
      <c r="L13" s="2"/>
      <c r="M13" s="2"/>
      <c r="N13" s="2"/>
      <c r="U13" s="36"/>
      <c r="V13" s="36"/>
      <c r="W13" s="36"/>
      <c r="X13" s="36"/>
      <c r="CO13" s="11"/>
    </row>
    <row r="14" spans="1:128" x14ac:dyDescent="0.25">
      <c r="F14" s="2"/>
      <c r="G14" s="52" t="s">
        <v>29</v>
      </c>
      <c r="H14" s="29" t="s">
        <v>124</v>
      </c>
      <c r="I14" s="2"/>
      <c r="J14" s="53" t="s">
        <v>123</v>
      </c>
      <c r="K14" s="29" t="str">
        <f>CONCATENATE(H11,B9,"_",H14)</f>
        <v>O:\FYSIK\list-SurfCat\setups\307-059-largeCO2MEA\Data\Gaston\AF20004\AF20004_FlowData.vprj</v>
      </c>
      <c r="L14" s="2"/>
      <c r="M14" s="2"/>
      <c r="N14" s="2"/>
      <c r="U14" s="36"/>
      <c r="V14" s="36"/>
      <c r="W14" s="36"/>
      <c r="X14" s="36"/>
      <c r="CR14" s="76"/>
    </row>
    <row r="15" spans="1:128" x14ac:dyDescent="0.25">
      <c r="A15" s="35"/>
      <c r="C15" s="2"/>
      <c r="D15" s="26"/>
      <c r="E15" s="30"/>
      <c r="F15" s="24"/>
      <c r="G15" s="24"/>
      <c r="H15" s="24"/>
      <c r="I15" s="24"/>
      <c r="J15" s="24"/>
      <c r="K15" s="24"/>
      <c r="L15" s="24"/>
      <c r="M15" s="24"/>
      <c r="N15" s="24"/>
      <c r="AX15" s="66"/>
      <c r="CR15" s="76"/>
    </row>
    <row r="16" spans="1:128" x14ac:dyDescent="0.25">
      <c r="A16" s="63" t="s">
        <v>143</v>
      </c>
      <c r="B16" s="81" t="s">
        <v>64</v>
      </c>
      <c r="C16" s="81"/>
      <c r="D16" s="81"/>
      <c r="E16" s="81"/>
      <c r="F16" s="81"/>
      <c r="G16" s="81"/>
      <c r="H16" s="81"/>
      <c r="I16" s="82" t="s">
        <v>163</v>
      </c>
      <c r="J16" s="82"/>
      <c r="K16" s="82"/>
      <c r="L16" s="82"/>
      <c r="M16" s="83" t="s">
        <v>66</v>
      </c>
      <c r="N16" s="83"/>
      <c r="O16" s="84" t="s">
        <v>21</v>
      </c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1" t="s">
        <v>22</v>
      </c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0" t="s">
        <v>59</v>
      </c>
      <c r="AM16" s="80"/>
      <c r="AN16" s="80"/>
      <c r="AO16" s="86" t="s">
        <v>178</v>
      </c>
      <c r="AP16" s="86"/>
      <c r="AQ16" s="86"/>
      <c r="AR16" s="86"/>
      <c r="AS16" s="86"/>
      <c r="AT16" s="86"/>
      <c r="AU16" s="86"/>
      <c r="AV16" s="84" t="s">
        <v>179</v>
      </c>
      <c r="AW16" s="84"/>
      <c r="AX16" s="84"/>
      <c r="AY16" s="84"/>
      <c r="AZ16" s="84"/>
      <c r="BA16" s="84"/>
      <c r="BB16" s="84"/>
      <c r="BC16" s="81" t="s">
        <v>81</v>
      </c>
      <c r="BD16" s="81"/>
      <c r="BE16" s="81"/>
      <c r="BF16" s="81"/>
      <c r="BG16" s="82" t="s">
        <v>80</v>
      </c>
      <c r="BH16" s="82"/>
      <c r="BI16" s="82"/>
      <c r="BJ16" s="82"/>
      <c r="BK16" s="82"/>
      <c r="BL16" s="86" t="s">
        <v>82</v>
      </c>
      <c r="BM16" s="86"/>
      <c r="BN16" s="86"/>
      <c r="BO16" s="86"/>
      <c r="BP16" s="86"/>
      <c r="BQ16" s="86"/>
      <c r="BR16" s="86"/>
      <c r="BS16" s="84" t="s">
        <v>83</v>
      </c>
      <c r="BT16" s="84"/>
      <c r="BU16" s="84"/>
      <c r="BV16" s="84"/>
      <c r="BW16" s="84"/>
      <c r="BX16" s="84"/>
      <c r="BY16" s="84"/>
      <c r="BZ16" s="84"/>
      <c r="CA16" s="74"/>
      <c r="CB16" s="87" t="s">
        <v>150</v>
      </c>
      <c r="CC16" s="87"/>
      <c r="CD16" s="87"/>
      <c r="CE16" s="87"/>
      <c r="CF16" s="87"/>
      <c r="CG16" s="79" t="s">
        <v>130</v>
      </c>
      <c r="CH16" s="86" t="s">
        <v>80</v>
      </c>
      <c r="CI16" s="86"/>
      <c r="CJ16" s="86"/>
      <c r="CK16" s="86"/>
      <c r="CL16" s="86"/>
      <c r="CM16" s="84" t="s">
        <v>135</v>
      </c>
      <c r="CN16" s="84"/>
      <c r="CO16" s="84"/>
      <c r="CP16" s="84"/>
      <c r="CQ16" s="84"/>
      <c r="CR16" s="84"/>
      <c r="CS16" s="88" t="s">
        <v>153</v>
      </c>
      <c r="CT16" s="88"/>
      <c r="CU16" s="88"/>
      <c r="CV16" s="88"/>
      <c r="CW16" s="88"/>
      <c r="CX16" s="88"/>
      <c r="CY16" s="88"/>
      <c r="CZ16" s="88"/>
      <c r="DA16" s="79"/>
      <c r="DB16" s="79"/>
      <c r="DC16" s="87" t="s">
        <v>144</v>
      </c>
      <c r="DD16" s="87"/>
      <c r="DE16" s="87"/>
      <c r="DF16" s="87"/>
      <c r="DG16" s="87"/>
      <c r="DH16" s="87"/>
      <c r="DI16" s="87"/>
      <c r="DJ16" s="87"/>
      <c r="DK16" s="87"/>
      <c r="DL16" s="87"/>
      <c r="DX16" s="12"/>
    </row>
    <row r="17" spans="1:161" x14ac:dyDescent="0.25">
      <c r="A17" s="35" t="s">
        <v>86</v>
      </c>
      <c r="B17" s="75" t="s">
        <v>39</v>
      </c>
      <c r="C17" s="78" t="s">
        <v>40</v>
      </c>
      <c r="D17" s="78" t="s">
        <v>46</v>
      </c>
      <c r="E17" s="78" t="s">
        <v>45</v>
      </c>
      <c r="F17" s="78" t="s">
        <v>47</v>
      </c>
      <c r="G17" s="75" t="s">
        <v>60</v>
      </c>
      <c r="H17" s="78" t="s">
        <v>63</v>
      </c>
      <c r="I17" s="75" t="s">
        <v>56</v>
      </c>
      <c r="J17" s="75" t="s">
        <v>57</v>
      </c>
      <c r="K17" s="75" t="s">
        <v>58</v>
      </c>
      <c r="L17" s="75" t="s">
        <v>55</v>
      </c>
      <c r="M17" s="75" t="s">
        <v>3</v>
      </c>
      <c r="N17" s="78" t="s">
        <v>4</v>
      </c>
      <c r="O17" s="75" t="s">
        <v>53</v>
      </c>
      <c r="P17" s="75" t="s">
        <v>50</v>
      </c>
      <c r="Q17" s="75" t="s">
        <v>51</v>
      </c>
      <c r="R17" s="75" t="s">
        <v>52</v>
      </c>
      <c r="S17" s="75" t="s">
        <v>49</v>
      </c>
      <c r="T17" s="75" t="s">
        <v>54</v>
      </c>
      <c r="U17" s="75" t="s">
        <v>48</v>
      </c>
      <c r="V17" s="75" t="s">
        <v>61</v>
      </c>
      <c r="W17" s="75" t="s">
        <v>62</v>
      </c>
      <c r="X17" s="75" t="s">
        <v>175</v>
      </c>
      <c r="Y17" s="75" t="s">
        <v>25</v>
      </c>
      <c r="Z17" s="78" t="s">
        <v>53</v>
      </c>
      <c r="AA17" s="78" t="s">
        <v>48</v>
      </c>
      <c r="AB17" s="78" t="s">
        <v>52</v>
      </c>
      <c r="AC17" s="78" t="s">
        <v>49</v>
      </c>
      <c r="AD17" s="78" t="s">
        <v>50</v>
      </c>
      <c r="AE17" s="78" t="s">
        <v>51</v>
      </c>
      <c r="AF17" s="78" t="s">
        <v>54</v>
      </c>
      <c r="AG17" s="78" t="s">
        <v>61</v>
      </c>
      <c r="AH17" s="78" t="s">
        <v>175</v>
      </c>
      <c r="AI17" s="78" t="s">
        <v>141</v>
      </c>
      <c r="AJ17" s="78" t="s">
        <v>147</v>
      </c>
      <c r="AK17" s="78" t="s">
        <v>146</v>
      </c>
      <c r="AL17" s="78" t="s">
        <v>15</v>
      </c>
      <c r="AM17" s="78" t="s">
        <v>16</v>
      </c>
      <c r="AN17" s="78" t="s">
        <v>30</v>
      </c>
      <c r="AO17" s="78" t="s">
        <v>53</v>
      </c>
      <c r="AP17" s="78" t="s">
        <v>48</v>
      </c>
      <c r="AQ17" s="78" t="s">
        <v>61</v>
      </c>
      <c r="AR17" s="78" t="s">
        <v>54</v>
      </c>
      <c r="AS17" s="78" t="s">
        <v>175</v>
      </c>
      <c r="AT17" s="78" t="s">
        <v>23</v>
      </c>
      <c r="AU17" s="78" t="s">
        <v>24</v>
      </c>
      <c r="AV17" s="78" t="s">
        <v>0</v>
      </c>
      <c r="AW17" s="78" t="s">
        <v>1</v>
      </c>
      <c r="AX17" s="78" t="s">
        <v>43</v>
      </c>
      <c r="AY17" s="78" t="s">
        <v>176</v>
      </c>
      <c r="AZ17" s="78" t="s">
        <v>177</v>
      </c>
      <c r="BA17" s="78" t="s">
        <v>24</v>
      </c>
      <c r="BB17" s="78" t="s">
        <v>156</v>
      </c>
      <c r="BC17" s="75" t="s">
        <v>27</v>
      </c>
      <c r="BD17" s="75" t="s">
        <v>28</v>
      </c>
      <c r="BE17" s="75" t="s">
        <v>26</v>
      </c>
      <c r="BF17" s="75" t="s">
        <v>69</v>
      </c>
      <c r="BG17" s="78" t="s">
        <v>78</v>
      </c>
      <c r="BH17" s="74" t="s">
        <v>27</v>
      </c>
      <c r="BI17" s="78" t="s">
        <v>28</v>
      </c>
      <c r="BJ17" s="78" t="s">
        <v>26</v>
      </c>
      <c r="BK17" s="78" t="s">
        <v>69</v>
      </c>
      <c r="BL17" s="78" t="s">
        <v>0</v>
      </c>
      <c r="BM17" s="78" t="s">
        <v>1</v>
      </c>
      <c r="BN17" s="78" t="s">
        <v>43</v>
      </c>
      <c r="BO17" s="78" t="s">
        <v>176</v>
      </c>
      <c r="BP17" s="78" t="s">
        <v>177</v>
      </c>
      <c r="BQ17" s="78" t="s">
        <v>23</v>
      </c>
      <c r="BR17" s="78" t="s">
        <v>24</v>
      </c>
      <c r="BS17" s="78" t="s">
        <v>0</v>
      </c>
      <c r="BT17" s="78" t="s">
        <v>1</v>
      </c>
      <c r="BU17" s="78" t="s">
        <v>43</v>
      </c>
      <c r="BV17" s="78" t="s">
        <v>176</v>
      </c>
      <c r="BW17" s="78" t="s">
        <v>177</v>
      </c>
      <c r="BX17" s="78" t="s">
        <v>24</v>
      </c>
      <c r="BY17" s="78" t="s">
        <v>84</v>
      </c>
      <c r="BZ17" s="78" t="s">
        <v>162</v>
      </c>
      <c r="CA17" s="78"/>
      <c r="CB17" s="78" t="s">
        <v>0</v>
      </c>
      <c r="CC17" s="78" t="s">
        <v>32</v>
      </c>
      <c r="CD17" s="78" t="s">
        <v>33</v>
      </c>
      <c r="CE17" s="78" t="s">
        <v>2</v>
      </c>
      <c r="CF17" s="78" t="s">
        <v>1</v>
      </c>
      <c r="CG17" s="78" t="s">
        <v>3</v>
      </c>
      <c r="CH17" s="78" t="s">
        <v>78</v>
      </c>
      <c r="CI17" s="70" t="s">
        <v>27</v>
      </c>
      <c r="CJ17" s="78" t="s">
        <v>28</v>
      </c>
      <c r="CK17" s="78" t="s">
        <v>26</v>
      </c>
      <c r="CL17" s="78" t="s">
        <v>69</v>
      </c>
      <c r="CM17" s="78" t="s">
        <v>131</v>
      </c>
      <c r="CN17" s="78" t="s">
        <v>145</v>
      </c>
      <c r="CO17" s="78" t="s">
        <v>132</v>
      </c>
      <c r="CP17" s="78" t="s">
        <v>34</v>
      </c>
      <c r="CQ17" s="78" t="s">
        <v>36</v>
      </c>
      <c r="CR17" s="78" t="s">
        <v>134</v>
      </c>
      <c r="CS17" s="78" t="s">
        <v>38</v>
      </c>
      <c r="CT17" s="78" t="s">
        <v>37</v>
      </c>
      <c r="CU17" s="78" t="s">
        <v>154</v>
      </c>
      <c r="CV17" s="78" t="s">
        <v>168</v>
      </c>
      <c r="CW17" s="78" t="s">
        <v>164</v>
      </c>
      <c r="CX17" s="78" t="s">
        <v>165</v>
      </c>
      <c r="CY17" s="78" t="s">
        <v>166</v>
      </c>
      <c r="CZ17" s="78" t="s">
        <v>167</v>
      </c>
      <c r="DA17" s="78" t="s">
        <v>170</v>
      </c>
      <c r="DB17" s="78"/>
      <c r="DC17" s="85" t="s">
        <v>148</v>
      </c>
      <c r="DD17" s="85"/>
      <c r="DE17" s="78" t="s">
        <v>136</v>
      </c>
      <c r="DF17" s="78" t="s">
        <v>137</v>
      </c>
      <c r="DG17" s="78" t="s">
        <v>138</v>
      </c>
      <c r="DH17" s="78" t="s">
        <v>139</v>
      </c>
      <c r="DI17" s="78" t="s">
        <v>140</v>
      </c>
      <c r="DJ17" s="78" t="s">
        <v>152</v>
      </c>
      <c r="DK17" s="78" t="s">
        <v>151</v>
      </c>
      <c r="DL17" s="78" t="s">
        <v>155</v>
      </c>
      <c r="DM17" s="33"/>
      <c r="DN17" s="78"/>
      <c r="DO17" s="78"/>
      <c r="DP17" s="78"/>
      <c r="DQ17" s="78"/>
      <c r="DR17" s="78"/>
      <c r="DS17" s="78"/>
      <c r="DT17" s="78"/>
      <c r="DU17" s="78"/>
      <c r="DV17" s="78"/>
      <c r="DW17" s="78"/>
      <c r="DX17" s="66"/>
      <c r="DY17" s="78"/>
      <c r="DZ17" s="78"/>
      <c r="EA17" s="78"/>
      <c r="EB17" s="78"/>
      <c r="EC17" s="78"/>
    </row>
    <row r="18" spans="1:161" x14ac:dyDescent="0.25">
      <c r="A18" s="68" t="s">
        <v>87</v>
      </c>
      <c r="B18" s="51">
        <v>43895.616331018522</v>
      </c>
      <c r="C18" s="5">
        <f>(B18-$H$6)*86400-$J$6</f>
        <v>1583416051.0000002</v>
      </c>
      <c r="D18" s="5" t="s">
        <v>31</v>
      </c>
      <c r="E18" s="37">
        <f>(C18-$B$10)/3600</f>
        <v>7.9305555621782944E-2</v>
      </c>
      <c r="F18" s="5">
        <f t="shared" ref="F18:F50" si="0">E18-$B$11</f>
        <v>7.9305555621782944E-2</v>
      </c>
      <c r="G18" s="48" t="s">
        <v>203</v>
      </c>
      <c r="H18" s="5" t="str">
        <f>IF(F18&lt;0,"No","Yes")</f>
        <v>Yes</v>
      </c>
      <c r="I18" s="46">
        <v>2.8472263823284805</v>
      </c>
      <c r="J18" s="46">
        <v>3.1339332999999998</v>
      </c>
      <c r="K18" s="46">
        <v>2.7234616000000003</v>
      </c>
      <c r="L18" s="47">
        <v>111.57084792618149</v>
      </c>
      <c r="M18" s="48">
        <v>50.370843317163299</v>
      </c>
      <c r="N18" s="37">
        <f t="shared" ref="N18:N49" si="1">M18*$B$2/1000</f>
        <v>0.11333439746361743</v>
      </c>
      <c r="O18" s="49">
        <v>6733.89</v>
      </c>
      <c r="P18" s="49"/>
      <c r="Q18" s="49"/>
      <c r="R18" s="49"/>
      <c r="S18" s="49">
        <v>436205.43</v>
      </c>
      <c r="T18" s="49"/>
      <c r="U18" s="49"/>
      <c r="V18" s="49"/>
      <c r="W18" s="49"/>
      <c r="X18" s="49"/>
      <c r="Y18" s="49"/>
      <c r="Z18" s="36">
        <f t="shared" ref="Z18:Z49" si="2">O18/VLOOKUP(Z$17,$AK$2:$AM$13,2,0)</f>
        <v>0.1039024034231303</v>
      </c>
      <c r="AA18" s="36">
        <f>U18/VLOOKUP(AA$17,$AK$2:$AM$13,2,0)</f>
        <v>0</v>
      </c>
      <c r="AB18" s="36">
        <f>R18/VLOOKUP(AB$17,$AK$2:$AM$13,2,0)</f>
        <v>0</v>
      </c>
      <c r="AC18" s="36">
        <f>S18/VLOOKUP(AC$17,$AK$2:$AM$14,2,0)</f>
        <v>80.779519127771934</v>
      </c>
      <c r="AD18" s="36">
        <f t="shared" ref="AD18:AE49" si="3">P18/VLOOKUP(AD$17,$AK$2:$AM$14,2,0)</f>
        <v>0</v>
      </c>
      <c r="AE18" s="36">
        <f t="shared" si="3"/>
        <v>0</v>
      </c>
      <c r="AF18" s="36">
        <f t="shared" ref="AF18:AF49" si="4">T18/VLOOKUP(AF$17,$AK$2:$AM$14,2,0)</f>
        <v>0</v>
      </c>
      <c r="AG18" s="36">
        <f t="shared" ref="AG18:AG49" si="5">V18/VLOOKUP(AG$17,$AK$2:$AM$14,2,0)</f>
        <v>0</v>
      </c>
      <c r="AH18" s="36">
        <f>X18/VLOOKUP(AH$17,$AK$2:$AM$14,2,0)</f>
        <v>0</v>
      </c>
      <c r="AI18" s="36">
        <f>IF(AJ18="FID",Z18+AA18+AC18+AD18+AE18,Z18+AB18+AC18+AD18+AE18+AG18+AF18+AH18)</f>
        <v>80.883421531195069</v>
      </c>
      <c r="AJ18" s="67" t="s">
        <v>142</v>
      </c>
      <c r="AK18" s="37">
        <f t="shared" ref="AK18:AK49" si="6">IF(AJ18="FID",AA18,AB18)</f>
        <v>0</v>
      </c>
      <c r="AL18" s="16" t="str">
        <f t="shared" ref="AL18:AL49" si="7">IF(G18="CTD",($Z18/100)*$B$3/(1-$Z$18/100),"-")</f>
        <v>-</v>
      </c>
      <c r="AM18" s="18" t="str">
        <f t="shared" ref="AM18:AM49" si="8">IF(G18="CTD",($B$3+$AL18)/1000*1.01325/($H$2*273.15)/60,"-")</f>
        <v>-</v>
      </c>
      <c r="AN18" s="14" t="str">
        <f t="shared" ref="AN18:AN49" si="9">IF(G18="CTD",AM18/$E$3*$B$3,"-")</f>
        <v>-</v>
      </c>
      <c r="AO18" s="14" t="str">
        <f t="shared" ref="AO18:AO49" si="10">IF(G18="CTD",$AM18*(Z18/100)*$H$4*$H$3/$N18*100,"-")</f>
        <v>-</v>
      </c>
      <c r="AP18" s="14" t="str">
        <f t="shared" ref="AP18:AP49" si="11">IF(G18="CTD",$AM18*(AK18/100)*$H$4*$H$3/$N18*100,"-")</f>
        <v>-</v>
      </c>
      <c r="AQ18" s="14" t="str">
        <f t="shared" ref="AQ18:AQ50" si="12">IF(G18="CTD",$AM18*(AG18/100)*12*$H$3/$N18*100,"-")</f>
        <v>-</v>
      </c>
      <c r="AR18" s="14" t="str">
        <f t="shared" ref="AR18:AR49" si="13">IF(G18="CTD",$AM18*(AF18/100)*8*$H$3/$N18*100,"-")</f>
        <v>-</v>
      </c>
      <c r="AS18" s="14" t="str">
        <f t="shared" ref="AS18:AS50" si="14">IF(G18="CTD",$AM18*(AH18/100)*18*$H$3/$N18*100,"-")</f>
        <v>-</v>
      </c>
      <c r="AT18" s="14" t="str">
        <f t="shared" ref="AT18:AT49" si="15">IF(G18="CTD",SUM(AO18:AS18),"-")</f>
        <v>-</v>
      </c>
      <c r="AU18" s="14" t="str">
        <f t="shared" ref="AU18:AU49" si="16">IF(G18="CTD",IF(AT18&gt;100,0,100-AT18),"-")</f>
        <v>-</v>
      </c>
      <c r="AV18" s="14" t="str">
        <f t="shared" ref="AV18:AV49" si="17">IF(G18="CTD",$AO18/100*M18,"-")</f>
        <v>-</v>
      </c>
      <c r="AW18" s="14" t="str">
        <f t="shared" ref="AW18:AW49" si="18">IF(G18="CTD",$AP18/100*M18,"-")</f>
        <v>-</v>
      </c>
      <c r="AX18" s="14" t="str">
        <f t="shared" ref="AX18:AX50" si="19">IF(G18="CTD",$AQ18/100*M18,"-")</f>
        <v>-</v>
      </c>
      <c r="AY18" s="14" t="str">
        <f t="shared" ref="AY18:AY50" si="20">IF(G18="CTD",$AR18/100*M18,"-")</f>
        <v>-</v>
      </c>
      <c r="AZ18" s="14" t="str">
        <f t="shared" ref="AZ18:AZ50" si="21">IF(G18="CTD",$AS18/100*M18,"-")</f>
        <v>-</v>
      </c>
      <c r="BA18" s="14" t="str">
        <f t="shared" ref="BA18:BA49" si="22">IF(G18="CTD",$AU18/100*M18,"-")</f>
        <v>-</v>
      </c>
      <c r="BB18" s="14" t="str">
        <f t="shared" ref="BB18:BB49" si="23">IF(G18="CTD",AW18/(AV18+AW18+AX18)*100,"-")</f>
        <v>-</v>
      </c>
      <c r="BC18" s="45"/>
      <c r="BD18" s="45"/>
      <c r="BE18" s="45"/>
      <c r="BF18" s="45"/>
      <c r="BG18" s="36" t="str">
        <f t="shared" ref="BG18:BG49" si="24">IF(G18="CTD",$M$5+$M$3*(Z18/100)+$M$4*(AA18/100),"-")</f>
        <v>-</v>
      </c>
      <c r="BH18" s="25" t="str">
        <f>IF(G18="CTD",BC18/$BG18,"-")</f>
        <v>-</v>
      </c>
      <c r="BI18" s="14" t="str">
        <f t="shared" ref="BI18:BI49" si="25">IF(G18="CTD",BD18/$BG18,"-")</f>
        <v>-</v>
      </c>
      <c r="BJ18" s="2" t="str">
        <f t="shared" ref="BJ18:BJ49" si="26">IF(G18="CTD",BE18/$BG18,"-")</f>
        <v>-</v>
      </c>
      <c r="BK18" s="2" t="str">
        <f t="shared" ref="BK18:BK49" si="27">IF(G18="CTD",BF18/$BG18,"-")</f>
        <v>-</v>
      </c>
      <c r="BL18" s="2" t="str">
        <f t="shared" ref="BL18:BL49" si="28">IF(G18="CTD",($BH18/$B$3*$E$3)*(Z18/100)*$H$4*$H$3/$N18*100,"-")</f>
        <v>-</v>
      </c>
      <c r="BM18" s="2" t="str">
        <f t="shared" ref="BM18:BM49" si="29">IF(G18="CTD",($BH18/$B$3*$E$3)*(AK18/100)*$H$4*$H$3/$N18*100,"-")</f>
        <v>-</v>
      </c>
      <c r="BN18" s="2" t="str">
        <f t="shared" ref="BN18:BN50" si="30">IF(G18="CTD",($BH18/$B$3*$E$3)*(AG18/100)*12*$H$3/$N18*100,"-")</f>
        <v>-</v>
      </c>
      <c r="BO18" s="2" t="str">
        <f t="shared" ref="BO18:BO50" si="31">IF(G18="CTD",($BH18/$B$3*$E$3)*(AF18/100)*8*$H$3/$N18*100,"-")</f>
        <v>-</v>
      </c>
      <c r="BP18" s="2" t="str">
        <f t="shared" ref="BP18:BP50" si="32">IF(G18="CTD",($BH18/$B$3*$E$3)*(AH18/100)*18*$H$3/$N18*100,"-")</f>
        <v>-</v>
      </c>
      <c r="BQ18" s="2" t="str">
        <f t="shared" ref="BQ18:BQ49" si="33">IF(G18="CTD",SUM(BL18:BP18),"-")</f>
        <v>-</v>
      </c>
      <c r="BR18" s="2" t="str">
        <f t="shared" ref="BR18:BR49" si="34">IF(G18="CTD",IF(BQ18&gt;100,0,100-BQ18),"-")</f>
        <v>-</v>
      </c>
      <c r="BS18" s="2" t="str">
        <f t="shared" ref="BS18:BS49" si="35">IF(G18="CTD",BL18/100*$M18,"-")</f>
        <v>-</v>
      </c>
      <c r="BT18" s="2" t="str">
        <f t="shared" ref="BT18:BT49" si="36">IF(G18="CTD",BM18/100*$M18,"-")</f>
        <v>-</v>
      </c>
      <c r="BU18" s="2" t="str">
        <f t="shared" ref="BU18:BU50" si="37">IF(G18="CTD",BN18/100*$M18,"-")</f>
        <v>-</v>
      </c>
      <c r="BV18" s="2" t="str">
        <f t="shared" ref="BV18:BV50" si="38">IF(G18="CTD",BO18/100*$M18,"-")</f>
        <v>-</v>
      </c>
      <c r="BW18" s="2" t="str">
        <f t="shared" ref="BW18:BW50" si="39">IF(G18="CTD",BP18/100*$M18,"-")</f>
        <v>-</v>
      </c>
      <c r="BX18" s="2" t="str">
        <f t="shared" ref="BX18:BX49" si="40">IF(G18="CTD",BR18/100*$M18,"-")</f>
        <v>-</v>
      </c>
      <c r="BY18" s="20" t="str">
        <f t="shared" ref="BY18:BY49" si="41">IF(G18="CTD",(BT18-AW18)/AW18*100,"-")</f>
        <v>-</v>
      </c>
      <c r="BZ18" s="20"/>
      <c r="CA18" s="20"/>
      <c r="CB18" s="20" t="str">
        <f t="shared" ref="CB18:CB49" si="42">IF(G18="AND",Z18,"-")</f>
        <v>-</v>
      </c>
      <c r="CC18" s="20" t="str">
        <f t="shared" ref="CC18:CC49" si="43">IF(G18="AND",AD18,"-")</f>
        <v>-</v>
      </c>
      <c r="CD18" s="20" t="str">
        <f t="shared" ref="CD18:CD49" si="44">IF(G18="AND",AE18,"-")</f>
        <v>-</v>
      </c>
      <c r="CE18" s="20" t="str">
        <f t="shared" ref="CE18:CE49" si="45">IF(G18="AND",AC18,"-")</f>
        <v>-</v>
      </c>
      <c r="CF18" s="2" t="str">
        <f t="shared" ref="CF18:CF49" si="46">IF(G18="AND",AK18,"-")</f>
        <v>-</v>
      </c>
      <c r="CG18" s="2">
        <f t="shared" ref="CG18:CG49" si="47">M18</f>
        <v>50.370843317163299</v>
      </c>
      <c r="CH18" s="37" t="str">
        <f t="shared" ref="CH18:CH49" si="48">IF(G18="AND",$R$3*(1-SUM(Z18,AB18,AD18,AE18)/100)+$R$4,"-")</f>
        <v>-</v>
      </c>
      <c r="CI18" s="71" t="str">
        <f>IF(G18="AND",BC18/$CH18,"-")</f>
        <v>-</v>
      </c>
      <c r="CJ18" s="37" t="str">
        <f t="shared" ref="CJ18:CJ49" si="49">IF(G18="AND",BD18/$CH18,"-")</f>
        <v>-</v>
      </c>
      <c r="CK18" s="37" t="str">
        <f t="shared" ref="CK18:CK49" si="50">IF(G18="AND",BE18/$CH18,"-")</f>
        <v>-</v>
      </c>
      <c r="CL18" s="37" t="str">
        <f t="shared" ref="CL18:CL49" si="51">IF(G18="AND",BF18/$CH18,"-")</f>
        <v>-</v>
      </c>
      <c r="CM18" s="37" t="str">
        <f t="shared" ref="CM18:CM49" si="52">IF(G18="AND",AD18/100*CI18,"-")</f>
        <v>-</v>
      </c>
      <c r="CN18" s="37" t="str">
        <f t="shared" ref="CN18:CN49" si="53">IF(G18="AND",(AD18-AE18*20.95/78.09)/100*CI18,"-")</f>
        <v>-</v>
      </c>
      <c r="CO18" s="13" t="str">
        <f t="shared" ref="CO18:CO49" si="54">IF(G18="AND",CN18*$E$4,"-")</f>
        <v>-</v>
      </c>
      <c r="CP18" s="37" t="str">
        <f t="shared" ref="CP18:CP49" si="55">IF(G18="AND",CO18*$H$5*$H$3,"-")</f>
        <v>-</v>
      </c>
      <c r="CQ18" s="2" t="str">
        <f t="shared" ref="CQ18:CQ49" si="56">IF(G18="AND",CP18/(CG18/1000*$B$2)*100,"-")</f>
        <v>-</v>
      </c>
      <c r="CR18" s="2" t="str">
        <f t="shared" ref="CR18:CR49" si="57">IF(G18="AND",IF(CQ18&gt;100,0,100-CQ18),"-")</f>
        <v>-</v>
      </c>
      <c r="CS18" s="37" t="str">
        <f t="shared" ref="CS18:CS49" si="58">IF(G18="CTD",BH18,"-")</f>
        <v>-</v>
      </c>
      <c r="CT18" s="37" t="str">
        <f t="shared" ref="CT18:CT49" si="59">IF(G18="AND",CI18,"-")</f>
        <v>-</v>
      </c>
      <c r="CU18" s="37">
        <f>CG18*$B$2/1000/$H$3/$H$5/$E$4</f>
        <v>0.39501913908607694</v>
      </c>
      <c r="CV18" s="37"/>
      <c r="CW18" s="37" t="str">
        <f t="shared" ref="CW18:CW49" si="60">IF(G18="AND",AC18*CI18/100,"-")</f>
        <v>-</v>
      </c>
      <c r="CX18" s="13" t="str">
        <f t="shared" ref="CX18:CX49" si="61">IF(G18="AND",CW18*$E$4,"-")</f>
        <v>-</v>
      </c>
      <c r="CY18" s="13" t="str">
        <f t="shared" ref="CY18:CY49" si="62">IF(G18="AND",CX18*4*$H$3,"-")</f>
        <v>-</v>
      </c>
      <c r="CZ18" s="2" t="str">
        <f t="shared" ref="CZ18:CZ49" si="63">IF(G18="AND",CY18/(CG18/1000*$B$2)*100,"-")</f>
        <v>-</v>
      </c>
      <c r="DA18" s="2" t="str">
        <f>IF(G18="AND",AI18,"-")</f>
        <v>-</v>
      </c>
      <c r="DB18" s="2"/>
      <c r="DC18" s="2" t="str">
        <f t="shared" ref="DC18:DC49" si="64">CONCATENATE(FLOOR(CG18,1),"-",G18)</f>
        <v>50-BLK</v>
      </c>
      <c r="DD18" s="2" t="s">
        <v>149</v>
      </c>
      <c r="DE18" s="16" t="str">
        <f t="shared" ref="DE18:DE49" si="65">IF(G18="AND",AC18*CI18/100,"-")</f>
        <v>-</v>
      </c>
      <c r="DF18" s="16" t="str">
        <f t="shared" ref="DF18:DF49" si="66">IF(G18="CTD",AK18*BH18/100,"-")</f>
        <v>-</v>
      </c>
      <c r="DG18" s="64" t="str">
        <f t="shared" ref="DG18:DG49" si="67">IF(G18="CTD",AC18/100*BH18,"-")</f>
        <v>-</v>
      </c>
      <c r="DH18" s="76"/>
      <c r="DK18" s="37" t="str">
        <f t="shared" ref="DK18:DK49" si="68">IF(G18="CTD",Z18/100*BH18,"-")</f>
        <v>-</v>
      </c>
      <c r="DM18" s="1"/>
      <c r="DN18" s="76"/>
      <c r="DO18" s="37"/>
      <c r="DP18" s="76"/>
      <c r="DQ18" s="37"/>
      <c r="DR18" s="76"/>
      <c r="DS18" s="76"/>
      <c r="DT18" s="76"/>
      <c r="DU18" s="37"/>
      <c r="DV18" s="2"/>
      <c r="DW18" s="2"/>
      <c r="DX18" s="55"/>
      <c r="DY18" s="76"/>
      <c r="DZ18" s="76"/>
      <c r="EA18" s="76"/>
      <c r="EB18" s="76"/>
      <c r="EC18" s="76"/>
      <c r="ED18" s="2"/>
    </row>
    <row r="19" spans="1:161" x14ac:dyDescent="0.25">
      <c r="A19" s="22" t="s">
        <v>88</v>
      </c>
      <c r="B19" s="51">
        <v>43895.636863425927</v>
      </c>
      <c r="C19" s="14">
        <f t="shared" ref="C19:C50" si="69">(B19-$H$6)*86400-$J$6</f>
        <v>1583417825</v>
      </c>
      <c r="D19" s="14">
        <f>(C19-C18)/60</f>
        <v>29.566666662693024</v>
      </c>
      <c r="E19" s="16">
        <f t="shared" ref="E19:E50" si="70">(C19-$B$10)/3600</f>
        <v>0.57208333333333339</v>
      </c>
      <c r="F19" s="14">
        <f t="shared" si="0"/>
        <v>0.57208333333333339</v>
      </c>
      <c r="G19" s="46" t="s">
        <v>70</v>
      </c>
      <c r="H19" s="14" t="str">
        <f t="shared" ref="H19:H49" si="71">IF(F19&lt;0,"No","Yes")</f>
        <v>Yes</v>
      </c>
      <c r="I19" s="46">
        <v>2.7712526715176669</v>
      </c>
      <c r="J19" s="46">
        <v>2.7714846</v>
      </c>
      <c r="K19" s="46">
        <v>2.7710854</v>
      </c>
      <c r="L19" s="46">
        <v>6.7164308474819953E-2</v>
      </c>
      <c r="M19" s="46">
        <v>50.418855975975902</v>
      </c>
      <c r="N19" s="16">
        <f t="shared" si="1"/>
        <v>0.11344242594594578</v>
      </c>
      <c r="O19" s="49">
        <v>2058.02</v>
      </c>
      <c r="P19" s="49"/>
      <c r="Q19" s="49"/>
      <c r="R19" s="49"/>
      <c r="S19" s="49">
        <v>436843.52000000002</v>
      </c>
      <c r="T19" s="49">
        <v>50.86</v>
      </c>
      <c r="U19" s="49">
        <v>3954978.61</v>
      </c>
      <c r="V19" s="49"/>
      <c r="W19" s="49"/>
      <c r="X19" s="49"/>
      <c r="Y19" s="49"/>
      <c r="Z19" s="17">
        <f t="shared" si="2"/>
        <v>3.1754784276676717E-2</v>
      </c>
      <c r="AA19" s="17">
        <f t="shared" ref="AA19:AA49" si="72">U19/VLOOKUP(AA$17,$AK$2:$AM$13,2,0)</f>
        <v>1.417320643576411</v>
      </c>
      <c r="AB19" s="17">
        <f t="shared" ref="AB19:AC49" si="73">R19/VLOOKUP(AB$17,$AK$2:$AM$13,2,0)</f>
        <v>0</v>
      </c>
      <c r="AC19" s="17">
        <f t="shared" si="73"/>
        <v>80.897685018921536</v>
      </c>
      <c r="AD19" s="17">
        <f t="shared" si="3"/>
        <v>0</v>
      </c>
      <c r="AE19" s="17">
        <f t="shared" si="3"/>
        <v>0</v>
      </c>
      <c r="AF19" s="36">
        <f t="shared" si="4"/>
        <v>1.7906110515128107E-5</v>
      </c>
      <c r="AG19" s="36">
        <f t="shared" si="5"/>
        <v>0</v>
      </c>
      <c r="AH19" s="36">
        <f t="shared" ref="AH19:AH49" si="74">X19/VLOOKUP(AH$17,$AK$2:$AM$14,2,0)</f>
        <v>0</v>
      </c>
      <c r="AI19" s="36">
        <f>IF(AJ19="FID",Z19+AA19+AC19+AD19+AE19,Z19+AB19+AC19+AD19+AE19+AG19+AF19+AH19)</f>
        <v>82.346760446774624</v>
      </c>
      <c r="AJ19" s="67" t="s">
        <v>142</v>
      </c>
      <c r="AK19" s="37">
        <f t="shared" si="6"/>
        <v>1.417320643576411</v>
      </c>
      <c r="AL19" s="16">
        <f t="shared" si="7"/>
        <v>1.589390628897042E-2</v>
      </c>
      <c r="AM19" s="18">
        <f t="shared" si="8"/>
        <v>3.7190970991796693E-5</v>
      </c>
      <c r="AN19" s="14">
        <f t="shared" si="9"/>
        <v>50.028237414163179</v>
      </c>
      <c r="AO19" s="14">
        <f>IF(G19="CTD",$AM19*(Z19/100)*$H$4*$H$3/$N19*100,"-")</f>
        <v>2.008919201883939</v>
      </c>
      <c r="AP19" s="14">
        <f t="shared" si="11"/>
        <v>89.664682691559932</v>
      </c>
      <c r="AQ19" s="14">
        <f t="shared" si="12"/>
        <v>0</v>
      </c>
      <c r="AR19" s="14">
        <f t="shared" si="13"/>
        <v>4.5312138078440626E-3</v>
      </c>
      <c r="AS19" s="14">
        <f t="shared" si="14"/>
        <v>0</v>
      </c>
      <c r="AT19" s="14">
        <f t="shared" si="15"/>
        <v>91.67813310725171</v>
      </c>
      <c r="AU19" s="14">
        <f t="shared" si="16"/>
        <v>8.3218668927482895</v>
      </c>
      <c r="AV19" s="14">
        <f t="shared" si="17"/>
        <v>1.0128740790715878</v>
      </c>
      <c r="AW19" s="14">
        <f>IF(G19="CTD",$AP19/100*M19,"-")</f>
        <v>45.207907227573394</v>
      </c>
      <c r="AX19" s="14">
        <f t="shared" si="19"/>
        <v>0</v>
      </c>
      <c r="AY19" s="14">
        <f t="shared" si="20"/>
        <v>2.2845861637404313E-3</v>
      </c>
      <c r="AZ19" s="14">
        <f t="shared" si="21"/>
        <v>0</v>
      </c>
      <c r="BA19" s="14">
        <f t="shared" si="22"/>
        <v>4.1957900831671813</v>
      </c>
      <c r="BB19" s="14">
        <f t="shared" si="23"/>
        <v>97.808617573225732</v>
      </c>
      <c r="BC19" s="57"/>
      <c r="BD19" s="57"/>
      <c r="BE19" s="57"/>
      <c r="BF19" s="57"/>
      <c r="BG19" s="36">
        <f>IF(G19="CTD",$M$5+$M$3*(Z19/100)+$M$4*(AA19/100),"-")</f>
        <v>0.9928234726062477</v>
      </c>
      <c r="BH19" s="25">
        <f t="shared" ref="BH19:BH50" si="75">IF(G19="CTD",BC19/$BG19,"-")</f>
        <v>0</v>
      </c>
      <c r="BI19" s="14">
        <f t="shared" si="25"/>
        <v>0</v>
      </c>
      <c r="BJ19" s="2">
        <f t="shared" si="26"/>
        <v>0</v>
      </c>
      <c r="BK19" s="2">
        <f t="shared" si="27"/>
        <v>0</v>
      </c>
      <c r="BL19" s="2">
        <f t="shared" si="28"/>
        <v>0</v>
      </c>
      <c r="BM19" s="2">
        <f t="shared" si="29"/>
        <v>0</v>
      </c>
      <c r="BN19" s="2">
        <f t="shared" si="30"/>
        <v>0</v>
      </c>
      <c r="BO19" s="2">
        <f t="shared" si="31"/>
        <v>0</v>
      </c>
      <c r="BP19" s="2">
        <f t="shared" si="32"/>
        <v>0</v>
      </c>
      <c r="BQ19" s="2">
        <f t="shared" si="33"/>
        <v>0</v>
      </c>
      <c r="BR19" s="2">
        <f t="shared" si="34"/>
        <v>100</v>
      </c>
      <c r="BS19" s="2">
        <f t="shared" si="35"/>
        <v>0</v>
      </c>
      <c r="BT19" s="2">
        <f t="shared" si="36"/>
        <v>0</v>
      </c>
      <c r="BU19" s="2">
        <f t="shared" si="37"/>
        <v>0</v>
      </c>
      <c r="BV19" s="2">
        <f t="shared" si="38"/>
        <v>0</v>
      </c>
      <c r="BW19" s="2">
        <f t="shared" si="39"/>
        <v>0</v>
      </c>
      <c r="BX19" s="2">
        <f t="shared" si="40"/>
        <v>50.418855975975902</v>
      </c>
      <c r="BY19" s="20">
        <f t="shared" si="41"/>
        <v>-100</v>
      </c>
      <c r="BZ19" s="20"/>
      <c r="CA19" s="20"/>
      <c r="CB19" s="20" t="str">
        <f t="shared" si="42"/>
        <v>-</v>
      </c>
      <c r="CC19" s="20" t="str">
        <f t="shared" si="43"/>
        <v>-</v>
      </c>
      <c r="CD19" s="20" t="str">
        <f t="shared" si="44"/>
        <v>-</v>
      </c>
      <c r="CE19" s="20" t="str">
        <f t="shared" si="45"/>
        <v>-</v>
      </c>
      <c r="CF19" s="2" t="str">
        <f t="shared" si="46"/>
        <v>-</v>
      </c>
      <c r="CG19" s="14">
        <f t="shared" si="47"/>
        <v>50.418855975975902</v>
      </c>
      <c r="CH19" s="37" t="str">
        <f t="shared" si="48"/>
        <v>-</v>
      </c>
      <c r="CI19" s="71" t="str">
        <f t="shared" ref="CI19:CI36" si="76">IF(G19="AND",BC19/$CH19,"-")</f>
        <v>-</v>
      </c>
      <c r="CJ19" s="37" t="str">
        <f t="shared" si="49"/>
        <v>-</v>
      </c>
      <c r="CK19" s="37" t="str">
        <f t="shared" si="50"/>
        <v>-</v>
      </c>
      <c r="CL19" s="37" t="str">
        <f t="shared" si="51"/>
        <v>-</v>
      </c>
      <c r="CM19" s="37" t="str">
        <f t="shared" si="52"/>
        <v>-</v>
      </c>
      <c r="CN19" s="37" t="str">
        <f t="shared" si="53"/>
        <v>-</v>
      </c>
      <c r="CO19" s="13" t="str">
        <f t="shared" si="54"/>
        <v>-</v>
      </c>
      <c r="CP19" s="37" t="str">
        <f t="shared" si="55"/>
        <v>-</v>
      </c>
      <c r="CQ19" s="2" t="str">
        <f t="shared" si="56"/>
        <v>-</v>
      </c>
      <c r="CR19" s="2" t="str">
        <f t="shared" si="57"/>
        <v>-</v>
      </c>
      <c r="CS19" s="37">
        <f t="shared" si="58"/>
        <v>0</v>
      </c>
      <c r="CT19" s="37" t="str">
        <f t="shared" si="59"/>
        <v>-</v>
      </c>
      <c r="CU19" s="37">
        <f t="shared" ref="CT19:CU50" si="77">CG19*$B$2/1000/$H$3/$H$5/$E$4</f>
        <v>0.39539566482796229</v>
      </c>
      <c r="CV19" s="37"/>
      <c r="CW19" s="37" t="str">
        <f t="shared" si="60"/>
        <v>-</v>
      </c>
      <c r="CX19" s="13" t="str">
        <f t="shared" si="61"/>
        <v>-</v>
      </c>
      <c r="CY19" s="13" t="str">
        <f t="shared" si="62"/>
        <v>-</v>
      </c>
      <c r="CZ19" s="2" t="str">
        <f t="shared" si="63"/>
        <v>-</v>
      </c>
      <c r="DA19" s="2" t="str">
        <f>IF(G19="AND",AI19,"-")</f>
        <v>-</v>
      </c>
      <c r="DB19" s="2"/>
      <c r="DC19" s="2" t="str">
        <f t="shared" si="64"/>
        <v>50-CTD</v>
      </c>
      <c r="DD19" s="2" t="str">
        <f t="shared" ref="DD19:DD49" si="78">IF(FLOOR(CG19,1)=FLOOR(CG18,1),DD18,IF(DD18="G","B","G"))</f>
        <v>G</v>
      </c>
      <c r="DE19" s="16" t="str">
        <f t="shared" si="65"/>
        <v>-</v>
      </c>
      <c r="DF19" s="16">
        <f t="shared" si="66"/>
        <v>0</v>
      </c>
      <c r="DG19" s="64">
        <f t="shared" si="67"/>
        <v>0</v>
      </c>
      <c r="DH19" s="76"/>
      <c r="DI19" s="61"/>
      <c r="DJ19" s="61"/>
      <c r="DK19" s="37">
        <f t="shared" si="68"/>
        <v>0</v>
      </c>
      <c r="DL19" s="61"/>
      <c r="DM19" s="1"/>
      <c r="DN19" s="2"/>
      <c r="DO19" s="37"/>
      <c r="DP19" s="37"/>
      <c r="DQ19" s="37"/>
      <c r="DR19" s="37"/>
      <c r="DS19" s="16"/>
      <c r="DT19" s="16"/>
      <c r="DU19" s="37"/>
      <c r="DV19" s="2"/>
      <c r="DW19" s="2"/>
      <c r="DX19" s="55"/>
      <c r="DY19" s="2"/>
      <c r="DZ19" s="37"/>
      <c r="EA19" s="2"/>
      <c r="EB19" s="2"/>
      <c r="EC19" s="14"/>
      <c r="ED19" s="2"/>
      <c r="EE19" s="61"/>
      <c r="EF19" s="61"/>
      <c r="EG19" s="61"/>
      <c r="EH19" s="61"/>
      <c r="EI19" s="61"/>
      <c r="EJ19" s="61"/>
      <c r="EK19" s="61"/>
      <c r="EL19" s="61"/>
      <c r="EM19" s="61"/>
      <c r="EN19" s="61"/>
      <c r="EO19" s="61"/>
      <c r="EP19" s="61"/>
      <c r="EQ19" s="61"/>
      <c r="ER19" s="61"/>
      <c r="ES19" s="61"/>
      <c r="ET19" s="61"/>
      <c r="EU19" s="61"/>
      <c r="EV19" s="61"/>
      <c r="EW19" s="61"/>
      <c r="EX19" s="61"/>
      <c r="EY19" s="61"/>
      <c r="EZ19" s="61"/>
      <c r="FA19" s="61"/>
      <c r="FB19" s="61"/>
      <c r="FC19" s="61"/>
      <c r="FD19" s="61"/>
      <c r="FE19" s="61"/>
    </row>
    <row r="20" spans="1:161" x14ac:dyDescent="0.25">
      <c r="A20" s="22" t="s">
        <v>89</v>
      </c>
      <c r="B20" s="51">
        <v>43895.657418981478</v>
      </c>
      <c r="C20" s="14">
        <f t="shared" si="69"/>
        <v>1583419600.9999998</v>
      </c>
      <c r="D20" s="14">
        <f t="shared" ref="D20:D49" si="79">(C20-C19)/60</f>
        <v>29.599999996026359</v>
      </c>
      <c r="E20" s="16">
        <f t="shared" si="70"/>
        <v>1.0654166666004392</v>
      </c>
      <c r="F20" s="14">
        <f t="shared" si="0"/>
        <v>1.0654166666004392</v>
      </c>
      <c r="G20" s="46" t="s">
        <v>70</v>
      </c>
      <c r="H20" s="14" t="str">
        <f t="shared" si="71"/>
        <v>Yes</v>
      </c>
      <c r="I20" s="46">
        <v>2.8601018428274418</v>
      </c>
      <c r="J20" s="46">
        <v>2.8602422000000001</v>
      </c>
      <c r="K20" s="46">
        <v>2.8599188999999998</v>
      </c>
      <c r="L20" s="46">
        <v>6.226953605352379E-2</v>
      </c>
      <c r="M20" s="46">
        <v>100.31234955878926</v>
      </c>
      <c r="N20" s="16">
        <f>M20*$B$2/1000</f>
        <v>0.22570278650727585</v>
      </c>
      <c r="O20" s="49">
        <v>3351.19</v>
      </c>
      <c r="P20" s="49"/>
      <c r="Q20" s="49"/>
      <c r="R20" s="49"/>
      <c r="S20" s="49">
        <v>435877.93</v>
      </c>
      <c r="T20" s="49">
        <v>332.43</v>
      </c>
      <c r="U20" s="49">
        <v>7768975</v>
      </c>
      <c r="V20" s="49"/>
      <c r="W20" s="49"/>
      <c r="X20" s="49"/>
      <c r="Y20" s="49"/>
      <c r="Z20" s="17">
        <f t="shared" si="2"/>
        <v>5.1708105616153514E-2</v>
      </c>
      <c r="AA20" s="17">
        <f t="shared" si="72"/>
        <v>2.7841183815982884</v>
      </c>
      <c r="AB20" s="17">
        <f t="shared" si="73"/>
        <v>0</v>
      </c>
      <c r="AC20" s="17">
        <f t="shared" si="73"/>
        <v>80.718870427194446</v>
      </c>
      <c r="AD20" s="17">
        <f t="shared" si="3"/>
        <v>0</v>
      </c>
      <c r="AE20" s="17">
        <f t="shared" si="3"/>
        <v>0</v>
      </c>
      <c r="AF20" s="36">
        <f t="shared" si="4"/>
        <v>1.1703752100951703E-4</v>
      </c>
      <c r="AG20" s="36">
        <f t="shared" si="5"/>
        <v>0</v>
      </c>
      <c r="AH20" s="36">
        <f t="shared" si="74"/>
        <v>0</v>
      </c>
      <c r="AI20" s="36">
        <f t="shared" ref="AI20:AI49" si="80">IF(AJ20="FID",Z20+AA20+AC20+AD20+AE20,Z20+AB20+AC20+AD20+AE20+AG20+AF20+AH20)</f>
        <v>83.554696914408893</v>
      </c>
      <c r="AJ20" s="67" t="s">
        <v>142</v>
      </c>
      <c r="AK20" s="37">
        <f t="shared" si="6"/>
        <v>2.7841183815982884</v>
      </c>
      <c r="AL20" s="16">
        <f t="shared" si="7"/>
        <v>2.5880943730641481E-2</v>
      </c>
      <c r="AM20" s="18">
        <f t="shared" si="8"/>
        <v>3.7198397183568511E-5</v>
      </c>
      <c r="AN20" s="14">
        <f t="shared" si="9"/>
        <v>50.03822691632287</v>
      </c>
      <c r="AO20" s="14">
        <f t="shared" si="10"/>
        <v>1.6445126738244744</v>
      </c>
      <c r="AP20" s="14">
        <f t="shared" si="11"/>
        <v>88.545459351265592</v>
      </c>
      <c r="AQ20" s="14">
        <f t="shared" si="12"/>
        <v>0</v>
      </c>
      <c r="AR20" s="14">
        <f t="shared" si="13"/>
        <v>1.4888937377974398E-2</v>
      </c>
      <c r="AS20" s="14">
        <f t="shared" si="14"/>
        <v>0</v>
      </c>
      <c r="AT20" s="14">
        <f t="shared" si="15"/>
        <v>90.204860962468047</v>
      </c>
      <c r="AU20" s="14">
        <f t="shared" si="16"/>
        <v>9.7951390375319534</v>
      </c>
      <c r="AV20" s="14">
        <f>IF(G20="CTD",$AO20/100*M20,"-")</f>
        <v>1.6496493019053986</v>
      </c>
      <c r="AW20" s="14">
        <f t="shared" si="18"/>
        <v>88.8220307028772</v>
      </c>
      <c r="AX20" s="14">
        <f t="shared" si="19"/>
        <v>0</v>
      </c>
      <c r="AY20" s="14">
        <f t="shared" si="20"/>
        <v>1.4935442908182911E-2</v>
      </c>
      <c r="AZ20" s="14">
        <f t="shared" si="21"/>
        <v>0</v>
      </c>
      <c r="BA20" s="14">
        <f t="shared" si="22"/>
        <v>9.8257341110984804</v>
      </c>
      <c r="BB20" s="14">
        <f t="shared" si="23"/>
        <v>98.176612502588441</v>
      </c>
      <c r="BC20" s="57"/>
      <c r="BD20" s="57"/>
      <c r="BE20" s="57"/>
      <c r="BF20" s="57"/>
      <c r="BG20" s="36">
        <f t="shared" si="24"/>
        <v>0.98736362070559591</v>
      </c>
      <c r="BH20" s="25">
        <f t="shared" si="75"/>
        <v>0</v>
      </c>
      <c r="BI20" s="14">
        <f t="shared" si="25"/>
        <v>0</v>
      </c>
      <c r="BJ20" s="2">
        <f t="shared" si="26"/>
        <v>0</v>
      </c>
      <c r="BK20" s="2">
        <f t="shared" si="27"/>
        <v>0</v>
      </c>
      <c r="BL20" s="2">
        <f t="shared" si="28"/>
        <v>0</v>
      </c>
      <c r="BM20" s="2">
        <f>IF(G20="CTD",($BH20/$B$3*$E$3)*(AK20/100)*$H$4*$H$3/$N20*100,"-")</f>
        <v>0</v>
      </c>
      <c r="BN20" s="2">
        <f t="shared" si="30"/>
        <v>0</v>
      </c>
      <c r="BO20" s="2">
        <f t="shared" si="31"/>
        <v>0</v>
      </c>
      <c r="BP20" s="2">
        <f t="shared" si="32"/>
        <v>0</v>
      </c>
      <c r="BQ20" s="2">
        <f t="shared" si="33"/>
        <v>0</v>
      </c>
      <c r="BR20" s="2">
        <f t="shared" si="34"/>
        <v>100</v>
      </c>
      <c r="BS20" s="2">
        <f t="shared" si="35"/>
        <v>0</v>
      </c>
      <c r="BT20" s="2">
        <f t="shared" si="36"/>
        <v>0</v>
      </c>
      <c r="BU20" s="2">
        <f t="shared" si="37"/>
        <v>0</v>
      </c>
      <c r="BV20" s="2">
        <f t="shared" si="38"/>
        <v>0</v>
      </c>
      <c r="BW20" s="2">
        <f t="shared" si="39"/>
        <v>0</v>
      </c>
      <c r="BX20" s="2">
        <f t="shared" si="40"/>
        <v>100.31234955878926</v>
      </c>
      <c r="BY20" s="20">
        <f t="shared" si="41"/>
        <v>-100</v>
      </c>
      <c r="BZ20" s="20"/>
      <c r="CA20" s="20"/>
      <c r="CB20" s="20" t="str">
        <f t="shared" si="42"/>
        <v>-</v>
      </c>
      <c r="CC20" s="20" t="str">
        <f t="shared" si="43"/>
        <v>-</v>
      </c>
      <c r="CD20" s="20" t="str">
        <f t="shared" si="44"/>
        <v>-</v>
      </c>
      <c r="CE20" s="20" t="str">
        <f t="shared" si="45"/>
        <v>-</v>
      </c>
      <c r="CF20" s="2" t="str">
        <f t="shared" si="46"/>
        <v>-</v>
      </c>
      <c r="CG20" s="14">
        <f t="shared" si="47"/>
        <v>100.31234955878926</v>
      </c>
      <c r="CH20" s="37" t="str">
        <f t="shared" si="48"/>
        <v>-</v>
      </c>
      <c r="CI20" s="71" t="str">
        <f t="shared" si="76"/>
        <v>-</v>
      </c>
      <c r="CJ20" s="37" t="str">
        <f t="shared" si="49"/>
        <v>-</v>
      </c>
      <c r="CK20" s="37" t="str">
        <f t="shared" si="50"/>
        <v>-</v>
      </c>
      <c r="CL20" s="37" t="str">
        <f t="shared" si="51"/>
        <v>-</v>
      </c>
      <c r="CM20" s="37" t="str">
        <f t="shared" si="52"/>
        <v>-</v>
      </c>
      <c r="CN20" s="37" t="str">
        <f t="shared" si="53"/>
        <v>-</v>
      </c>
      <c r="CO20" s="13" t="str">
        <f t="shared" si="54"/>
        <v>-</v>
      </c>
      <c r="CP20" s="37" t="str">
        <f t="shared" si="55"/>
        <v>-</v>
      </c>
      <c r="CQ20" s="2" t="str">
        <f t="shared" si="56"/>
        <v>-</v>
      </c>
      <c r="CR20" s="2" t="str">
        <f t="shared" si="57"/>
        <v>-</v>
      </c>
      <c r="CS20" s="37">
        <f t="shared" si="58"/>
        <v>0</v>
      </c>
      <c r="CT20" s="37" t="str">
        <f t="shared" si="59"/>
        <v>-</v>
      </c>
      <c r="CU20" s="37">
        <f t="shared" si="77"/>
        <v>0.78667132318812427</v>
      </c>
      <c r="CV20" s="37"/>
      <c r="CW20" s="37" t="str">
        <f t="shared" si="60"/>
        <v>-</v>
      </c>
      <c r="CX20" s="13" t="str">
        <f t="shared" si="61"/>
        <v>-</v>
      </c>
      <c r="CY20" s="13" t="str">
        <f t="shared" si="62"/>
        <v>-</v>
      </c>
      <c r="CZ20" s="2" t="str">
        <f t="shared" si="63"/>
        <v>-</v>
      </c>
      <c r="DA20" s="2" t="str">
        <f>IF(G20="AND",AI20,"-")</f>
        <v>-</v>
      </c>
      <c r="DB20" s="2"/>
      <c r="DC20" s="2" t="str">
        <f t="shared" si="64"/>
        <v>100-CTD</v>
      </c>
      <c r="DD20" s="2" t="str">
        <f t="shared" si="78"/>
        <v>B</v>
      </c>
      <c r="DE20" s="16" t="str">
        <f t="shared" si="65"/>
        <v>-</v>
      </c>
      <c r="DF20" s="16">
        <f t="shared" si="66"/>
        <v>0</v>
      </c>
      <c r="DG20" s="64">
        <f t="shared" si="67"/>
        <v>0</v>
      </c>
      <c r="DH20" s="37"/>
      <c r="DI20" s="14"/>
      <c r="DJ20" s="61"/>
      <c r="DK20" s="37">
        <f t="shared" si="68"/>
        <v>0</v>
      </c>
      <c r="DL20" s="61"/>
      <c r="DM20" s="1"/>
      <c r="DN20" s="14"/>
      <c r="DO20" s="16"/>
      <c r="DP20" s="16"/>
      <c r="DQ20" s="16"/>
      <c r="DR20" s="37"/>
      <c r="DS20" s="16"/>
      <c r="DT20" s="16"/>
      <c r="DU20" s="37"/>
      <c r="DV20" s="2"/>
      <c r="DW20" s="2"/>
      <c r="DX20" s="55"/>
      <c r="DY20" s="2"/>
      <c r="DZ20" s="37"/>
      <c r="EA20" s="2"/>
      <c r="EB20" s="2"/>
      <c r="EC20" s="14"/>
      <c r="ED20" s="2"/>
      <c r="EE20" s="61"/>
      <c r="EF20" s="61"/>
      <c r="EG20" s="61"/>
      <c r="EH20" s="61"/>
      <c r="EI20" s="61"/>
      <c r="EJ20" s="61"/>
      <c r="EK20" s="61"/>
      <c r="EL20" s="61"/>
      <c r="EM20" s="61"/>
      <c r="EN20" s="61"/>
      <c r="EO20" s="61"/>
      <c r="EP20" s="61"/>
      <c r="EQ20" s="61"/>
      <c r="ER20" s="61"/>
      <c r="ES20" s="61"/>
      <c r="ET20" s="61"/>
      <c r="EU20" s="61"/>
      <c r="EV20" s="61"/>
      <c r="EW20" s="61"/>
      <c r="EX20" s="61"/>
      <c r="EY20" s="61"/>
      <c r="EZ20" s="61"/>
      <c r="FA20" s="61"/>
      <c r="FB20" s="61"/>
      <c r="FC20" s="61"/>
      <c r="FD20" s="61"/>
      <c r="FE20" s="61"/>
    </row>
    <row r="21" spans="1:161" x14ac:dyDescent="0.25">
      <c r="A21" s="22" t="s">
        <v>90</v>
      </c>
      <c r="B21" s="51">
        <v>43895.677986111114</v>
      </c>
      <c r="C21" s="14">
        <f t="shared" si="69"/>
        <v>1583421378.0000002</v>
      </c>
      <c r="D21" s="14">
        <f t="shared" si="79"/>
        <v>29.616666674613953</v>
      </c>
      <c r="E21" s="16">
        <f t="shared" si="70"/>
        <v>1.5590277778440051</v>
      </c>
      <c r="F21" s="14">
        <f t="shared" si="0"/>
        <v>1.5590277778440051</v>
      </c>
      <c r="G21" s="46" t="s">
        <v>70</v>
      </c>
      <c r="H21" s="14" t="str">
        <f t="shared" si="71"/>
        <v>Yes</v>
      </c>
      <c r="I21" s="46">
        <v>2.9680249284823272</v>
      </c>
      <c r="J21" s="46">
        <v>2.9711653999999998</v>
      </c>
      <c r="K21" s="46">
        <v>2.9640398000000001</v>
      </c>
      <c r="L21" s="46">
        <v>2.1267367449039218</v>
      </c>
      <c r="M21" s="46">
        <v>150.49965920073922</v>
      </c>
      <c r="N21" s="16">
        <f t="shared" si="1"/>
        <v>0.33862423320166324</v>
      </c>
      <c r="O21" s="49">
        <v>11473.97</v>
      </c>
      <c r="P21" s="49"/>
      <c r="Q21" s="49"/>
      <c r="R21" s="49"/>
      <c r="S21" s="49">
        <v>428219.27</v>
      </c>
      <c r="T21" s="49">
        <v>1332.35</v>
      </c>
      <c r="U21" s="49">
        <v>10463891.890000001</v>
      </c>
      <c r="V21" s="49"/>
      <c r="W21" s="49"/>
      <c r="X21" s="49"/>
      <c r="Y21" s="49"/>
      <c r="Z21" s="17">
        <f t="shared" si="2"/>
        <v>0.17704076838274671</v>
      </c>
      <c r="AA21" s="17">
        <f t="shared" si="72"/>
        <v>3.7498786846406711</v>
      </c>
      <c r="AB21" s="17">
        <f t="shared" si="73"/>
        <v>0</v>
      </c>
      <c r="AC21" s="17">
        <f t="shared" si="73"/>
        <v>79.300587138141623</v>
      </c>
      <c r="AD21" s="17">
        <f t="shared" si="3"/>
        <v>0</v>
      </c>
      <c r="AE21" s="17">
        <f t="shared" si="3"/>
        <v>0</v>
      </c>
      <c r="AF21" s="36">
        <f t="shared" si="4"/>
        <v>4.690760193635653E-4</v>
      </c>
      <c r="AG21" s="36">
        <f t="shared" si="5"/>
        <v>0</v>
      </c>
      <c r="AH21" s="36">
        <f t="shared" si="74"/>
        <v>0</v>
      </c>
      <c r="AI21" s="36">
        <f t="shared" si="80"/>
        <v>83.227506591165039</v>
      </c>
      <c r="AJ21" s="67" t="s">
        <v>142</v>
      </c>
      <c r="AK21" s="37">
        <f t="shared" si="6"/>
        <v>3.7498786846406711</v>
      </c>
      <c r="AL21" s="16">
        <f t="shared" si="7"/>
        <v>8.8612454661498877E-2</v>
      </c>
      <c r="AM21" s="18">
        <f t="shared" si="8"/>
        <v>3.7245043271863408E-5</v>
      </c>
      <c r="AN21" s="14">
        <f t="shared" si="9"/>
        <v>50.100973908870436</v>
      </c>
      <c r="AO21" s="14">
        <f t="shared" si="10"/>
        <v>3.7576387486665621</v>
      </c>
      <c r="AP21" s="14">
        <f t="shared" si="11"/>
        <v>79.590082990047463</v>
      </c>
      <c r="AQ21" s="14">
        <f t="shared" si="12"/>
        <v>0</v>
      </c>
      <c r="AR21" s="14">
        <f t="shared" si="13"/>
        <v>3.9824007600784299E-2</v>
      </c>
      <c r="AS21" s="14">
        <f t="shared" si="14"/>
        <v>0</v>
      </c>
      <c r="AT21" s="14">
        <f t="shared" si="15"/>
        <v>83.387545746314814</v>
      </c>
      <c r="AU21" s="14">
        <f t="shared" si="16"/>
        <v>16.612454253685186</v>
      </c>
      <c r="AV21" s="14">
        <f t="shared" si="17"/>
        <v>5.6552335107380971</v>
      </c>
      <c r="AW21" s="14">
        <f t="shared" si="18"/>
        <v>119.78280365760695</v>
      </c>
      <c r="AX21" s="14">
        <f t="shared" si="19"/>
        <v>0</v>
      </c>
      <c r="AY21" s="14">
        <f t="shared" si="20"/>
        <v>5.9934995719256853E-2</v>
      </c>
      <c r="AZ21" s="14">
        <f t="shared" si="21"/>
        <v>0</v>
      </c>
      <c r="BA21" s="14">
        <f t="shared" si="22"/>
        <v>25.001687036674909</v>
      </c>
      <c r="BB21" s="14">
        <f t="shared" si="23"/>
        <v>95.491611923783168</v>
      </c>
      <c r="BC21" s="57"/>
      <c r="BD21" s="57"/>
      <c r="BE21" s="57"/>
      <c r="BF21" s="57"/>
      <c r="BG21" s="36">
        <f t="shared" si="24"/>
        <v>0.98182171867289969</v>
      </c>
      <c r="BH21" s="25">
        <f t="shared" si="75"/>
        <v>0</v>
      </c>
      <c r="BI21" s="14">
        <f t="shared" si="25"/>
        <v>0</v>
      </c>
      <c r="BJ21" s="2">
        <f t="shared" si="26"/>
        <v>0</v>
      </c>
      <c r="BK21" s="2">
        <f t="shared" si="27"/>
        <v>0</v>
      </c>
      <c r="BL21" s="2">
        <f t="shared" si="28"/>
        <v>0</v>
      </c>
      <c r="BM21" s="2">
        <f t="shared" si="29"/>
        <v>0</v>
      </c>
      <c r="BN21" s="2">
        <f t="shared" si="30"/>
        <v>0</v>
      </c>
      <c r="BO21" s="2">
        <f t="shared" si="31"/>
        <v>0</v>
      </c>
      <c r="BP21" s="2">
        <f t="shared" si="32"/>
        <v>0</v>
      </c>
      <c r="BQ21" s="2">
        <f t="shared" si="33"/>
        <v>0</v>
      </c>
      <c r="BR21" s="2">
        <f t="shared" si="34"/>
        <v>100</v>
      </c>
      <c r="BS21" s="2">
        <f t="shared" si="35"/>
        <v>0</v>
      </c>
      <c r="BT21" s="2">
        <f t="shared" si="36"/>
        <v>0</v>
      </c>
      <c r="BU21" s="2">
        <f t="shared" si="37"/>
        <v>0</v>
      </c>
      <c r="BV21" s="2">
        <f t="shared" si="38"/>
        <v>0</v>
      </c>
      <c r="BW21" s="2">
        <f t="shared" si="39"/>
        <v>0</v>
      </c>
      <c r="BX21" s="2">
        <f t="shared" si="40"/>
        <v>150.49965920073922</v>
      </c>
      <c r="BY21" s="20">
        <f t="shared" si="41"/>
        <v>-100</v>
      </c>
      <c r="BZ21" s="20"/>
      <c r="CA21" s="20"/>
      <c r="CB21" s="20" t="str">
        <f t="shared" si="42"/>
        <v>-</v>
      </c>
      <c r="CC21" s="20" t="str">
        <f t="shared" si="43"/>
        <v>-</v>
      </c>
      <c r="CD21" s="20" t="str">
        <f t="shared" si="44"/>
        <v>-</v>
      </c>
      <c r="CE21" s="20" t="str">
        <f t="shared" si="45"/>
        <v>-</v>
      </c>
      <c r="CF21" s="2" t="str">
        <f t="shared" si="46"/>
        <v>-</v>
      </c>
      <c r="CG21" s="14">
        <f t="shared" si="47"/>
        <v>150.49965920073922</v>
      </c>
      <c r="CH21" s="37" t="str">
        <f t="shared" si="48"/>
        <v>-</v>
      </c>
      <c r="CI21" s="71" t="str">
        <f t="shared" si="76"/>
        <v>-</v>
      </c>
      <c r="CJ21" s="37" t="str">
        <f t="shared" si="49"/>
        <v>-</v>
      </c>
      <c r="CK21" s="37" t="str">
        <f t="shared" si="50"/>
        <v>-</v>
      </c>
      <c r="CL21" s="37" t="str">
        <f t="shared" si="51"/>
        <v>-</v>
      </c>
      <c r="CM21" s="37" t="str">
        <f t="shared" si="52"/>
        <v>-</v>
      </c>
      <c r="CN21" s="37" t="str">
        <f t="shared" si="53"/>
        <v>-</v>
      </c>
      <c r="CO21" s="13" t="str">
        <f t="shared" si="54"/>
        <v>-</v>
      </c>
      <c r="CP21" s="37" t="str">
        <f t="shared" si="55"/>
        <v>-</v>
      </c>
      <c r="CQ21" s="2" t="str">
        <f t="shared" si="56"/>
        <v>-</v>
      </c>
      <c r="CR21" s="2" t="str">
        <f t="shared" si="57"/>
        <v>-</v>
      </c>
      <c r="CS21" s="37">
        <f t="shared" si="58"/>
        <v>0</v>
      </c>
      <c r="CT21" s="37" t="str">
        <f t="shared" si="59"/>
        <v>-</v>
      </c>
      <c r="CU21" s="37">
        <f t="shared" si="77"/>
        <v>1.1802511511648044</v>
      </c>
      <c r="CV21" s="37" t="e">
        <f>CT21-CU21</f>
        <v>#VALUE!</v>
      </c>
      <c r="CW21" s="37" t="str">
        <f t="shared" si="60"/>
        <v>-</v>
      </c>
      <c r="CX21" s="13" t="str">
        <f t="shared" si="61"/>
        <v>-</v>
      </c>
      <c r="CY21" s="13" t="str">
        <f t="shared" si="62"/>
        <v>-</v>
      </c>
      <c r="CZ21" s="2" t="str">
        <f t="shared" si="63"/>
        <v>-</v>
      </c>
      <c r="DA21" s="2" t="str">
        <f>IF(G21="AND",AI21,"-")</f>
        <v>-</v>
      </c>
      <c r="DB21" s="2"/>
      <c r="DC21" s="2" t="str">
        <f t="shared" si="64"/>
        <v>150-CTD</v>
      </c>
      <c r="DD21" s="2" t="str">
        <f t="shared" si="78"/>
        <v>G</v>
      </c>
      <c r="DE21" s="16" t="str">
        <f t="shared" si="65"/>
        <v>-</v>
      </c>
      <c r="DF21" s="16">
        <f t="shared" si="66"/>
        <v>0</v>
      </c>
      <c r="DG21" s="64">
        <f t="shared" si="67"/>
        <v>0</v>
      </c>
      <c r="DH21" s="76"/>
      <c r="DI21" s="15"/>
      <c r="DJ21" s="61"/>
      <c r="DK21" s="37">
        <f t="shared" si="68"/>
        <v>0</v>
      </c>
      <c r="DL21" s="61"/>
      <c r="DM21" s="1"/>
      <c r="DN21" s="14"/>
      <c r="DO21" s="16"/>
      <c r="DP21" s="16"/>
      <c r="DQ21" s="16"/>
      <c r="DR21" s="37"/>
      <c r="DS21" s="16"/>
      <c r="DT21" s="16"/>
      <c r="DU21" s="37"/>
      <c r="DV21" s="2"/>
      <c r="DW21" s="2"/>
      <c r="DX21" s="55"/>
      <c r="DY21" s="2"/>
      <c r="DZ21" s="37"/>
      <c r="EA21" s="2"/>
      <c r="EB21" s="2"/>
      <c r="EC21" s="14"/>
      <c r="ED21" s="2"/>
      <c r="EE21" s="61"/>
      <c r="EF21" s="61"/>
      <c r="EG21" s="61"/>
      <c r="EH21" s="61"/>
      <c r="EI21" s="61"/>
      <c r="EJ21" s="61"/>
      <c r="EK21" s="61"/>
      <c r="EL21" s="61"/>
      <c r="EM21" s="61"/>
      <c r="EN21" s="61"/>
      <c r="EO21" s="61"/>
      <c r="EP21" s="61"/>
      <c r="EQ21" s="61"/>
      <c r="ER21" s="61"/>
      <c r="ES21" s="61"/>
      <c r="ET21" s="61"/>
      <c r="EU21" s="61"/>
      <c r="EV21" s="61"/>
      <c r="EW21" s="61"/>
      <c r="EX21" s="61"/>
      <c r="EY21" s="61"/>
      <c r="EZ21" s="61"/>
      <c r="FA21" s="61"/>
      <c r="FB21" s="61"/>
      <c r="FC21" s="61"/>
      <c r="FD21" s="61"/>
      <c r="FE21" s="61"/>
    </row>
    <row r="22" spans="1:161" x14ac:dyDescent="0.25">
      <c r="A22" s="68" t="s">
        <v>91</v>
      </c>
      <c r="B22" s="51">
        <v>43895.698553240742</v>
      </c>
      <c r="C22" s="14">
        <f t="shared" si="69"/>
        <v>1583423155</v>
      </c>
      <c r="D22" s="14">
        <f t="shared" si="79"/>
        <v>29.616666662693024</v>
      </c>
      <c r="E22" s="16">
        <f t="shared" si="70"/>
        <v>2.0526388888888887</v>
      </c>
      <c r="F22" s="14">
        <f t="shared" si="0"/>
        <v>2.0526388888888887</v>
      </c>
      <c r="G22" s="46" t="s">
        <v>70</v>
      </c>
      <c r="H22" s="14" t="str">
        <f t="shared" si="71"/>
        <v>Yes</v>
      </c>
      <c r="I22" s="46">
        <v>2.9966406027026995</v>
      </c>
      <c r="J22" s="46">
        <v>3.0531623999999997</v>
      </c>
      <c r="K22" s="46">
        <v>2.9673639999999999</v>
      </c>
      <c r="L22" s="46">
        <v>13.930574061199186</v>
      </c>
      <c r="M22" s="46">
        <v>200.40758617694596</v>
      </c>
      <c r="N22" s="16">
        <f t="shared" si="1"/>
        <v>0.45091706889812838</v>
      </c>
      <c r="O22" s="49">
        <v>88394.61</v>
      </c>
      <c r="P22" s="49"/>
      <c r="Q22" s="49"/>
      <c r="R22" s="49"/>
      <c r="S22" s="49">
        <v>423387.77</v>
      </c>
      <c r="T22" s="49">
        <v>1693.04</v>
      </c>
      <c r="U22" s="49">
        <v>10856136.789999999</v>
      </c>
      <c r="V22" s="49"/>
      <c r="W22" s="49"/>
      <c r="X22" s="49"/>
      <c r="Y22" s="49"/>
      <c r="Z22" s="17">
        <f t="shared" si="2"/>
        <v>1.3639088890151558</v>
      </c>
      <c r="AA22" s="17">
        <f t="shared" si="72"/>
        <v>3.8904450059608164</v>
      </c>
      <c r="AB22" s="17">
        <f t="shared" si="73"/>
        <v>0</v>
      </c>
      <c r="AC22" s="17">
        <f t="shared" si="73"/>
        <v>78.405856766110659</v>
      </c>
      <c r="AD22" s="17">
        <f t="shared" si="3"/>
        <v>0</v>
      </c>
      <c r="AE22" s="17">
        <f t="shared" si="3"/>
        <v>0</v>
      </c>
      <c r="AF22" s="36">
        <f t="shared" si="4"/>
        <v>5.9606294428888099E-4</v>
      </c>
      <c r="AG22" s="36">
        <f t="shared" si="5"/>
        <v>0</v>
      </c>
      <c r="AH22" s="36">
        <f t="shared" si="74"/>
        <v>0</v>
      </c>
      <c r="AI22" s="36">
        <f t="shared" si="80"/>
        <v>83.660210661086637</v>
      </c>
      <c r="AJ22" s="67" t="s">
        <v>142</v>
      </c>
      <c r="AK22" s="37">
        <f t="shared" si="6"/>
        <v>3.8904450059608164</v>
      </c>
      <c r="AL22" s="16">
        <f t="shared" si="7"/>
        <v>0.68266374854961942</v>
      </c>
      <c r="AM22" s="18">
        <f t="shared" si="8"/>
        <v>3.7686769745452523E-5</v>
      </c>
      <c r="AN22" s="14">
        <f t="shared" si="9"/>
        <v>50.6951718096919</v>
      </c>
      <c r="AO22" s="14">
        <f t="shared" si="10"/>
        <v>21.997275295314491</v>
      </c>
      <c r="AP22" s="14">
        <f t="shared" si="11"/>
        <v>62.745532716042405</v>
      </c>
      <c r="AQ22" s="14">
        <f t="shared" si="12"/>
        <v>0</v>
      </c>
      <c r="AR22" s="14">
        <f t="shared" si="13"/>
        <v>3.8453479655304226E-2</v>
      </c>
      <c r="AS22" s="14">
        <f t="shared" si="14"/>
        <v>0</v>
      </c>
      <c r="AT22" s="14">
        <f t="shared" si="15"/>
        <v>84.781261491012202</v>
      </c>
      <c r="AU22" s="14">
        <f t="shared" si="16"/>
        <v>15.218738508987798</v>
      </c>
      <c r="AV22" s="14">
        <f t="shared" si="17"/>
        <v>44.084208444037436</v>
      </c>
      <c r="AW22" s="14">
        <f t="shared" si="18"/>
        <v>125.7468075500865</v>
      </c>
      <c r="AX22" s="14">
        <f t="shared" si="19"/>
        <v>0</v>
      </c>
      <c r="AY22" s="14">
        <f t="shared" si="20"/>
        <v>7.7063690378238195E-2</v>
      </c>
      <c r="AZ22" s="14">
        <f t="shared" si="21"/>
        <v>0</v>
      </c>
      <c r="BA22" s="14">
        <f t="shared" si="22"/>
        <v>30.499506492443778</v>
      </c>
      <c r="BB22" s="14">
        <f t="shared" si="23"/>
        <v>74.042310124575408</v>
      </c>
      <c r="BC22" s="57"/>
      <c r="BD22" s="57"/>
      <c r="BE22" s="57"/>
      <c r="BF22" s="57"/>
      <c r="BG22" s="36">
        <f t="shared" si="24"/>
        <v>0.96332246704391211</v>
      </c>
      <c r="BH22" s="25">
        <f t="shared" si="75"/>
        <v>0</v>
      </c>
      <c r="BI22" s="14">
        <f t="shared" si="25"/>
        <v>0</v>
      </c>
      <c r="BJ22" s="2">
        <f t="shared" si="26"/>
        <v>0</v>
      </c>
      <c r="BK22" s="2">
        <f t="shared" si="27"/>
        <v>0</v>
      </c>
      <c r="BL22" s="2">
        <f t="shared" si="28"/>
        <v>0</v>
      </c>
      <c r="BM22" s="2">
        <f t="shared" si="29"/>
        <v>0</v>
      </c>
      <c r="BN22" s="2">
        <f t="shared" si="30"/>
        <v>0</v>
      </c>
      <c r="BO22" s="2">
        <f t="shared" si="31"/>
        <v>0</v>
      </c>
      <c r="BP22" s="2">
        <f t="shared" si="32"/>
        <v>0</v>
      </c>
      <c r="BQ22" s="2">
        <f t="shared" si="33"/>
        <v>0</v>
      </c>
      <c r="BR22" s="2">
        <f t="shared" si="34"/>
        <v>100</v>
      </c>
      <c r="BS22" s="2">
        <f t="shared" si="35"/>
        <v>0</v>
      </c>
      <c r="BT22" s="2">
        <f t="shared" si="36"/>
        <v>0</v>
      </c>
      <c r="BU22" s="2">
        <f t="shared" si="37"/>
        <v>0</v>
      </c>
      <c r="BV22" s="2">
        <f t="shared" si="38"/>
        <v>0</v>
      </c>
      <c r="BW22" s="2">
        <f t="shared" si="39"/>
        <v>0</v>
      </c>
      <c r="BX22" s="2">
        <f t="shared" si="40"/>
        <v>200.40758617694596</v>
      </c>
      <c r="BY22" s="20">
        <f t="shared" si="41"/>
        <v>-100</v>
      </c>
      <c r="BZ22" s="20"/>
      <c r="CA22" s="20"/>
      <c r="CB22" s="20" t="str">
        <f t="shared" si="42"/>
        <v>-</v>
      </c>
      <c r="CC22" s="20" t="str">
        <f t="shared" si="43"/>
        <v>-</v>
      </c>
      <c r="CD22" s="20" t="str">
        <f t="shared" si="44"/>
        <v>-</v>
      </c>
      <c r="CE22" s="20" t="str">
        <f t="shared" si="45"/>
        <v>-</v>
      </c>
      <c r="CF22" s="2" t="str">
        <f t="shared" si="46"/>
        <v>-</v>
      </c>
      <c r="CG22" s="14">
        <f t="shared" si="47"/>
        <v>200.40758617694596</v>
      </c>
      <c r="CH22" s="37" t="str">
        <f t="shared" si="48"/>
        <v>-</v>
      </c>
      <c r="CI22" s="71" t="str">
        <f t="shared" si="76"/>
        <v>-</v>
      </c>
      <c r="CJ22" s="37" t="str">
        <f t="shared" si="49"/>
        <v>-</v>
      </c>
      <c r="CK22" s="37" t="str">
        <f t="shared" si="50"/>
        <v>-</v>
      </c>
      <c r="CL22" s="37" t="str">
        <f t="shared" si="51"/>
        <v>-</v>
      </c>
      <c r="CM22" s="37" t="str">
        <f t="shared" si="52"/>
        <v>-</v>
      </c>
      <c r="CN22" s="37" t="str">
        <f t="shared" si="53"/>
        <v>-</v>
      </c>
      <c r="CO22" s="13" t="str">
        <f t="shared" si="54"/>
        <v>-</v>
      </c>
      <c r="CP22" s="37" t="str">
        <f t="shared" si="55"/>
        <v>-</v>
      </c>
      <c r="CQ22" s="2" t="str">
        <f t="shared" si="56"/>
        <v>-</v>
      </c>
      <c r="CR22" s="2" t="str">
        <f t="shared" si="57"/>
        <v>-</v>
      </c>
      <c r="CS22" s="37">
        <f t="shared" si="58"/>
        <v>0</v>
      </c>
      <c r="CT22" s="37" t="str">
        <f t="shared" si="59"/>
        <v>-</v>
      </c>
      <c r="CU22" s="37">
        <f t="shared" si="77"/>
        <v>1.5716399993438552</v>
      </c>
      <c r="CV22" s="37"/>
      <c r="CW22" s="37" t="str">
        <f t="shared" si="60"/>
        <v>-</v>
      </c>
      <c r="CX22" s="13" t="str">
        <f t="shared" si="61"/>
        <v>-</v>
      </c>
      <c r="CY22" s="13" t="str">
        <f t="shared" si="62"/>
        <v>-</v>
      </c>
      <c r="CZ22" s="2" t="str">
        <f t="shared" si="63"/>
        <v>-</v>
      </c>
      <c r="DA22" s="2" t="s">
        <v>174</v>
      </c>
      <c r="DB22" s="2"/>
      <c r="DC22" s="2" t="str">
        <f t="shared" si="64"/>
        <v>200-CTD</v>
      </c>
      <c r="DD22" s="2" t="str">
        <f t="shared" si="78"/>
        <v>B</v>
      </c>
      <c r="DE22" s="16" t="str">
        <f t="shared" si="65"/>
        <v>-</v>
      </c>
      <c r="DF22" s="16">
        <f t="shared" si="66"/>
        <v>0</v>
      </c>
      <c r="DG22" s="64">
        <f t="shared" si="67"/>
        <v>0</v>
      </c>
      <c r="DH22" s="37" t="e">
        <f>DE22+DF21+DG21</f>
        <v>#VALUE!</v>
      </c>
      <c r="DI22" s="37" t="e">
        <f>DH22/$B$3*100</f>
        <v>#VALUE!</v>
      </c>
      <c r="DJ22" s="14" t="e">
        <f>DE22/DF21</f>
        <v>#VALUE!</v>
      </c>
      <c r="DK22" s="37">
        <f t="shared" si="68"/>
        <v>0</v>
      </c>
      <c r="DL22" s="14" t="e">
        <f>DE22+DF21</f>
        <v>#VALUE!</v>
      </c>
      <c r="DM22" s="37"/>
      <c r="DN22" s="14"/>
      <c r="DO22" s="16"/>
      <c r="DP22" s="16"/>
      <c r="DQ22" s="16"/>
      <c r="DR22" s="37"/>
      <c r="DS22" s="16"/>
      <c r="DT22" s="16"/>
      <c r="DU22" s="37"/>
      <c r="DV22" s="2"/>
      <c r="DW22" s="2"/>
      <c r="DX22" s="55"/>
      <c r="DY22" s="2"/>
      <c r="DZ22" s="37"/>
      <c r="EA22" s="2"/>
      <c r="EB22" s="2"/>
      <c r="EC22" s="14"/>
      <c r="ED22" s="2"/>
      <c r="EE22" s="61"/>
      <c r="EF22" s="61"/>
      <c r="EG22" s="61"/>
      <c r="EH22" s="61"/>
      <c r="EI22" s="61"/>
      <c r="EJ22" s="61"/>
      <c r="EK22" s="61"/>
      <c r="EL22" s="61"/>
      <c r="EM22" s="61"/>
      <c r="EN22" s="61"/>
      <c r="EO22" s="61"/>
      <c r="EP22" s="61"/>
      <c r="EQ22" s="61"/>
      <c r="ER22" s="61"/>
      <c r="ES22" s="61"/>
      <c r="ET22" s="61"/>
      <c r="EU22" s="61"/>
      <c r="EV22" s="61"/>
      <c r="EW22" s="61"/>
      <c r="EX22" s="61"/>
      <c r="EY22" s="61"/>
      <c r="EZ22" s="61"/>
      <c r="FA22" s="61"/>
      <c r="FB22" s="61"/>
      <c r="FC22" s="61"/>
      <c r="FD22" s="61"/>
      <c r="FE22" s="61"/>
    </row>
    <row r="23" spans="1:161" x14ac:dyDescent="0.25">
      <c r="A23" s="22" t="s">
        <v>92</v>
      </c>
      <c r="B23" s="51">
        <v>43895.719027777777</v>
      </c>
      <c r="C23" s="14">
        <f t="shared" si="69"/>
        <v>1583424924</v>
      </c>
      <c r="D23" s="14">
        <f t="shared" si="79"/>
        <v>29.483333333333334</v>
      </c>
      <c r="E23" s="16">
        <f t="shared" si="70"/>
        <v>2.544027777777778</v>
      </c>
      <c r="F23" s="14">
        <f t="shared" si="0"/>
        <v>2.544027777777778</v>
      </c>
      <c r="G23" s="46" t="s">
        <v>70</v>
      </c>
      <c r="H23" s="14" t="str">
        <f t="shared" si="71"/>
        <v>Yes</v>
      </c>
      <c r="I23" s="46">
        <v>3.0565323956340955</v>
      </c>
      <c r="J23" s="46">
        <v>3.2705790000000001</v>
      </c>
      <c r="K23" s="46">
        <v>2.9846119</v>
      </c>
      <c r="L23" s="46">
        <v>62.568107993433195</v>
      </c>
      <c r="M23" s="46">
        <v>250.54128148764141</v>
      </c>
      <c r="N23" s="16">
        <f t="shared" si="1"/>
        <v>0.56371788334719319</v>
      </c>
      <c r="O23" s="49">
        <v>199239.13</v>
      </c>
      <c r="P23" s="49"/>
      <c r="Q23" s="49"/>
      <c r="R23" s="49"/>
      <c r="S23" s="49">
        <v>416670.28</v>
      </c>
      <c r="T23" s="49">
        <v>2059.0100000000002</v>
      </c>
      <c r="U23" s="49">
        <v>9371664.1999999993</v>
      </c>
      <c r="V23" s="49"/>
      <c r="W23" s="49"/>
      <c r="X23" s="49"/>
      <c r="Y23" s="49"/>
      <c r="Z23" s="17">
        <f t="shared" si="2"/>
        <v>3.0742148242596037</v>
      </c>
      <c r="AA23" s="17">
        <f>U23/VLOOKUP(AA$17,$AK$2:$AM$13,2,0)</f>
        <v>3.3584639627990329</v>
      </c>
      <c r="AB23" s="17">
        <f t="shared" si="73"/>
        <v>0</v>
      </c>
      <c r="AC23" s="17">
        <f t="shared" si="73"/>
        <v>77.161865805370866</v>
      </c>
      <c r="AD23" s="17">
        <f t="shared" si="3"/>
        <v>0</v>
      </c>
      <c r="AE23" s="17">
        <f t="shared" si="3"/>
        <v>0</v>
      </c>
      <c r="AF23" s="36">
        <f t="shared" si="4"/>
        <v>7.2490878119846488E-4</v>
      </c>
      <c r="AG23" s="36">
        <f t="shared" si="5"/>
        <v>0</v>
      </c>
      <c r="AH23" s="36">
        <f t="shared" si="74"/>
        <v>0</v>
      </c>
      <c r="AI23" s="36">
        <f t="shared" si="80"/>
        <v>83.5945445924295</v>
      </c>
      <c r="AJ23" s="67" t="s">
        <v>142</v>
      </c>
      <c r="AK23" s="37">
        <f t="shared" si="6"/>
        <v>3.3584639627990329</v>
      </c>
      <c r="AL23" s="16">
        <f t="shared" si="7"/>
        <v>1.5387061648166662</v>
      </c>
      <c r="AM23" s="18">
        <f t="shared" si="8"/>
        <v>3.8323308377167998E-5</v>
      </c>
      <c r="AN23" s="14">
        <f t="shared" si="9"/>
        <v>51.551425490128807</v>
      </c>
      <c r="AO23" s="14">
        <f t="shared" si="10"/>
        <v>40.329857263947986</v>
      </c>
      <c r="AP23" s="14">
        <f t="shared" si="11"/>
        <v>44.058850792386998</v>
      </c>
      <c r="AQ23" s="14">
        <f t="shared" si="12"/>
        <v>0</v>
      </c>
      <c r="AR23" s="14">
        <f t="shared" si="13"/>
        <v>3.8039589744230301E-2</v>
      </c>
      <c r="AS23" s="14">
        <f t="shared" si="14"/>
        <v>0</v>
      </c>
      <c r="AT23" s="14">
        <f t="shared" si="15"/>
        <v>84.426747646079221</v>
      </c>
      <c r="AU23" s="14">
        <f t="shared" si="16"/>
        <v>15.573252353920779</v>
      </c>
      <c r="AV23" s="14">
        <f t="shared" si="17"/>
        <v>101.04294121123192</v>
      </c>
      <c r="AW23" s="14">
        <f t="shared" si="18"/>
        <v>110.38560938397424</v>
      </c>
      <c r="AX23" s="14">
        <f t="shared" si="19"/>
        <v>0</v>
      </c>
      <c r="AY23" s="14">
        <f t="shared" si="20"/>
        <v>9.5304875617836002E-2</v>
      </c>
      <c r="AZ23" s="14">
        <f t="shared" si="21"/>
        <v>0</v>
      </c>
      <c r="BA23" s="14">
        <f t="shared" si="22"/>
        <v>39.017426016817403</v>
      </c>
      <c r="BB23" s="14">
        <f t="shared" si="23"/>
        <v>52.20941498828828</v>
      </c>
      <c r="BC23" s="57"/>
      <c r="BD23" s="57"/>
      <c r="BE23" s="57"/>
      <c r="BF23" s="57"/>
      <c r="BG23" s="36">
        <f t="shared" si="24"/>
        <v>0.93943646516355417</v>
      </c>
      <c r="BH23" s="25">
        <f t="shared" si="75"/>
        <v>0</v>
      </c>
      <c r="BI23" s="14">
        <f t="shared" si="25"/>
        <v>0</v>
      </c>
      <c r="BJ23" s="2">
        <f t="shared" si="26"/>
        <v>0</v>
      </c>
      <c r="BK23" s="2">
        <f t="shared" si="27"/>
        <v>0</v>
      </c>
      <c r="BL23" s="2">
        <f t="shared" si="28"/>
        <v>0</v>
      </c>
      <c r="BM23" s="2">
        <f t="shared" si="29"/>
        <v>0</v>
      </c>
      <c r="BN23" s="2">
        <f t="shared" si="30"/>
        <v>0</v>
      </c>
      <c r="BO23" s="2">
        <f t="shared" si="31"/>
        <v>0</v>
      </c>
      <c r="BP23" s="2">
        <f t="shared" si="32"/>
        <v>0</v>
      </c>
      <c r="BQ23" s="2">
        <f t="shared" si="33"/>
        <v>0</v>
      </c>
      <c r="BR23" s="2">
        <f t="shared" si="34"/>
        <v>100</v>
      </c>
      <c r="BS23" s="2">
        <f t="shared" si="35"/>
        <v>0</v>
      </c>
      <c r="BT23" s="2">
        <f t="shared" si="36"/>
        <v>0</v>
      </c>
      <c r="BU23" s="2">
        <f t="shared" si="37"/>
        <v>0</v>
      </c>
      <c r="BV23" s="2">
        <f t="shared" si="38"/>
        <v>0</v>
      </c>
      <c r="BW23" s="2">
        <f t="shared" si="39"/>
        <v>0</v>
      </c>
      <c r="BX23" s="2">
        <f t="shared" si="40"/>
        <v>250.54128148764141</v>
      </c>
      <c r="BY23" s="20">
        <f t="shared" si="41"/>
        <v>-100</v>
      </c>
      <c r="BZ23" s="20"/>
      <c r="CA23" s="20"/>
      <c r="CB23" s="20" t="str">
        <f t="shared" si="42"/>
        <v>-</v>
      </c>
      <c r="CC23" s="20" t="str">
        <f t="shared" si="43"/>
        <v>-</v>
      </c>
      <c r="CD23" s="20" t="str">
        <f t="shared" si="44"/>
        <v>-</v>
      </c>
      <c r="CE23" s="20" t="str">
        <f t="shared" si="45"/>
        <v>-</v>
      </c>
      <c r="CF23" s="2" t="str">
        <f t="shared" si="46"/>
        <v>-</v>
      </c>
      <c r="CG23" s="14">
        <f t="shared" si="47"/>
        <v>250.54128148764141</v>
      </c>
      <c r="CH23" s="37" t="str">
        <f t="shared" si="48"/>
        <v>-</v>
      </c>
      <c r="CI23" s="71" t="str">
        <f t="shared" si="76"/>
        <v>-</v>
      </c>
      <c r="CJ23" s="37" t="str">
        <f t="shared" si="49"/>
        <v>-</v>
      </c>
      <c r="CK23" s="37" t="str">
        <f t="shared" si="50"/>
        <v>-</v>
      </c>
      <c r="CL23" s="37" t="str">
        <f t="shared" si="51"/>
        <v>-</v>
      </c>
      <c r="CM23" s="37" t="str">
        <f t="shared" si="52"/>
        <v>-</v>
      </c>
      <c r="CN23" s="37" t="str">
        <f t="shared" si="53"/>
        <v>-</v>
      </c>
      <c r="CO23" s="13" t="str">
        <f t="shared" si="54"/>
        <v>-</v>
      </c>
      <c r="CP23" s="37" t="str">
        <f t="shared" si="55"/>
        <v>-</v>
      </c>
      <c r="CQ23" s="2" t="str">
        <f t="shared" si="56"/>
        <v>-</v>
      </c>
      <c r="CR23" s="2" t="str">
        <f t="shared" si="57"/>
        <v>-</v>
      </c>
      <c r="CS23" s="37">
        <f t="shared" si="58"/>
        <v>0</v>
      </c>
      <c r="CT23" s="37" t="str">
        <f t="shared" si="59"/>
        <v>-</v>
      </c>
      <c r="CU23" s="37">
        <f t="shared" si="77"/>
        <v>1.9647993720416457</v>
      </c>
      <c r="CV23" s="37" t="e">
        <f>CT23-CU23</f>
        <v>#VALUE!</v>
      </c>
      <c r="CW23" s="37" t="str">
        <f t="shared" si="60"/>
        <v>-</v>
      </c>
      <c r="CX23" s="13" t="str">
        <f t="shared" si="61"/>
        <v>-</v>
      </c>
      <c r="CY23" s="13" t="str">
        <f t="shared" si="62"/>
        <v>-</v>
      </c>
      <c r="CZ23" s="2" t="str">
        <f t="shared" si="63"/>
        <v>-</v>
      </c>
      <c r="DA23" s="2" t="str">
        <f t="shared" ref="DA23:DA49" si="81">IF(G23="AND",AI23,"-")</f>
        <v>-</v>
      </c>
      <c r="DB23" s="2"/>
      <c r="DC23" s="2" t="str">
        <f t="shared" si="64"/>
        <v>250-CTD</v>
      </c>
      <c r="DD23" s="2" t="str">
        <f t="shared" si="78"/>
        <v>G</v>
      </c>
      <c r="DE23" s="16" t="str">
        <f t="shared" si="65"/>
        <v>-</v>
      </c>
      <c r="DF23" s="16">
        <f t="shared" si="66"/>
        <v>0</v>
      </c>
      <c r="DG23" s="64">
        <f t="shared" si="67"/>
        <v>0</v>
      </c>
      <c r="DH23" s="37"/>
      <c r="DI23" s="14"/>
      <c r="DJ23" s="14"/>
      <c r="DK23" s="37">
        <f t="shared" si="68"/>
        <v>0</v>
      </c>
      <c r="DL23" s="16"/>
      <c r="DM23" s="1"/>
      <c r="DN23" s="14"/>
      <c r="DO23" s="16"/>
      <c r="DP23" s="16"/>
      <c r="DQ23" s="16"/>
      <c r="DR23" s="37"/>
      <c r="DS23" s="16"/>
      <c r="DT23" s="16"/>
      <c r="DU23" s="37"/>
      <c r="DV23" s="2"/>
      <c r="DW23" s="2"/>
      <c r="DX23" s="55"/>
      <c r="DY23" s="2"/>
      <c r="DZ23" s="37"/>
      <c r="EA23" s="2"/>
      <c r="EB23" s="2"/>
      <c r="EC23" s="14"/>
      <c r="ED23" s="2"/>
      <c r="EE23" s="61"/>
      <c r="EF23" s="61"/>
      <c r="EG23" s="61"/>
      <c r="EH23" s="61"/>
      <c r="EI23" s="61"/>
      <c r="EJ23" s="61"/>
      <c r="EK23" s="61"/>
      <c r="EL23" s="61"/>
      <c r="EM23" s="61"/>
      <c r="EN23" s="61"/>
      <c r="EO23" s="61"/>
      <c r="EP23" s="61"/>
      <c r="EQ23" s="61"/>
      <c r="ER23" s="61"/>
      <c r="ES23" s="61"/>
      <c r="ET23" s="61"/>
      <c r="EU23" s="61"/>
      <c r="EV23" s="61"/>
      <c r="EW23" s="61"/>
      <c r="EX23" s="61"/>
      <c r="EY23" s="61"/>
      <c r="EZ23" s="61"/>
      <c r="FA23" s="61"/>
      <c r="FB23" s="61"/>
      <c r="FC23" s="61"/>
      <c r="FD23" s="61"/>
      <c r="FE23" s="61"/>
    </row>
    <row r="24" spans="1:161" x14ac:dyDescent="0.25">
      <c r="A24" s="22" t="s">
        <v>93</v>
      </c>
      <c r="B24" s="51">
        <v>43895.739918981482</v>
      </c>
      <c r="C24" s="14">
        <f t="shared" si="69"/>
        <v>1583426729</v>
      </c>
      <c r="D24" s="14">
        <f t="shared" si="79"/>
        <v>30.083333333333332</v>
      </c>
      <c r="E24" s="16">
        <f t="shared" si="70"/>
        <v>3.0454166666666667</v>
      </c>
      <c r="F24" s="14">
        <f t="shared" si="0"/>
        <v>3.0454166666666667</v>
      </c>
      <c r="G24" s="46" t="s">
        <v>70</v>
      </c>
      <c r="H24" s="14" t="str">
        <f t="shared" si="71"/>
        <v>Yes</v>
      </c>
      <c r="I24" s="46">
        <v>3.0915347133056126</v>
      </c>
      <c r="J24" s="46">
        <v>3.3074914</v>
      </c>
      <c r="K24" s="46">
        <v>3.0081888000000001</v>
      </c>
      <c r="L24" s="46">
        <v>70.640435590216825</v>
      </c>
      <c r="M24" s="46">
        <v>300.50339184107128</v>
      </c>
      <c r="N24" s="16">
        <f t="shared" si="1"/>
        <v>0.67613263164241044</v>
      </c>
      <c r="O24" s="49">
        <v>229567.7</v>
      </c>
      <c r="P24" s="49"/>
      <c r="Q24" s="49"/>
      <c r="R24" s="49"/>
      <c r="S24" s="49">
        <v>412150.43</v>
      </c>
      <c r="T24" s="49">
        <v>2440.62</v>
      </c>
      <c r="U24" s="49">
        <v>10454335.32</v>
      </c>
      <c r="V24" s="49"/>
      <c r="W24" s="49"/>
      <c r="X24" s="49"/>
      <c r="Y24" s="49"/>
      <c r="Z24" s="17">
        <f t="shared" si="2"/>
        <v>3.5421778167329951</v>
      </c>
      <c r="AA24" s="17">
        <f>U24/VLOOKUP(AA$17,$AK$2:$AM$13,2,0)</f>
        <v>3.7464539571570543</v>
      </c>
      <c r="AB24" s="17">
        <f t="shared" si="73"/>
        <v>0</v>
      </c>
      <c r="AC24" s="17">
        <f t="shared" si="73"/>
        <v>76.324848921996292</v>
      </c>
      <c r="AD24" s="17">
        <f t="shared" si="3"/>
        <v>0</v>
      </c>
      <c r="AE24" s="17">
        <f t="shared" si="3"/>
        <v>0</v>
      </c>
      <c r="AF24" s="36">
        <f t="shared" si="4"/>
        <v>8.5926094072811556E-4</v>
      </c>
      <c r="AG24" s="36">
        <f t="shared" si="5"/>
        <v>0</v>
      </c>
      <c r="AH24" s="36">
        <f t="shared" si="74"/>
        <v>0</v>
      </c>
      <c r="AI24" s="36">
        <f t="shared" si="80"/>
        <v>83.613480695886338</v>
      </c>
      <c r="AJ24" s="67" t="s">
        <v>142</v>
      </c>
      <c r="AK24" s="37">
        <f t="shared" si="6"/>
        <v>3.7464539571570543</v>
      </c>
      <c r="AL24" s="16">
        <f t="shared" si="7"/>
        <v>1.772931026313872</v>
      </c>
      <c r="AM24" s="18">
        <f t="shared" si="8"/>
        <v>3.849747401431169E-5</v>
      </c>
      <c r="AN24" s="14">
        <f t="shared" si="9"/>
        <v>51.785708156379599</v>
      </c>
      <c r="AO24" s="14">
        <f t="shared" si="10"/>
        <v>38.9190282637175</v>
      </c>
      <c r="AP24" s="14">
        <f t="shared" si="11"/>
        <v>41.163474842658516</v>
      </c>
      <c r="AQ24" s="14">
        <f t="shared" si="12"/>
        <v>0</v>
      </c>
      <c r="AR24" s="14">
        <f t="shared" si="13"/>
        <v>3.7763887154541244E-2</v>
      </c>
      <c r="AS24" s="14">
        <f t="shared" si="14"/>
        <v>0</v>
      </c>
      <c r="AT24" s="14">
        <f t="shared" si="15"/>
        <v>80.120266993530549</v>
      </c>
      <c r="AU24" s="14">
        <f t="shared" si="16"/>
        <v>19.879733006469451</v>
      </c>
      <c r="AV24" s="14">
        <f t="shared" si="17"/>
        <v>116.95300000405628</v>
      </c>
      <c r="AW24" s="14">
        <f t="shared" si="18"/>
        <v>123.69763810183491</v>
      </c>
      <c r="AX24" s="14">
        <f t="shared" si="19"/>
        <v>0</v>
      </c>
      <c r="AY24" s="14">
        <f t="shared" si="20"/>
        <v>0.11348176179043107</v>
      </c>
      <c r="AZ24" s="14">
        <f t="shared" si="21"/>
        <v>0</v>
      </c>
      <c r="BA24" s="14">
        <f t="shared" si="22"/>
        <v>59.73927197338967</v>
      </c>
      <c r="BB24" s="14">
        <f t="shared" si="23"/>
        <v>51.401333931807578</v>
      </c>
      <c r="BC24" s="57"/>
      <c r="BD24" s="57"/>
      <c r="BE24" s="57"/>
      <c r="BF24" s="57"/>
      <c r="BG24" s="36">
        <f t="shared" si="24"/>
        <v>0.93088752927030993</v>
      </c>
      <c r="BH24" s="25">
        <f t="shared" si="75"/>
        <v>0</v>
      </c>
      <c r="BI24" s="14">
        <f t="shared" si="25"/>
        <v>0</v>
      </c>
      <c r="BJ24" s="2">
        <f t="shared" si="26"/>
        <v>0</v>
      </c>
      <c r="BK24" s="2">
        <f t="shared" si="27"/>
        <v>0</v>
      </c>
      <c r="BL24" s="2">
        <f t="shared" si="28"/>
        <v>0</v>
      </c>
      <c r="BM24" s="2">
        <f t="shared" si="29"/>
        <v>0</v>
      </c>
      <c r="BN24" s="2">
        <f t="shared" si="30"/>
        <v>0</v>
      </c>
      <c r="BO24" s="2">
        <f t="shared" si="31"/>
        <v>0</v>
      </c>
      <c r="BP24" s="2">
        <f t="shared" si="32"/>
        <v>0</v>
      </c>
      <c r="BQ24" s="2">
        <f t="shared" si="33"/>
        <v>0</v>
      </c>
      <c r="BR24" s="2">
        <f t="shared" si="34"/>
        <v>100</v>
      </c>
      <c r="BS24" s="2">
        <f t="shared" si="35"/>
        <v>0</v>
      </c>
      <c r="BT24" s="2">
        <f t="shared" si="36"/>
        <v>0</v>
      </c>
      <c r="BU24" s="2">
        <f t="shared" si="37"/>
        <v>0</v>
      </c>
      <c r="BV24" s="2">
        <f t="shared" si="38"/>
        <v>0</v>
      </c>
      <c r="BW24" s="2">
        <f t="shared" si="39"/>
        <v>0</v>
      </c>
      <c r="BX24" s="2">
        <f t="shared" si="40"/>
        <v>300.50339184107128</v>
      </c>
      <c r="BY24" s="20">
        <f t="shared" si="41"/>
        <v>-100</v>
      </c>
      <c r="BZ24" s="20"/>
      <c r="CA24" s="20"/>
      <c r="CB24" s="20" t="str">
        <f t="shared" si="42"/>
        <v>-</v>
      </c>
      <c r="CC24" s="20" t="str">
        <f t="shared" si="43"/>
        <v>-</v>
      </c>
      <c r="CD24" s="20" t="str">
        <f t="shared" si="44"/>
        <v>-</v>
      </c>
      <c r="CE24" s="20" t="str">
        <f t="shared" si="45"/>
        <v>-</v>
      </c>
      <c r="CF24" s="2" t="str">
        <f t="shared" si="46"/>
        <v>-</v>
      </c>
      <c r="CG24" s="14">
        <f t="shared" si="47"/>
        <v>300.50339184107128</v>
      </c>
      <c r="CH24" s="37" t="str">
        <f t="shared" si="48"/>
        <v>-</v>
      </c>
      <c r="CI24" s="71" t="str">
        <f t="shared" si="76"/>
        <v>-</v>
      </c>
      <c r="CJ24" s="37" t="str">
        <f t="shared" si="49"/>
        <v>-</v>
      </c>
      <c r="CK24" s="37" t="str">
        <f t="shared" si="50"/>
        <v>-</v>
      </c>
      <c r="CL24" s="37" t="str">
        <f t="shared" si="51"/>
        <v>-</v>
      </c>
      <c r="CM24" s="37" t="str">
        <f t="shared" si="52"/>
        <v>-</v>
      </c>
      <c r="CN24" s="37" t="str">
        <f t="shared" si="53"/>
        <v>-</v>
      </c>
      <c r="CO24" s="13" t="str">
        <f t="shared" si="54"/>
        <v>-</v>
      </c>
      <c r="CP24" s="37" t="str">
        <f t="shared" si="55"/>
        <v>-</v>
      </c>
      <c r="CQ24" s="2" t="str">
        <f t="shared" si="56"/>
        <v>-</v>
      </c>
      <c r="CR24" s="2" t="str">
        <f t="shared" si="57"/>
        <v>-</v>
      </c>
      <c r="CS24" s="37">
        <f t="shared" si="58"/>
        <v>0</v>
      </c>
      <c r="CT24" s="37" t="str">
        <f t="shared" si="59"/>
        <v>-</v>
      </c>
      <c r="CU24" s="37">
        <f t="shared" si="77"/>
        <v>2.3566131380821802</v>
      </c>
      <c r="CV24" s="37"/>
      <c r="CW24" s="37" t="str">
        <f t="shared" si="60"/>
        <v>-</v>
      </c>
      <c r="CX24" s="13" t="str">
        <f t="shared" si="61"/>
        <v>-</v>
      </c>
      <c r="CY24" s="13" t="str">
        <f t="shared" si="62"/>
        <v>-</v>
      </c>
      <c r="CZ24" s="2" t="str">
        <f t="shared" si="63"/>
        <v>-</v>
      </c>
      <c r="DA24" s="2" t="str">
        <f t="shared" si="81"/>
        <v>-</v>
      </c>
      <c r="DB24" s="2"/>
      <c r="DC24" s="2" t="str">
        <f t="shared" si="64"/>
        <v>300-CTD</v>
      </c>
      <c r="DD24" s="2" t="str">
        <f t="shared" si="78"/>
        <v>B</v>
      </c>
      <c r="DE24" s="16" t="str">
        <f t="shared" si="65"/>
        <v>-</v>
      </c>
      <c r="DF24" s="16">
        <f t="shared" si="66"/>
        <v>0</v>
      </c>
      <c r="DG24" s="64">
        <f t="shared" si="67"/>
        <v>0</v>
      </c>
      <c r="DH24" s="37" t="e">
        <f>DE24+DF23+DG23</f>
        <v>#VALUE!</v>
      </c>
      <c r="DI24" s="37" t="e">
        <f>DH24/$B$3*100</f>
        <v>#VALUE!</v>
      </c>
      <c r="DJ24" s="14" t="e">
        <f>DE24/DF23</f>
        <v>#VALUE!</v>
      </c>
      <c r="DK24" s="37">
        <f t="shared" si="68"/>
        <v>0</v>
      </c>
      <c r="DL24" s="14" t="e">
        <f>DE24+DF23</f>
        <v>#VALUE!</v>
      </c>
      <c r="DM24" s="1"/>
      <c r="DN24" s="14"/>
      <c r="DO24" s="16"/>
      <c r="DP24" s="16"/>
      <c r="DQ24" s="16"/>
      <c r="DR24" s="37"/>
      <c r="DS24" s="16"/>
      <c r="DT24" s="16"/>
      <c r="DU24" s="37"/>
      <c r="DV24" s="2"/>
      <c r="DW24" s="2"/>
      <c r="DX24" s="55"/>
      <c r="DY24" s="2"/>
      <c r="DZ24" s="37"/>
      <c r="EA24" s="2"/>
      <c r="EB24" s="2"/>
      <c r="EC24" s="14"/>
      <c r="ED24" s="2"/>
      <c r="EE24" s="61"/>
      <c r="EF24" s="61"/>
      <c r="EG24" s="61"/>
      <c r="EH24" s="61"/>
      <c r="EI24" s="61"/>
      <c r="EJ24" s="61"/>
      <c r="EK24" s="61"/>
      <c r="EL24" s="61"/>
      <c r="EM24" s="61"/>
      <c r="EN24" s="61"/>
      <c r="EO24" s="61"/>
      <c r="EP24" s="61"/>
      <c r="EQ24" s="61"/>
      <c r="ER24" s="61"/>
      <c r="ES24" s="61"/>
      <c r="ET24" s="61"/>
      <c r="EU24" s="61"/>
      <c r="EV24" s="61"/>
      <c r="EW24" s="61"/>
      <c r="EX24" s="61"/>
      <c r="EY24" s="61"/>
      <c r="EZ24" s="61"/>
      <c r="FA24" s="61"/>
      <c r="FB24" s="61"/>
      <c r="FC24" s="61"/>
      <c r="FD24" s="61"/>
      <c r="FE24" s="61"/>
    </row>
    <row r="25" spans="1:161" x14ac:dyDescent="0.25">
      <c r="A25" s="22" t="s">
        <v>94</v>
      </c>
      <c r="B25" s="51">
        <v>43895.760474537034</v>
      </c>
      <c r="C25" s="14">
        <f t="shared" si="69"/>
        <v>1583428504.9999998</v>
      </c>
      <c r="D25" s="14">
        <f t="shared" si="79"/>
        <v>29.599999996026359</v>
      </c>
      <c r="E25" s="16">
        <f t="shared" si="70"/>
        <v>3.5387499999337728</v>
      </c>
      <c r="F25" s="14">
        <f t="shared" si="0"/>
        <v>3.5387499999337728</v>
      </c>
      <c r="G25" s="46" t="s">
        <v>70</v>
      </c>
      <c r="H25" s="14" t="str">
        <f t="shared" si="71"/>
        <v>Yes</v>
      </c>
      <c r="I25" s="46">
        <v>2.9107701370062387</v>
      </c>
      <c r="J25" s="46">
        <v>2.9131983999999997</v>
      </c>
      <c r="K25" s="46">
        <v>2.9087087</v>
      </c>
      <c r="L25" s="46">
        <v>1.2982759937070409</v>
      </c>
      <c r="M25" s="46">
        <v>150.49657163317184</v>
      </c>
      <c r="N25" s="16">
        <f t="shared" si="1"/>
        <v>0.33861728617463666</v>
      </c>
      <c r="O25" s="49">
        <v>6380.8</v>
      </c>
      <c r="P25" s="49"/>
      <c r="Q25" s="49"/>
      <c r="R25" s="49"/>
      <c r="S25" s="49">
        <v>424325.25</v>
      </c>
      <c r="T25" s="49">
        <v>1144.55</v>
      </c>
      <c r="U25" s="49">
        <v>11557461.07</v>
      </c>
      <c r="V25" s="49"/>
      <c r="W25" s="49"/>
      <c r="X25" s="49"/>
      <c r="Y25" s="49"/>
      <c r="Z25" s="17">
        <f t="shared" si="2"/>
        <v>9.845430438606953E-2</v>
      </c>
      <c r="AA25" s="17">
        <f t="shared" si="72"/>
        <v>4.1417741477599845</v>
      </c>
      <c r="AB25" s="17">
        <f t="shared" si="73"/>
        <v>0</v>
      </c>
      <c r="AC25" s="17">
        <f t="shared" si="73"/>
        <v>78.579465754866021</v>
      </c>
      <c r="AD25" s="17">
        <f t="shared" si="3"/>
        <v>0</v>
      </c>
      <c r="AE25" s="17">
        <f t="shared" si="3"/>
        <v>0</v>
      </c>
      <c r="AF25" s="36">
        <f t="shared" si="4"/>
        <v>4.0295789992311981E-4</v>
      </c>
      <c r="AG25" s="36">
        <f t="shared" si="5"/>
        <v>0</v>
      </c>
      <c r="AH25" s="36">
        <f t="shared" si="74"/>
        <v>0</v>
      </c>
      <c r="AI25" s="36">
        <f t="shared" si="80"/>
        <v>82.819694207012077</v>
      </c>
      <c r="AJ25" s="67" t="s">
        <v>142</v>
      </c>
      <c r="AK25" s="37">
        <f t="shared" si="6"/>
        <v>4.1417741477599845</v>
      </c>
      <c r="AL25" s="16">
        <f t="shared" si="7"/>
        <v>4.9278353586778775E-2</v>
      </c>
      <c r="AM25" s="18">
        <f t="shared" si="8"/>
        <v>3.7215795100975987E-5</v>
      </c>
      <c r="AN25" s="14">
        <f t="shared" si="9"/>
        <v>50.061630100465749</v>
      </c>
      <c r="AO25" s="14">
        <f t="shared" si="10"/>
        <v>2.0880657821697164</v>
      </c>
      <c r="AP25" s="14">
        <f t="shared" si="11"/>
        <v>87.840718893306445</v>
      </c>
      <c r="AQ25" s="14">
        <f t="shared" si="12"/>
        <v>0</v>
      </c>
      <c r="AR25" s="14">
        <f t="shared" si="13"/>
        <v>3.4184492297463717E-2</v>
      </c>
      <c r="AS25" s="14">
        <f t="shared" si="14"/>
        <v>0</v>
      </c>
      <c r="AT25" s="14">
        <f t="shared" si="15"/>
        <v>89.962969167773636</v>
      </c>
      <c r="AU25" s="14">
        <f t="shared" si="16"/>
        <v>10.037030832226364</v>
      </c>
      <c r="AV25" s="14">
        <f t="shared" si="17"/>
        <v>3.1424674156107972</v>
      </c>
      <c r="AW25" s="14">
        <f t="shared" si="18"/>
        <v>132.19727043235804</v>
      </c>
      <c r="AX25" s="14">
        <f t="shared" si="19"/>
        <v>0</v>
      </c>
      <c r="AY25" s="14">
        <f t="shared" si="20"/>
        <v>5.1446488937888592E-2</v>
      </c>
      <c r="AZ25" s="14">
        <f t="shared" si="21"/>
        <v>0</v>
      </c>
      <c r="BA25" s="14">
        <f t="shared" si="22"/>
        <v>15.105387296265093</v>
      </c>
      <c r="BB25" s="14">
        <f t="shared" si="23"/>
        <v>97.678089624245587</v>
      </c>
      <c r="BC25" s="57"/>
      <c r="BD25" s="57"/>
      <c r="BE25" s="57"/>
      <c r="BF25" s="57"/>
      <c r="BG25" s="36">
        <f t="shared" si="24"/>
        <v>0.9815326313540117</v>
      </c>
      <c r="BH25" s="25">
        <f t="shared" si="75"/>
        <v>0</v>
      </c>
      <c r="BI25" s="14">
        <f t="shared" si="25"/>
        <v>0</v>
      </c>
      <c r="BJ25" s="2">
        <f t="shared" si="26"/>
        <v>0</v>
      </c>
      <c r="BK25" s="2">
        <f t="shared" si="27"/>
        <v>0</v>
      </c>
      <c r="BL25" s="2">
        <f t="shared" si="28"/>
        <v>0</v>
      </c>
      <c r="BM25" s="2">
        <f t="shared" si="29"/>
        <v>0</v>
      </c>
      <c r="BN25" s="2">
        <f t="shared" si="30"/>
        <v>0</v>
      </c>
      <c r="BO25" s="2">
        <f t="shared" si="31"/>
        <v>0</v>
      </c>
      <c r="BP25" s="2">
        <f t="shared" si="32"/>
        <v>0</v>
      </c>
      <c r="BQ25" s="2">
        <f t="shared" si="33"/>
        <v>0</v>
      </c>
      <c r="BR25" s="2">
        <f t="shared" si="34"/>
        <v>100</v>
      </c>
      <c r="BS25" s="2">
        <f t="shared" si="35"/>
        <v>0</v>
      </c>
      <c r="BT25" s="2">
        <f t="shared" si="36"/>
        <v>0</v>
      </c>
      <c r="BU25" s="2">
        <f t="shared" si="37"/>
        <v>0</v>
      </c>
      <c r="BV25" s="2">
        <f t="shared" si="38"/>
        <v>0</v>
      </c>
      <c r="BW25" s="2">
        <f t="shared" si="39"/>
        <v>0</v>
      </c>
      <c r="BX25" s="2">
        <f t="shared" si="40"/>
        <v>150.49657163317184</v>
      </c>
      <c r="BY25" s="20">
        <f t="shared" si="41"/>
        <v>-100</v>
      </c>
      <c r="BZ25" s="20"/>
      <c r="CA25" s="20"/>
      <c r="CB25" s="20" t="str">
        <f t="shared" si="42"/>
        <v>-</v>
      </c>
      <c r="CC25" s="20" t="str">
        <f t="shared" si="43"/>
        <v>-</v>
      </c>
      <c r="CD25" s="20" t="str">
        <f t="shared" si="44"/>
        <v>-</v>
      </c>
      <c r="CE25" s="20" t="str">
        <f t="shared" si="45"/>
        <v>-</v>
      </c>
      <c r="CF25" s="2" t="str">
        <f t="shared" si="46"/>
        <v>-</v>
      </c>
      <c r="CG25" s="14">
        <f t="shared" si="47"/>
        <v>150.49657163317184</v>
      </c>
      <c r="CH25" s="37" t="str">
        <f t="shared" si="48"/>
        <v>-</v>
      </c>
      <c r="CI25" s="71" t="str">
        <f t="shared" si="76"/>
        <v>-</v>
      </c>
      <c r="CJ25" s="37" t="str">
        <f t="shared" si="49"/>
        <v>-</v>
      </c>
      <c r="CK25" s="37" t="str">
        <f t="shared" si="50"/>
        <v>-</v>
      </c>
      <c r="CL25" s="37" t="str">
        <f t="shared" si="51"/>
        <v>-</v>
      </c>
      <c r="CM25" s="37" t="str">
        <f t="shared" si="52"/>
        <v>-</v>
      </c>
      <c r="CN25" s="37" t="str">
        <f t="shared" si="53"/>
        <v>-</v>
      </c>
      <c r="CO25" s="13" t="str">
        <f t="shared" si="54"/>
        <v>-</v>
      </c>
      <c r="CP25" s="37" t="str">
        <f t="shared" si="55"/>
        <v>-</v>
      </c>
      <c r="CQ25" s="2" t="str">
        <f t="shared" si="56"/>
        <v>-</v>
      </c>
      <c r="CR25" s="2" t="str">
        <f t="shared" si="57"/>
        <v>-</v>
      </c>
      <c r="CS25" s="37">
        <f t="shared" si="58"/>
        <v>0</v>
      </c>
      <c r="CT25" s="37" t="str">
        <f t="shared" si="59"/>
        <v>-</v>
      </c>
      <c r="CU25" s="37">
        <f t="shared" si="77"/>
        <v>1.180226937786548</v>
      </c>
      <c r="CV25" s="37" t="e">
        <f>CT25-CU25</f>
        <v>#VALUE!</v>
      </c>
      <c r="CW25" s="37" t="str">
        <f t="shared" si="60"/>
        <v>-</v>
      </c>
      <c r="CX25" s="13" t="str">
        <f t="shared" si="61"/>
        <v>-</v>
      </c>
      <c r="CY25" s="13" t="str">
        <f t="shared" si="62"/>
        <v>-</v>
      </c>
      <c r="CZ25" s="2" t="str">
        <f t="shared" si="63"/>
        <v>-</v>
      </c>
      <c r="DA25" s="2" t="str">
        <f t="shared" si="81"/>
        <v>-</v>
      </c>
      <c r="DB25" s="2"/>
      <c r="DC25" s="2" t="str">
        <f t="shared" si="64"/>
        <v>150-CTD</v>
      </c>
      <c r="DD25" s="2" t="str">
        <f t="shared" si="78"/>
        <v>G</v>
      </c>
      <c r="DE25" s="16" t="str">
        <f t="shared" si="65"/>
        <v>-</v>
      </c>
      <c r="DF25" s="16">
        <f t="shared" si="66"/>
        <v>0</v>
      </c>
      <c r="DG25" s="64">
        <f t="shared" si="67"/>
        <v>0</v>
      </c>
      <c r="DH25" s="37"/>
      <c r="DI25" s="14"/>
      <c r="DJ25" s="14"/>
      <c r="DK25" s="37">
        <f t="shared" si="68"/>
        <v>0</v>
      </c>
      <c r="DL25" s="16"/>
      <c r="DM25" s="37"/>
      <c r="DN25" s="14"/>
      <c r="DO25" s="16"/>
      <c r="DP25" s="16"/>
      <c r="DQ25" s="16"/>
      <c r="DR25" s="37"/>
      <c r="DS25" s="16"/>
      <c r="DT25" s="16"/>
      <c r="DU25" s="37"/>
      <c r="DV25" s="2"/>
      <c r="DW25" s="2"/>
      <c r="DX25" s="55"/>
      <c r="DY25" s="2"/>
      <c r="DZ25" s="37"/>
      <c r="EA25" s="2"/>
      <c r="EB25" s="2"/>
      <c r="EC25" s="14"/>
      <c r="ED25" s="2"/>
      <c r="EE25" s="61"/>
      <c r="EF25" s="61"/>
      <c r="EG25" s="61"/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</row>
    <row r="26" spans="1:161" x14ac:dyDescent="0.25">
      <c r="A26" s="68" t="s">
        <v>95</v>
      </c>
      <c r="B26" s="51">
        <v>43895.781006944446</v>
      </c>
      <c r="C26" s="14">
        <f t="shared" si="69"/>
        <v>1583430279.0000002</v>
      </c>
      <c r="D26" s="14">
        <f t="shared" si="79"/>
        <v>29.566666674613952</v>
      </c>
      <c r="E26" s="16">
        <f t="shared" si="70"/>
        <v>4.0315277778440048</v>
      </c>
      <c r="F26" s="14">
        <f t="shared" si="0"/>
        <v>4.0315277778440048</v>
      </c>
      <c r="G26" s="46" t="s">
        <v>70</v>
      </c>
      <c r="H26" s="14" t="str">
        <f t="shared" si="71"/>
        <v>Yes</v>
      </c>
      <c r="I26" s="46">
        <v>2.971870185654887</v>
      </c>
      <c r="J26" s="46">
        <v>3.1308658999999999</v>
      </c>
      <c r="K26" s="46">
        <v>2.9023057999999997</v>
      </c>
      <c r="L26" s="46">
        <v>47.471215997436559</v>
      </c>
      <c r="M26" s="46">
        <v>150.48140118272119</v>
      </c>
      <c r="N26" s="16">
        <f t="shared" si="1"/>
        <v>0.33858315266112265</v>
      </c>
      <c r="O26" s="49">
        <v>122640.44</v>
      </c>
      <c r="P26" s="49"/>
      <c r="Q26" s="49"/>
      <c r="R26" s="49"/>
      <c r="S26" s="49">
        <v>425071.21</v>
      </c>
      <c r="T26" s="49">
        <v>1460.67</v>
      </c>
      <c r="U26" s="49">
        <v>6034977.5300000003</v>
      </c>
      <c r="V26" s="49"/>
      <c r="W26" s="49"/>
      <c r="X26" s="49"/>
      <c r="Y26" s="49"/>
      <c r="Z26" s="17">
        <f t="shared" si="2"/>
        <v>1.8923143194899539</v>
      </c>
      <c r="AA26" s="17">
        <f t="shared" si="72"/>
        <v>2.1627166870540369</v>
      </c>
      <c r="AB26" s="17">
        <f t="shared" si="73"/>
        <v>0</v>
      </c>
      <c r="AC26" s="17">
        <f t="shared" si="73"/>
        <v>78.71760775389744</v>
      </c>
      <c r="AD26" s="17">
        <f t="shared" si="3"/>
        <v>0</v>
      </c>
      <c r="AE26" s="17">
        <f t="shared" si="3"/>
        <v>0</v>
      </c>
      <c r="AF26" s="36">
        <f t="shared" si="4"/>
        <v>5.1425321364789961E-4</v>
      </c>
      <c r="AG26" s="36">
        <f t="shared" si="5"/>
        <v>0</v>
      </c>
      <c r="AH26" s="36">
        <f t="shared" si="74"/>
        <v>0</v>
      </c>
      <c r="AI26" s="36">
        <f t="shared" si="80"/>
        <v>82.772638760441424</v>
      </c>
      <c r="AJ26" s="67" t="s">
        <v>142</v>
      </c>
      <c r="AK26" s="37">
        <f t="shared" si="6"/>
        <v>2.1627166870540369</v>
      </c>
      <c r="AL26" s="16">
        <f t="shared" si="7"/>
        <v>0.94714126228029827</v>
      </c>
      <c r="AM26" s="18">
        <f t="shared" si="8"/>
        <v>3.7883430742046316E-5</v>
      </c>
      <c r="AN26" s="14">
        <f t="shared" si="9"/>
        <v>50.959714594279873</v>
      </c>
      <c r="AO26" s="14">
        <f t="shared" si="10"/>
        <v>40.857192847872234</v>
      </c>
      <c r="AP26" s="14">
        <f t="shared" si="11"/>
        <v>46.695483857087225</v>
      </c>
      <c r="AQ26" s="14">
        <f t="shared" si="12"/>
        <v>0</v>
      </c>
      <c r="AR26" s="14">
        <f t="shared" si="13"/>
        <v>4.4413219318265224E-2</v>
      </c>
      <c r="AS26" s="14">
        <f t="shared" si="14"/>
        <v>0</v>
      </c>
      <c r="AT26" s="14">
        <f t="shared" si="15"/>
        <v>87.597089924277711</v>
      </c>
      <c r="AU26" s="14">
        <f t="shared" si="16"/>
        <v>12.402910075722289</v>
      </c>
      <c r="AV26" s="14">
        <f t="shared" si="17"/>
        <v>61.482476281404686</v>
      </c>
      <c r="AW26" s="14">
        <f t="shared" si="18"/>
        <v>70.268018397196244</v>
      </c>
      <c r="AX26" s="14">
        <f t="shared" si="19"/>
        <v>0</v>
      </c>
      <c r="AY26" s="14">
        <f t="shared" si="20"/>
        <v>6.6833634740480513E-2</v>
      </c>
      <c r="AZ26" s="14">
        <f t="shared" si="21"/>
        <v>0</v>
      </c>
      <c r="BA26" s="14">
        <f t="shared" si="22"/>
        <v>18.664072869379808</v>
      </c>
      <c r="BB26" s="14">
        <f t="shared" si="23"/>
        <v>53.334159062257591</v>
      </c>
      <c r="BC26" s="57"/>
      <c r="BD26" s="57"/>
      <c r="BE26" s="50"/>
      <c r="BF26" s="57"/>
      <c r="BG26" s="36">
        <f t="shared" si="24"/>
        <v>0.96184235260499185</v>
      </c>
      <c r="BH26" s="25">
        <f t="shared" si="75"/>
        <v>0</v>
      </c>
      <c r="BI26" s="14">
        <f t="shared" si="25"/>
        <v>0</v>
      </c>
      <c r="BJ26" s="2">
        <f t="shared" si="26"/>
        <v>0</v>
      </c>
      <c r="BK26" s="2">
        <f t="shared" si="27"/>
        <v>0</v>
      </c>
      <c r="BL26" s="2">
        <f t="shared" si="28"/>
        <v>0</v>
      </c>
      <c r="BM26" s="2">
        <f t="shared" si="29"/>
        <v>0</v>
      </c>
      <c r="BN26" s="2">
        <f t="shared" si="30"/>
        <v>0</v>
      </c>
      <c r="BO26" s="2">
        <f t="shared" si="31"/>
        <v>0</v>
      </c>
      <c r="BP26" s="2">
        <f t="shared" si="32"/>
        <v>0</v>
      </c>
      <c r="BQ26" s="2">
        <f t="shared" si="33"/>
        <v>0</v>
      </c>
      <c r="BR26" s="2">
        <f t="shared" si="34"/>
        <v>100</v>
      </c>
      <c r="BS26" s="2">
        <f t="shared" si="35"/>
        <v>0</v>
      </c>
      <c r="BT26" s="2">
        <f t="shared" si="36"/>
        <v>0</v>
      </c>
      <c r="BU26" s="2">
        <f t="shared" si="37"/>
        <v>0</v>
      </c>
      <c r="BV26" s="2">
        <f t="shared" si="38"/>
        <v>0</v>
      </c>
      <c r="BW26" s="2">
        <f t="shared" si="39"/>
        <v>0</v>
      </c>
      <c r="BX26" s="2">
        <f t="shared" si="40"/>
        <v>150.48140118272119</v>
      </c>
      <c r="BY26" s="20">
        <f t="shared" si="41"/>
        <v>-100</v>
      </c>
      <c r="BZ26" s="20"/>
      <c r="CA26" s="20"/>
      <c r="CB26" s="20" t="str">
        <f t="shared" si="42"/>
        <v>-</v>
      </c>
      <c r="CC26" s="20" t="str">
        <f t="shared" si="43"/>
        <v>-</v>
      </c>
      <c r="CD26" s="20" t="str">
        <f t="shared" si="44"/>
        <v>-</v>
      </c>
      <c r="CE26" s="20" t="str">
        <f t="shared" si="45"/>
        <v>-</v>
      </c>
      <c r="CF26" s="2" t="str">
        <f t="shared" si="46"/>
        <v>-</v>
      </c>
      <c r="CG26" s="14">
        <f t="shared" si="47"/>
        <v>150.48140118272119</v>
      </c>
      <c r="CH26" s="37" t="str">
        <f t="shared" si="48"/>
        <v>-</v>
      </c>
      <c r="CI26" s="71" t="str">
        <f t="shared" si="76"/>
        <v>-</v>
      </c>
      <c r="CJ26" s="37" t="str">
        <f t="shared" si="49"/>
        <v>-</v>
      </c>
      <c r="CK26" s="37" t="str">
        <f t="shared" si="50"/>
        <v>-</v>
      </c>
      <c r="CL26" s="37" t="str">
        <f t="shared" si="51"/>
        <v>-</v>
      </c>
      <c r="CM26" s="37" t="str">
        <f t="shared" si="52"/>
        <v>-</v>
      </c>
      <c r="CN26" s="37" t="str">
        <f t="shared" si="53"/>
        <v>-</v>
      </c>
      <c r="CO26" s="13" t="str">
        <f t="shared" si="54"/>
        <v>-</v>
      </c>
      <c r="CP26" s="37" t="str">
        <f t="shared" si="55"/>
        <v>-</v>
      </c>
      <c r="CQ26" s="2" t="str">
        <f t="shared" si="56"/>
        <v>-</v>
      </c>
      <c r="CR26" s="2" t="str">
        <f t="shared" si="57"/>
        <v>-</v>
      </c>
      <c r="CS26" s="37">
        <f t="shared" si="58"/>
        <v>0</v>
      </c>
      <c r="CT26" s="37" t="str">
        <f t="shared" si="59"/>
        <v>-</v>
      </c>
      <c r="CU26" s="37">
        <f t="shared" si="77"/>
        <v>1.1801079678054651</v>
      </c>
      <c r="CV26" s="37"/>
      <c r="CW26" s="37" t="str">
        <f t="shared" si="60"/>
        <v>-</v>
      </c>
      <c r="CX26" s="13" t="str">
        <f t="shared" si="61"/>
        <v>-</v>
      </c>
      <c r="CY26" s="13" t="str">
        <f t="shared" si="62"/>
        <v>-</v>
      </c>
      <c r="CZ26" s="2" t="str">
        <f t="shared" si="63"/>
        <v>-</v>
      </c>
      <c r="DA26" s="2" t="str">
        <f t="shared" si="81"/>
        <v>-</v>
      </c>
      <c r="DB26" s="2"/>
      <c r="DC26" s="2" t="str">
        <f t="shared" si="64"/>
        <v>150-CTD</v>
      </c>
      <c r="DD26" s="2" t="str">
        <f t="shared" si="78"/>
        <v>G</v>
      </c>
      <c r="DE26" s="16" t="str">
        <f t="shared" si="65"/>
        <v>-</v>
      </c>
      <c r="DF26" s="16">
        <f t="shared" si="66"/>
        <v>0</v>
      </c>
      <c r="DG26" s="64">
        <f t="shared" si="67"/>
        <v>0</v>
      </c>
      <c r="DH26" s="37" t="e">
        <f>DE26+DF25+DG25</f>
        <v>#VALUE!</v>
      </c>
      <c r="DI26" s="37" t="e">
        <f>DH26/$B$3*100</f>
        <v>#VALUE!</v>
      </c>
      <c r="DJ26" s="14" t="e">
        <f>DE26/DF25</f>
        <v>#VALUE!</v>
      </c>
      <c r="DK26" s="37">
        <f t="shared" si="68"/>
        <v>0</v>
      </c>
      <c r="DL26" s="14" t="e">
        <f>DE26+DF25</f>
        <v>#VALUE!</v>
      </c>
      <c r="DM26" s="1"/>
      <c r="DN26" s="14"/>
      <c r="DO26" s="16"/>
      <c r="DP26" s="16"/>
      <c r="DQ26" s="16"/>
      <c r="DR26" s="37"/>
      <c r="DS26" s="16"/>
      <c r="DT26" s="16"/>
      <c r="DU26" s="37"/>
      <c r="DV26" s="2"/>
      <c r="DW26" s="2"/>
      <c r="DX26" s="55"/>
      <c r="DY26" s="2"/>
      <c r="DZ26" s="37"/>
      <c r="EA26" s="2"/>
      <c r="EB26" s="2"/>
      <c r="EC26" s="14"/>
      <c r="ED26" s="2"/>
      <c r="EE26" s="61"/>
      <c r="EF26" s="61"/>
      <c r="EG26" s="61"/>
      <c r="EH26" s="61"/>
      <c r="EI26" s="61"/>
      <c r="EJ26" s="61"/>
      <c r="EK26" s="61"/>
      <c r="EL26" s="61"/>
      <c r="EM26" s="61"/>
      <c r="EN26" s="61"/>
      <c r="EO26" s="61"/>
      <c r="EP26" s="61"/>
      <c r="EQ26" s="61"/>
      <c r="ER26" s="61"/>
      <c r="ES26" s="61"/>
      <c r="ET26" s="61"/>
      <c r="EU26" s="61"/>
      <c r="EV26" s="61"/>
      <c r="EW26" s="61"/>
      <c r="EX26" s="61"/>
      <c r="EY26" s="61"/>
      <c r="EZ26" s="61"/>
      <c r="FA26" s="61"/>
      <c r="FB26" s="61"/>
      <c r="FC26" s="61"/>
      <c r="FD26" s="61"/>
      <c r="FE26" s="61"/>
    </row>
    <row r="27" spans="1:161" x14ac:dyDescent="0.25">
      <c r="A27" s="22" t="s">
        <v>96</v>
      </c>
      <c r="B27" s="56"/>
      <c r="C27" s="5">
        <f t="shared" si="69"/>
        <v>-2209165200</v>
      </c>
      <c r="D27" s="5">
        <f t="shared" si="79"/>
        <v>-63209924.649999999</v>
      </c>
      <c r="E27" s="37">
        <f t="shared" si="70"/>
        <v>-1053494.712638889</v>
      </c>
      <c r="F27" s="5">
        <f t="shared" si="0"/>
        <v>-1053494.712638889</v>
      </c>
      <c r="G27" s="48"/>
      <c r="H27" s="5" t="str">
        <f t="shared" si="71"/>
        <v>No</v>
      </c>
      <c r="I27" s="46"/>
      <c r="J27" s="46"/>
      <c r="K27" s="46"/>
      <c r="L27" s="47"/>
      <c r="M27" s="46"/>
      <c r="N27" s="37">
        <f t="shared" si="1"/>
        <v>0</v>
      </c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36">
        <f t="shared" si="2"/>
        <v>0</v>
      </c>
      <c r="AA27" s="36">
        <f t="shared" si="72"/>
        <v>0</v>
      </c>
      <c r="AB27" s="36">
        <f t="shared" si="73"/>
        <v>0</v>
      </c>
      <c r="AC27" s="17">
        <f t="shared" si="73"/>
        <v>0</v>
      </c>
      <c r="AD27" s="17">
        <f t="shared" si="3"/>
        <v>0</v>
      </c>
      <c r="AE27" s="17">
        <f t="shared" si="3"/>
        <v>0</v>
      </c>
      <c r="AF27" s="36">
        <f t="shared" si="4"/>
        <v>0</v>
      </c>
      <c r="AG27" s="36">
        <f t="shared" si="5"/>
        <v>0</v>
      </c>
      <c r="AH27" s="36">
        <f t="shared" si="74"/>
        <v>0</v>
      </c>
      <c r="AI27" s="36">
        <f t="shared" si="80"/>
        <v>0</v>
      </c>
      <c r="AJ27" s="67" t="s">
        <v>142</v>
      </c>
      <c r="AK27" s="37">
        <f t="shared" si="6"/>
        <v>0</v>
      </c>
      <c r="AL27" s="16" t="str">
        <f t="shared" si="7"/>
        <v>-</v>
      </c>
      <c r="AM27" s="18" t="str">
        <f t="shared" si="8"/>
        <v>-</v>
      </c>
      <c r="AN27" s="14" t="str">
        <f t="shared" si="9"/>
        <v>-</v>
      </c>
      <c r="AO27" s="14" t="str">
        <f t="shared" si="10"/>
        <v>-</v>
      </c>
      <c r="AP27" s="14" t="str">
        <f t="shared" si="11"/>
        <v>-</v>
      </c>
      <c r="AQ27" s="14" t="str">
        <f t="shared" si="12"/>
        <v>-</v>
      </c>
      <c r="AR27" s="14" t="str">
        <f t="shared" si="13"/>
        <v>-</v>
      </c>
      <c r="AS27" s="14" t="str">
        <f t="shared" si="14"/>
        <v>-</v>
      </c>
      <c r="AT27" s="14" t="str">
        <f t="shared" si="15"/>
        <v>-</v>
      </c>
      <c r="AU27" s="14" t="str">
        <f t="shared" si="16"/>
        <v>-</v>
      </c>
      <c r="AV27" s="14" t="str">
        <f t="shared" si="17"/>
        <v>-</v>
      </c>
      <c r="AW27" s="14" t="str">
        <f t="shared" si="18"/>
        <v>-</v>
      </c>
      <c r="AX27" s="14" t="str">
        <f t="shared" si="19"/>
        <v>-</v>
      </c>
      <c r="AY27" s="14" t="str">
        <f t="shared" si="20"/>
        <v>-</v>
      </c>
      <c r="AZ27" s="14" t="str">
        <f t="shared" si="21"/>
        <v>-</v>
      </c>
      <c r="BA27" s="14" t="str">
        <f t="shared" si="22"/>
        <v>-</v>
      </c>
      <c r="BB27" s="14" t="str">
        <f t="shared" si="23"/>
        <v>-</v>
      </c>
      <c r="BC27" s="45"/>
      <c r="BD27" s="45"/>
      <c r="BE27" s="45"/>
      <c r="BF27" s="45"/>
      <c r="BG27" s="36" t="str">
        <f t="shared" si="24"/>
        <v>-</v>
      </c>
      <c r="BH27" s="25" t="str">
        <f t="shared" si="75"/>
        <v>-</v>
      </c>
      <c r="BI27" s="14" t="str">
        <f t="shared" si="25"/>
        <v>-</v>
      </c>
      <c r="BJ27" s="2" t="str">
        <f t="shared" si="26"/>
        <v>-</v>
      </c>
      <c r="BK27" s="2" t="str">
        <f t="shared" si="27"/>
        <v>-</v>
      </c>
      <c r="BL27" s="2" t="str">
        <f t="shared" si="28"/>
        <v>-</v>
      </c>
      <c r="BM27" s="2" t="str">
        <f t="shared" si="29"/>
        <v>-</v>
      </c>
      <c r="BN27" s="2" t="str">
        <f t="shared" si="30"/>
        <v>-</v>
      </c>
      <c r="BO27" s="2" t="str">
        <f t="shared" si="31"/>
        <v>-</v>
      </c>
      <c r="BP27" s="2" t="str">
        <f t="shared" si="32"/>
        <v>-</v>
      </c>
      <c r="BQ27" s="2" t="str">
        <f t="shared" si="33"/>
        <v>-</v>
      </c>
      <c r="BR27" s="2" t="str">
        <f t="shared" si="34"/>
        <v>-</v>
      </c>
      <c r="BS27" s="2" t="str">
        <f t="shared" si="35"/>
        <v>-</v>
      </c>
      <c r="BT27" s="2" t="str">
        <f t="shared" si="36"/>
        <v>-</v>
      </c>
      <c r="BU27" s="2" t="str">
        <f t="shared" si="37"/>
        <v>-</v>
      </c>
      <c r="BV27" s="2" t="str">
        <f t="shared" si="38"/>
        <v>-</v>
      </c>
      <c r="BW27" s="2" t="str">
        <f t="shared" si="39"/>
        <v>-</v>
      </c>
      <c r="BX27" s="2" t="str">
        <f t="shared" si="40"/>
        <v>-</v>
      </c>
      <c r="BY27" s="20" t="str">
        <f t="shared" si="41"/>
        <v>-</v>
      </c>
      <c r="BZ27" s="20"/>
      <c r="CA27" s="20"/>
      <c r="CB27" s="20" t="str">
        <f t="shared" si="42"/>
        <v>-</v>
      </c>
      <c r="CC27" s="20" t="str">
        <f t="shared" si="43"/>
        <v>-</v>
      </c>
      <c r="CD27" s="20" t="str">
        <f t="shared" si="44"/>
        <v>-</v>
      </c>
      <c r="CE27" s="20" t="str">
        <f t="shared" si="45"/>
        <v>-</v>
      </c>
      <c r="CF27" s="2" t="str">
        <f t="shared" si="46"/>
        <v>-</v>
      </c>
      <c r="CG27" s="2">
        <f t="shared" si="47"/>
        <v>0</v>
      </c>
      <c r="CH27" s="37" t="str">
        <f t="shared" si="48"/>
        <v>-</v>
      </c>
      <c r="CI27" s="71" t="str">
        <f t="shared" si="76"/>
        <v>-</v>
      </c>
      <c r="CJ27" s="37" t="str">
        <f t="shared" si="49"/>
        <v>-</v>
      </c>
      <c r="CK27" s="37" t="str">
        <f t="shared" si="50"/>
        <v>-</v>
      </c>
      <c r="CL27" s="37" t="str">
        <f t="shared" si="51"/>
        <v>-</v>
      </c>
      <c r="CM27" s="37" t="str">
        <f t="shared" si="52"/>
        <v>-</v>
      </c>
      <c r="CN27" s="37" t="str">
        <f t="shared" si="53"/>
        <v>-</v>
      </c>
      <c r="CO27" s="13" t="str">
        <f t="shared" si="54"/>
        <v>-</v>
      </c>
      <c r="CP27" s="37" t="str">
        <f t="shared" si="55"/>
        <v>-</v>
      </c>
      <c r="CQ27" s="2" t="str">
        <f t="shared" si="56"/>
        <v>-</v>
      </c>
      <c r="CR27" s="2" t="str">
        <f t="shared" si="57"/>
        <v>-</v>
      </c>
      <c r="CS27" s="37" t="str">
        <f t="shared" si="58"/>
        <v>-</v>
      </c>
      <c r="CT27" s="37" t="str">
        <f t="shared" si="59"/>
        <v>-</v>
      </c>
      <c r="CU27" s="37">
        <f t="shared" si="77"/>
        <v>0</v>
      </c>
      <c r="CV27" s="37" t="e">
        <f>CT27-CU27</f>
        <v>#VALUE!</v>
      </c>
      <c r="CW27" s="37" t="str">
        <f t="shared" si="60"/>
        <v>-</v>
      </c>
      <c r="CX27" s="13" t="str">
        <f t="shared" si="61"/>
        <v>-</v>
      </c>
      <c r="CY27" s="13" t="str">
        <f t="shared" si="62"/>
        <v>-</v>
      </c>
      <c r="CZ27" s="2" t="str">
        <f t="shared" si="63"/>
        <v>-</v>
      </c>
      <c r="DA27" s="2" t="str">
        <f t="shared" si="81"/>
        <v>-</v>
      </c>
      <c r="DB27" s="2"/>
      <c r="DC27" s="2" t="str">
        <f t="shared" si="64"/>
        <v>0-</v>
      </c>
      <c r="DD27" s="2" t="str">
        <f t="shared" si="78"/>
        <v>B</v>
      </c>
      <c r="DE27" s="16" t="str">
        <f t="shared" si="65"/>
        <v>-</v>
      </c>
      <c r="DF27" s="16" t="str">
        <f t="shared" si="66"/>
        <v>-</v>
      </c>
      <c r="DG27" s="64" t="str">
        <f t="shared" si="67"/>
        <v>-</v>
      </c>
      <c r="DH27" s="37"/>
      <c r="DI27" s="14"/>
      <c r="DJ27" s="14"/>
      <c r="DK27" s="37" t="str">
        <f t="shared" si="68"/>
        <v>-</v>
      </c>
      <c r="DL27" s="37"/>
      <c r="DM27" s="37"/>
      <c r="DN27" s="14"/>
      <c r="DO27" s="16"/>
      <c r="DP27" s="16"/>
      <c r="DQ27" s="37"/>
      <c r="DR27" s="37"/>
      <c r="DS27" s="37"/>
      <c r="DT27" s="16"/>
      <c r="DU27" s="37"/>
      <c r="DV27" s="2"/>
      <c r="DW27" s="2"/>
      <c r="DX27" s="55"/>
      <c r="DY27" s="2"/>
      <c r="DZ27" s="37"/>
      <c r="EA27" s="2"/>
      <c r="EB27" s="2"/>
      <c r="EC27" s="2"/>
      <c r="ED27" s="2"/>
    </row>
    <row r="28" spans="1:161" x14ac:dyDescent="0.25">
      <c r="A28" s="22" t="s">
        <v>97</v>
      </c>
      <c r="B28" s="56"/>
      <c r="C28" s="5">
        <f t="shared" si="69"/>
        <v>-2209165200</v>
      </c>
      <c r="D28" s="5">
        <f t="shared" si="79"/>
        <v>0</v>
      </c>
      <c r="E28" s="37">
        <f t="shared" si="70"/>
        <v>-1053494.712638889</v>
      </c>
      <c r="F28" s="5">
        <f t="shared" si="0"/>
        <v>-1053494.712638889</v>
      </c>
      <c r="G28" s="46"/>
      <c r="H28" s="5" t="str">
        <f t="shared" si="71"/>
        <v>No</v>
      </c>
      <c r="I28" s="46"/>
      <c r="J28" s="46"/>
      <c r="K28" s="46"/>
      <c r="L28" s="47"/>
      <c r="M28" s="46"/>
      <c r="N28" s="37">
        <f t="shared" si="1"/>
        <v>0</v>
      </c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36">
        <f t="shared" si="2"/>
        <v>0</v>
      </c>
      <c r="AA28" s="36">
        <f t="shared" si="72"/>
        <v>0</v>
      </c>
      <c r="AB28" s="36">
        <f t="shared" si="73"/>
        <v>0</v>
      </c>
      <c r="AC28" s="17">
        <f t="shared" si="73"/>
        <v>0</v>
      </c>
      <c r="AD28" s="17">
        <f t="shared" si="3"/>
        <v>0</v>
      </c>
      <c r="AE28" s="17">
        <f t="shared" si="3"/>
        <v>0</v>
      </c>
      <c r="AF28" s="36">
        <f t="shared" si="4"/>
        <v>0</v>
      </c>
      <c r="AG28" s="36">
        <f t="shared" si="5"/>
        <v>0</v>
      </c>
      <c r="AH28" s="36">
        <f t="shared" si="74"/>
        <v>0</v>
      </c>
      <c r="AI28" s="36">
        <f t="shared" si="80"/>
        <v>0</v>
      </c>
      <c r="AJ28" s="67" t="s">
        <v>142</v>
      </c>
      <c r="AK28" s="37">
        <f t="shared" si="6"/>
        <v>0</v>
      </c>
      <c r="AL28" s="16" t="str">
        <f t="shared" si="7"/>
        <v>-</v>
      </c>
      <c r="AM28" s="18" t="str">
        <f t="shared" si="8"/>
        <v>-</v>
      </c>
      <c r="AN28" s="14" t="str">
        <f t="shared" si="9"/>
        <v>-</v>
      </c>
      <c r="AO28" s="14" t="str">
        <f t="shared" si="10"/>
        <v>-</v>
      </c>
      <c r="AP28" s="14" t="str">
        <f t="shared" si="11"/>
        <v>-</v>
      </c>
      <c r="AQ28" s="14" t="str">
        <f t="shared" si="12"/>
        <v>-</v>
      </c>
      <c r="AR28" s="14" t="str">
        <f t="shared" si="13"/>
        <v>-</v>
      </c>
      <c r="AS28" s="14" t="str">
        <f t="shared" si="14"/>
        <v>-</v>
      </c>
      <c r="AT28" s="14" t="str">
        <f t="shared" si="15"/>
        <v>-</v>
      </c>
      <c r="AU28" s="14" t="str">
        <f t="shared" si="16"/>
        <v>-</v>
      </c>
      <c r="AV28" s="14" t="str">
        <f t="shared" si="17"/>
        <v>-</v>
      </c>
      <c r="AW28" s="14" t="str">
        <f t="shared" si="18"/>
        <v>-</v>
      </c>
      <c r="AX28" s="14" t="str">
        <f t="shared" si="19"/>
        <v>-</v>
      </c>
      <c r="AY28" s="14" t="str">
        <f t="shared" si="20"/>
        <v>-</v>
      </c>
      <c r="AZ28" s="14" t="str">
        <f t="shared" si="21"/>
        <v>-</v>
      </c>
      <c r="BA28" s="14" t="str">
        <f t="shared" si="22"/>
        <v>-</v>
      </c>
      <c r="BB28" s="14" t="str">
        <f t="shared" si="23"/>
        <v>-</v>
      </c>
      <c r="BC28" s="45"/>
      <c r="BD28" s="45"/>
      <c r="BE28" s="45"/>
      <c r="BF28" s="45"/>
      <c r="BG28" s="36" t="str">
        <f t="shared" si="24"/>
        <v>-</v>
      </c>
      <c r="BH28" s="25" t="str">
        <f t="shared" si="75"/>
        <v>-</v>
      </c>
      <c r="BI28" s="14" t="str">
        <f t="shared" si="25"/>
        <v>-</v>
      </c>
      <c r="BJ28" s="2" t="str">
        <f t="shared" si="26"/>
        <v>-</v>
      </c>
      <c r="BK28" s="2" t="str">
        <f t="shared" si="27"/>
        <v>-</v>
      </c>
      <c r="BL28" s="2" t="str">
        <f t="shared" si="28"/>
        <v>-</v>
      </c>
      <c r="BM28" s="2" t="str">
        <f t="shared" si="29"/>
        <v>-</v>
      </c>
      <c r="BN28" s="2" t="str">
        <f t="shared" si="30"/>
        <v>-</v>
      </c>
      <c r="BO28" s="2" t="str">
        <f t="shared" si="31"/>
        <v>-</v>
      </c>
      <c r="BP28" s="2" t="str">
        <f t="shared" si="32"/>
        <v>-</v>
      </c>
      <c r="BQ28" s="2" t="str">
        <f t="shared" si="33"/>
        <v>-</v>
      </c>
      <c r="BR28" s="2" t="str">
        <f t="shared" si="34"/>
        <v>-</v>
      </c>
      <c r="BS28" s="2" t="str">
        <f t="shared" si="35"/>
        <v>-</v>
      </c>
      <c r="BT28" s="2" t="str">
        <f t="shared" si="36"/>
        <v>-</v>
      </c>
      <c r="BU28" s="2" t="str">
        <f t="shared" si="37"/>
        <v>-</v>
      </c>
      <c r="BV28" s="2" t="str">
        <f t="shared" si="38"/>
        <v>-</v>
      </c>
      <c r="BW28" s="2" t="str">
        <f t="shared" si="39"/>
        <v>-</v>
      </c>
      <c r="BX28" s="2" t="str">
        <f t="shared" si="40"/>
        <v>-</v>
      </c>
      <c r="BY28" s="20" t="str">
        <f t="shared" si="41"/>
        <v>-</v>
      </c>
      <c r="BZ28" s="20"/>
      <c r="CA28" s="20"/>
      <c r="CB28" s="20" t="str">
        <f t="shared" si="42"/>
        <v>-</v>
      </c>
      <c r="CC28" s="20" t="str">
        <f t="shared" si="43"/>
        <v>-</v>
      </c>
      <c r="CD28" s="20" t="str">
        <f t="shared" si="44"/>
        <v>-</v>
      </c>
      <c r="CE28" s="20" t="str">
        <f t="shared" si="45"/>
        <v>-</v>
      </c>
      <c r="CF28" s="2" t="str">
        <f t="shared" si="46"/>
        <v>-</v>
      </c>
      <c r="CG28" s="2">
        <f t="shared" si="47"/>
        <v>0</v>
      </c>
      <c r="CH28" s="37" t="str">
        <f t="shared" si="48"/>
        <v>-</v>
      </c>
      <c r="CI28" s="71" t="str">
        <f t="shared" si="76"/>
        <v>-</v>
      </c>
      <c r="CJ28" s="37" t="str">
        <f t="shared" si="49"/>
        <v>-</v>
      </c>
      <c r="CK28" s="37" t="str">
        <f t="shared" si="50"/>
        <v>-</v>
      </c>
      <c r="CL28" s="37" t="str">
        <f t="shared" si="51"/>
        <v>-</v>
      </c>
      <c r="CM28" s="37" t="str">
        <f t="shared" si="52"/>
        <v>-</v>
      </c>
      <c r="CN28" s="37" t="str">
        <f t="shared" si="53"/>
        <v>-</v>
      </c>
      <c r="CO28" s="13" t="str">
        <f t="shared" si="54"/>
        <v>-</v>
      </c>
      <c r="CP28" s="37" t="str">
        <f t="shared" si="55"/>
        <v>-</v>
      </c>
      <c r="CQ28" s="2" t="str">
        <f t="shared" si="56"/>
        <v>-</v>
      </c>
      <c r="CR28" s="2" t="str">
        <f t="shared" si="57"/>
        <v>-</v>
      </c>
      <c r="CS28" s="37" t="str">
        <f t="shared" si="58"/>
        <v>-</v>
      </c>
      <c r="CT28" s="37" t="str">
        <f t="shared" si="59"/>
        <v>-</v>
      </c>
      <c r="CU28" s="37">
        <f t="shared" si="77"/>
        <v>0</v>
      </c>
      <c r="CV28" s="37"/>
      <c r="CW28" s="37" t="str">
        <f t="shared" si="60"/>
        <v>-</v>
      </c>
      <c r="CX28" s="13" t="str">
        <f t="shared" si="61"/>
        <v>-</v>
      </c>
      <c r="CY28" s="13" t="str">
        <f t="shared" si="62"/>
        <v>-</v>
      </c>
      <c r="CZ28" s="2" t="str">
        <f t="shared" si="63"/>
        <v>-</v>
      </c>
      <c r="DA28" s="2" t="str">
        <f t="shared" si="81"/>
        <v>-</v>
      </c>
      <c r="DB28" s="2"/>
      <c r="DC28" s="2" t="str">
        <f t="shared" si="64"/>
        <v>0-</v>
      </c>
      <c r="DD28" s="2" t="str">
        <f t="shared" si="78"/>
        <v>B</v>
      </c>
      <c r="DE28" s="16" t="str">
        <f t="shared" si="65"/>
        <v>-</v>
      </c>
      <c r="DF28" s="16" t="str">
        <f t="shared" si="66"/>
        <v>-</v>
      </c>
      <c r="DG28" s="64" t="str">
        <f t="shared" si="67"/>
        <v>-</v>
      </c>
      <c r="DH28" s="37" t="e">
        <f>DE28+DF27+DG27</f>
        <v>#VALUE!</v>
      </c>
      <c r="DI28" s="37" t="e">
        <f>DH28/$B$3*100</f>
        <v>#VALUE!</v>
      </c>
      <c r="DJ28" s="14" t="e">
        <f>DE28/DF27</f>
        <v>#VALUE!</v>
      </c>
      <c r="DK28" s="37" t="str">
        <f t="shared" si="68"/>
        <v>-</v>
      </c>
      <c r="DL28" s="14" t="e">
        <f>DE28+DF27</f>
        <v>#VALUE!</v>
      </c>
      <c r="DM28" s="1"/>
      <c r="DO28" s="65"/>
    </row>
    <row r="29" spans="1:161" x14ac:dyDescent="0.25">
      <c r="A29" s="22" t="s">
        <v>98</v>
      </c>
      <c r="B29" s="56"/>
      <c r="C29" s="5">
        <f t="shared" si="69"/>
        <v>-2209165200</v>
      </c>
      <c r="D29" s="5">
        <f t="shared" si="79"/>
        <v>0</v>
      </c>
      <c r="E29" s="37">
        <f t="shared" si="70"/>
        <v>-1053494.712638889</v>
      </c>
      <c r="F29" s="5">
        <f t="shared" si="0"/>
        <v>-1053494.712638889</v>
      </c>
      <c r="G29" s="46"/>
      <c r="H29" s="5" t="str">
        <f t="shared" si="71"/>
        <v>No</v>
      </c>
      <c r="I29" s="46"/>
      <c r="J29" s="46"/>
      <c r="K29" s="46"/>
      <c r="L29" s="47"/>
      <c r="M29" s="46"/>
      <c r="N29" s="37">
        <f t="shared" si="1"/>
        <v>0</v>
      </c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36">
        <f t="shared" si="2"/>
        <v>0</v>
      </c>
      <c r="AA29" s="36">
        <f t="shared" si="72"/>
        <v>0</v>
      </c>
      <c r="AB29" s="36">
        <f t="shared" si="73"/>
        <v>0</v>
      </c>
      <c r="AC29" s="17">
        <f t="shared" si="73"/>
        <v>0</v>
      </c>
      <c r="AD29" s="17">
        <f t="shared" si="3"/>
        <v>0</v>
      </c>
      <c r="AE29" s="17">
        <f t="shared" si="3"/>
        <v>0</v>
      </c>
      <c r="AF29" s="36">
        <f t="shared" si="4"/>
        <v>0</v>
      </c>
      <c r="AG29" s="36">
        <f t="shared" si="5"/>
        <v>0</v>
      </c>
      <c r="AH29" s="36">
        <f t="shared" si="74"/>
        <v>0</v>
      </c>
      <c r="AI29" s="36">
        <f t="shared" si="80"/>
        <v>0</v>
      </c>
      <c r="AJ29" s="67" t="s">
        <v>142</v>
      </c>
      <c r="AK29" s="37">
        <f t="shared" si="6"/>
        <v>0</v>
      </c>
      <c r="AL29" s="16" t="str">
        <f t="shared" si="7"/>
        <v>-</v>
      </c>
      <c r="AM29" s="18" t="str">
        <f t="shared" si="8"/>
        <v>-</v>
      </c>
      <c r="AN29" s="14" t="str">
        <f t="shared" si="9"/>
        <v>-</v>
      </c>
      <c r="AO29" s="14" t="str">
        <f t="shared" si="10"/>
        <v>-</v>
      </c>
      <c r="AP29" s="14" t="str">
        <f t="shared" si="11"/>
        <v>-</v>
      </c>
      <c r="AQ29" s="14" t="str">
        <f t="shared" si="12"/>
        <v>-</v>
      </c>
      <c r="AR29" s="14" t="str">
        <f t="shared" si="13"/>
        <v>-</v>
      </c>
      <c r="AS29" s="14" t="str">
        <f t="shared" si="14"/>
        <v>-</v>
      </c>
      <c r="AT29" s="14" t="str">
        <f t="shared" si="15"/>
        <v>-</v>
      </c>
      <c r="AU29" s="14" t="str">
        <f t="shared" si="16"/>
        <v>-</v>
      </c>
      <c r="AV29" s="14" t="str">
        <f t="shared" si="17"/>
        <v>-</v>
      </c>
      <c r="AW29" s="14" t="str">
        <f t="shared" si="18"/>
        <v>-</v>
      </c>
      <c r="AX29" s="14" t="str">
        <f t="shared" si="19"/>
        <v>-</v>
      </c>
      <c r="AY29" s="14" t="str">
        <f t="shared" si="20"/>
        <v>-</v>
      </c>
      <c r="AZ29" s="14" t="str">
        <f t="shared" si="21"/>
        <v>-</v>
      </c>
      <c r="BA29" s="14" t="str">
        <f t="shared" si="22"/>
        <v>-</v>
      </c>
      <c r="BB29" s="14" t="str">
        <f t="shared" si="23"/>
        <v>-</v>
      </c>
      <c r="BC29" s="45"/>
      <c r="BD29" s="45"/>
      <c r="BE29" s="45"/>
      <c r="BF29" s="45"/>
      <c r="BG29" s="36" t="str">
        <f t="shared" si="24"/>
        <v>-</v>
      </c>
      <c r="BH29" s="25" t="str">
        <f t="shared" si="75"/>
        <v>-</v>
      </c>
      <c r="BI29" s="14" t="str">
        <f t="shared" si="25"/>
        <v>-</v>
      </c>
      <c r="BJ29" s="2" t="str">
        <f t="shared" si="26"/>
        <v>-</v>
      </c>
      <c r="BK29" s="2" t="str">
        <f t="shared" si="27"/>
        <v>-</v>
      </c>
      <c r="BL29" s="2" t="str">
        <f t="shared" si="28"/>
        <v>-</v>
      </c>
      <c r="BM29" s="2" t="str">
        <f t="shared" si="29"/>
        <v>-</v>
      </c>
      <c r="BN29" s="2" t="str">
        <f t="shared" si="30"/>
        <v>-</v>
      </c>
      <c r="BO29" s="2" t="str">
        <f t="shared" si="31"/>
        <v>-</v>
      </c>
      <c r="BP29" s="2" t="str">
        <f t="shared" si="32"/>
        <v>-</v>
      </c>
      <c r="BQ29" s="2" t="str">
        <f t="shared" si="33"/>
        <v>-</v>
      </c>
      <c r="BR29" s="2" t="str">
        <f t="shared" si="34"/>
        <v>-</v>
      </c>
      <c r="BS29" s="2" t="str">
        <f t="shared" si="35"/>
        <v>-</v>
      </c>
      <c r="BT29" s="2" t="str">
        <f t="shared" si="36"/>
        <v>-</v>
      </c>
      <c r="BU29" s="2" t="str">
        <f t="shared" si="37"/>
        <v>-</v>
      </c>
      <c r="BV29" s="2" t="str">
        <f t="shared" si="38"/>
        <v>-</v>
      </c>
      <c r="BW29" s="2" t="str">
        <f t="shared" si="39"/>
        <v>-</v>
      </c>
      <c r="BX29" s="2" t="str">
        <f t="shared" si="40"/>
        <v>-</v>
      </c>
      <c r="BY29" s="20" t="str">
        <f t="shared" si="41"/>
        <v>-</v>
      </c>
      <c r="BZ29" s="20"/>
      <c r="CA29" s="20"/>
      <c r="CB29" s="20" t="str">
        <f t="shared" si="42"/>
        <v>-</v>
      </c>
      <c r="CC29" s="20" t="str">
        <f t="shared" si="43"/>
        <v>-</v>
      </c>
      <c r="CD29" s="20" t="str">
        <f t="shared" si="44"/>
        <v>-</v>
      </c>
      <c r="CE29" s="20" t="str">
        <f t="shared" si="45"/>
        <v>-</v>
      </c>
      <c r="CF29" s="2" t="str">
        <f t="shared" si="46"/>
        <v>-</v>
      </c>
      <c r="CG29" s="2">
        <f t="shared" si="47"/>
        <v>0</v>
      </c>
      <c r="CH29" s="37" t="str">
        <f t="shared" si="48"/>
        <v>-</v>
      </c>
      <c r="CI29" s="71" t="str">
        <f t="shared" si="76"/>
        <v>-</v>
      </c>
      <c r="CJ29" s="37" t="str">
        <f t="shared" si="49"/>
        <v>-</v>
      </c>
      <c r="CK29" s="37" t="str">
        <f t="shared" si="50"/>
        <v>-</v>
      </c>
      <c r="CL29" s="37" t="str">
        <f t="shared" si="51"/>
        <v>-</v>
      </c>
      <c r="CM29" s="37" t="str">
        <f t="shared" si="52"/>
        <v>-</v>
      </c>
      <c r="CN29" s="37" t="str">
        <f t="shared" si="53"/>
        <v>-</v>
      </c>
      <c r="CO29" s="13" t="str">
        <f t="shared" si="54"/>
        <v>-</v>
      </c>
      <c r="CP29" s="37" t="str">
        <f t="shared" si="55"/>
        <v>-</v>
      </c>
      <c r="CQ29" s="2" t="str">
        <f t="shared" si="56"/>
        <v>-</v>
      </c>
      <c r="CR29" s="2" t="str">
        <f t="shared" si="57"/>
        <v>-</v>
      </c>
      <c r="CS29" s="37" t="str">
        <f t="shared" si="58"/>
        <v>-</v>
      </c>
      <c r="CT29" s="37" t="str">
        <f t="shared" si="59"/>
        <v>-</v>
      </c>
      <c r="CU29" s="37">
        <f t="shared" si="77"/>
        <v>0</v>
      </c>
      <c r="CV29" s="37" t="e">
        <f>CT29-CU29</f>
        <v>#VALUE!</v>
      </c>
      <c r="CW29" s="37" t="str">
        <f t="shared" si="60"/>
        <v>-</v>
      </c>
      <c r="CX29" s="13" t="str">
        <f t="shared" si="61"/>
        <v>-</v>
      </c>
      <c r="CY29" s="13" t="str">
        <f t="shared" si="62"/>
        <v>-</v>
      </c>
      <c r="CZ29" s="2" t="str">
        <f t="shared" si="63"/>
        <v>-</v>
      </c>
      <c r="DA29" s="2" t="str">
        <f t="shared" si="81"/>
        <v>-</v>
      </c>
      <c r="DB29" s="2"/>
      <c r="DC29" s="2" t="str">
        <f t="shared" si="64"/>
        <v>0-</v>
      </c>
      <c r="DD29" s="2" t="str">
        <f t="shared" si="78"/>
        <v>B</v>
      </c>
      <c r="DE29" s="16" t="str">
        <f t="shared" si="65"/>
        <v>-</v>
      </c>
      <c r="DF29" s="16" t="str">
        <f t="shared" si="66"/>
        <v>-</v>
      </c>
      <c r="DG29" s="64" t="str">
        <f t="shared" si="67"/>
        <v>-</v>
      </c>
      <c r="DH29" s="37"/>
      <c r="DI29" s="14"/>
      <c r="DJ29" s="14"/>
      <c r="DK29" s="37" t="str">
        <f t="shared" si="68"/>
        <v>-</v>
      </c>
      <c r="DL29" s="37"/>
      <c r="DM29" s="37"/>
    </row>
    <row r="30" spans="1:161" x14ac:dyDescent="0.25">
      <c r="A30" s="68" t="s">
        <v>99</v>
      </c>
      <c r="B30" s="56"/>
      <c r="C30" s="5">
        <f t="shared" si="69"/>
        <v>-2209165200</v>
      </c>
      <c r="D30" s="5">
        <f t="shared" si="79"/>
        <v>0</v>
      </c>
      <c r="E30" s="37">
        <f t="shared" si="70"/>
        <v>-1053494.712638889</v>
      </c>
      <c r="F30" s="5">
        <f t="shared" si="0"/>
        <v>-1053494.712638889</v>
      </c>
      <c r="G30" s="46"/>
      <c r="H30" s="5" t="str">
        <f t="shared" si="71"/>
        <v>No</v>
      </c>
      <c r="I30" s="46"/>
      <c r="J30" s="46"/>
      <c r="K30" s="46"/>
      <c r="L30" s="47"/>
      <c r="M30" s="46"/>
      <c r="N30" s="37">
        <f t="shared" si="1"/>
        <v>0</v>
      </c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36">
        <f t="shared" si="2"/>
        <v>0</v>
      </c>
      <c r="AA30" s="36">
        <f t="shared" si="72"/>
        <v>0</v>
      </c>
      <c r="AB30" s="36">
        <f t="shared" si="73"/>
        <v>0</v>
      </c>
      <c r="AC30" s="17">
        <f t="shared" si="73"/>
        <v>0</v>
      </c>
      <c r="AD30" s="17">
        <f t="shared" si="3"/>
        <v>0</v>
      </c>
      <c r="AE30" s="17">
        <f t="shared" si="3"/>
        <v>0</v>
      </c>
      <c r="AF30" s="36">
        <f t="shared" si="4"/>
        <v>0</v>
      </c>
      <c r="AG30" s="36">
        <f t="shared" si="5"/>
        <v>0</v>
      </c>
      <c r="AH30" s="36">
        <f t="shared" si="74"/>
        <v>0</v>
      </c>
      <c r="AI30" s="36">
        <f t="shared" si="80"/>
        <v>0</v>
      </c>
      <c r="AJ30" s="67" t="s">
        <v>142</v>
      </c>
      <c r="AK30" s="37">
        <f t="shared" si="6"/>
        <v>0</v>
      </c>
      <c r="AL30" s="16" t="str">
        <f t="shared" si="7"/>
        <v>-</v>
      </c>
      <c r="AM30" s="18" t="str">
        <f t="shared" si="8"/>
        <v>-</v>
      </c>
      <c r="AN30" s="14" t="str">
        <f t="shared" si="9"/>
        <v>-</v>
      </c>
      <c r="AO30" s="14" t="str">
        <f t="shared" si="10"/>
        <v>-</v>
      </c>
      <c r="AP30" s="14" t="str">
        <f t="shared" si="11"/>
        <v>-</v>
      </c>
      <c r="AQ30" s="14" t="str">
        <f t="shared" si="12"/>
        <v>-</v>
      </c>
      <c r="AR30" s="14" t="str">
        <f t="shared" si="13"/>
        <v>-</v>
      </c>
      <c r="AS30" s="14" t="str">
        <f t="shared" si="14"/>
        <v>-</v>
      </c>
      <c r="AT30" s="14" t="str">
        <f t="shared" si="15"/>
        <v>-</v>
      </c>
      <c r="AU30" s="14" t="str">
        <f t="shared" si="16"/>
        <v>-</v>
      </c>
      <c r="AV30" s="14" t="str">
        <f t="shared" si="17"/>
        <v>-</v>
      </c>
      <c r="AW30" s="14" t="str">
        <f t="shared" si="18"/>
        <v>-</v>
      </c>
      <c r="AX30" s="14" t="str">
        <f t="shared" si="19"/>
        <v>-</v>
      </c>
      <c r="AY30" s="14" t="str">
        <f t="shared" si="20"/>
        <v>-</v>
      </c>
      <c r="AZ30" s="14" t="str">
        <f t="shared" si="21"/>
        <v>-</v>
      </c>
      <c r="BA30" s="14" t="str">
        <f t="shared" si="22"/>
        <v>-</v>
      </c>
      <c r="BB30" s="14" t="str">
        <f t="shared" si="23"/>
        <v>-</v>
      </c>
      <c r="BC30" s="45"/>
      <c r="BD30" s="45"/>
      <c r="BE30" s="45"/>
      <c r="BF30" s="45"/>
      <c r="BG30" s="36" t="str">
        <f t="shared" si="24"/>
        <v>-</v>
      </c>
      <c r="BH30" s="25" t="str">
        <f t="shared" si="75"/>
        <v>-</v>
      </c>
      <c r="BI30" s="14" t="str">
        <f t="shared" si="25"/>
        <v>-</v>
      </c>
      <c r="BJ30" s="2" t="str">
        <f t="shared" si="26"/>
        <v>-</v>
      </c>
      <c r="BK30" s="2" t="str">
        <f t="shared" si="27"/>
        <v>-</v>
      </c>
      <c r="BL30" s="2" t="str">
        <f t="shared" si="28"/>
        <v>-</v>
      </c>
      <c r="BM30" s="2" t="str">
        <f t="shared" si="29"/>
        <v>-</v>
      </c>
      <c r="BN30" s="2" t="str">
        <f t="shared" si="30"/>
        <v>-</v>
      </c>
      <c r="BO30" s="2" t="str">
        <f t="shared" si="31"/>
        <v>-</v>
      </c>
      <c r="BP30" s="2" t="str">
        <f t="shared" si="32"/>
        <v>-</v>
      </c>
      <c r="BQ30" s="2" t="str">
        <f t="shared" si="33"/>
        <v>-</v>
      </c>
      <c r="BR30" s="2" t="str">
        <f t="shared" si="34"/>
        <v>-</v>
      </c>
      <c r="BS30" s="2" t="str">
        <f t="shared" si="35"/>
        <v>-</v>
      </c>
      <c r="BT30" s="2" t="str">
        <f t="shared" si="36"/>
        <v>-</v>
      </c>
      <c r="BU30" s="2" t="str">
        <f t="shared" si="37"/>
        <v>-</v>
      </c>
      <c r="BV30" s="2" t="str">
        <f t="shared" si="38"/>
        <v>-</v>
      </c>
      <c r="BW30" s="2" t="str">
        <f t="shared" si="39"/>
        <v>-</v>
      </c>
      <c r="BX30" s="2" t="str">
        <f t="shared" si="40"/>
        <v>-</v>
      </c>
      <c r="BY30" s="20" t="str">
        <f t="shared" si="41"/>
        <v>-</v>
      </c>
      <c r="BZ30" s="20"/>
      <c r="CA30" s="20"/>
      <c r="CB30" s="20" t="str">
        <f t="shared" si="42"/>
        <v>-</v>
      </c>
      <c r="CC30" s="20" t="str">
        <f t="shared" si="43"/>
        <v>-</v>
      </c>
      <c r="CD30" s="20" t="str">
        <f t="shared" si="44"/>
        <v>-</v>
      </c>
      <c r="CE30" s="20" t="str">
        <f t="shared" si="45"/>
        <v>-</v>
      </c>
      <c r="CF30" s="2" t="str">
        <f t="shared" si="46"/>
        <v>-</v>
      </c>
      <c r="CG30" s="2">
        <f t="shared" si="47"/>
        <v>0</v>
      </c>
      <c r="CH30" s="37" t="str">
        <f t="shared" si="48"/>
        <v>-</v>
      </c>
      <c r="CI30" s="71" t="str">
        <f t="shared" si="76"/>
        <v>-</v>
      </c>
      <c r="CJ30" s="37" t="str">
        <f t="shared" si="49"/>
        <v>-</v>
      </c>
      <c r="CK30" s="37" t="str">
        <f t="shared" si="50"/>
        <v>-</v>
      </c>
      <c r="CL30" s="37" t="str">
        <f t="shared" si="51"/>
        <v>-</v>
      </c>
      <c r="CM30" s="37" t="str">
        <f t="shared" si="52"/>
        <v>-</v>
      </c>
      <c r="CN30" s="37" t="str">
        <f t="shared" si="53"/>
        <v>-</v>
      </c>
      <c r="CO30" s="13" t="str">
        <f t="shared" si="54"/>
        <v>-</v>
      </c>
      <c r="CP30" s="37" t="str">
        <f t="shared" si="55"/>
        <v>-</v>
      </c>
      <c r="CQ30" s="2" t="str">
        <f t="shared" si="56"/>
        <v>-</v>
      </c>
      <c r="CR30" s="2" t="str">
        <f t="shared" si="57"/>
        <v>-</v>
      </c>
      <c r="CS30" s="37" t="str">
        <f t="shared" si="58"/>
        <v>-</v>
      </c>
      <c r="CT30" s="37" t="str">
        <f t="shared" si="59"/>
        <v>-</v>
      </c>
      <c r="CU30" s="37">
        <f t="shared" si="77"/>
        <v>0</v>
      </c>
      <c r="CV30" s="37"/>
      <c r="CW30" s="37" t="str">
        <f t="shared" si="60"/>
        <v>-</v>
      </c>
      <c r="CX30" s="13" t="str">
        <f t="shared" si="61"/>
        <v>-</v>
      </c>
      <c r="CY30" s="13" t="str">
        <f t="shared" si="62"/>
        <v>-</v>
      </c>
      <c r="CZ30" s="2" t="str">
        <f t="shared" si="63"/>
        <v>-</v>
      </c>
      <c r="DA30" s="2" t="str">
        <f t="shared" si="81"/>
        <v>-</v>
      </c>
      <c r="DB30" s="2"/>
      <c r="DC30" s="2" t="str">
        <f t="shared" si="64"/>
        <v>0-</v>
      </c>
      <c r="DD30" s="2" t="str">
        <f t="shared" si="78"/>
        <v>B</v>
      </c>
      <c r="DE30" s="16" t="str">
        <f t="shared" si="65"/>
        <v>-</v>
      </c>
      <c r="DF30" s="16" t="str">
        <f t="shared" si="66"/>
        <v>-</v>
      </c>
      <c r="DG30" s="64" t="str">
        <f t="shared" si="67"/>
        <v>-</v>
      </c>
      <c r="DH30" s="37" t="e">
        <f>DE30+DF29+DG29</f>
        <v>#VALUE!</v>
      </c>
      <c r="DI30" s="37" t="e">
        <f>DH30/$B$3*100</f>
        <v>#VALUE!</v>
      </c>
      <c r="DJ30" s="14" t="e">
        <f>DE30/DF29</f>
        <v>#VALUE!</v>
      </c>
      <c r="DK30" s="37" t="str">
        <f t="shared" si="68"/>
        <v>-</v>
      </c>
      <c r="DL30" s="14" t="e">
        <f>DE30+DF29</f>
        <v>#VALUE!</v>
      </c>
      <c r="DM30" s="1"/>
    </row>
    <row r="31" spans="1:161" x14ac:dyDescent="0.25">
      <c r="A31" s="22" t="s">
        <v>100</v>
      </c>
      <c r="B31" s="56"/>
      <c r="C31" s="5">
        <f t="shared" si="69"/>
        <v>-2209165200</v>
      </c>
      <c r="D31" s="5">
        <f t="shared" si="79"/>
        <v>0</v>
      </c>
      <c r="E31" s="37">
        <f t="shared" si="70"/>
        <v>-1053494.712638889</v>
      </c>
      <c r="F31" s="5">
        <f t="shared" si="0"/>
        <v>-1053494.712638889</v>
      </c>
      <c r="G31" s="46"/>
      <c r="H31" s="5" t="str">
        <f t="shared" si="71"/>
        <v>No</v>
      </c>
      <c r="I31" s="46"/>
      <c r="J31" s="46"/>
      <c r="K31" s="46"/>
      <c r="L31" s="47"/>
      <c r="M31" s="46"/>
      <c r="N31" s="37">
        <f t="shared" si="1"/>
        <v>0</v>
      </c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36">
        <f t="shared" si="2"/>
        <v>0</v>
      </c>
      <c r="AA31" s="36">
        <f t="shared" si="72"/>
        <v>0</v>
      </c>
      <c r="AB31" s="36">
        <f t="shared" si="73"/>
        <v>0</v>
      </c>
      <c r="AC31" s="17">
        <f t="shared" si="73"/>
        <v>0</v>
      </c>
      <c r="AD31" s="17">
        <f t="shared" si="3"/>
        <v>0</v>
      </c>
      <c r="AE31" s="17">
        <f t="shared" si="3"/>
        <v>0</v>
      </c>
      <c r="AF31" s="36">
        <f t="shared" si="4"/>
        <v>0</v>
      </c>
      <c r="AG31" s="36">
        <f t="shared" si="5"/>
        <v>0</v>
      </c>
      <c r="AH31" s="36">
        <f t="shared" si="74"/>
        <v>0</v>
      </c>
      <c r="AI31" s="36">
        <f t="shared" si="80"/>
        <v>0</v>
      </c>
      <c r="AJ31" s="67" t="s">
        <v>142</v>
      </c>
      <c r="AK31" s="37">
        <f t="shared" si="6"/>
        <v>0</v>
      </c>
      <c r="AL31" s="16" t="str">
        <f t="shared" si="7"/>
        <v>-</v>
      </c>
      <c r="AM31" s="18" t="str">
        <f t="shared" si="8"/>
        <v>-</v>
      </c>
      <c r="AN31" s="14" t="str">
        <f t="shared" si="9"/>
        <v>-</v>
      </c>
      <c r="AO31" s="14" t="str">
        <f t="shared" si="10"/>
        <v>-</v>
      </c>
      <c r="AP31" s="14" t="str">
        <f t="shared" si="11"/>
        <v>-</v>
      </c>
      <c r="AQ31" s="14" t="str">
        <f t="shared" si="12"/>
        <v>-</v>
      </c>
      <c r="AR31" s="14" t="str">
        <f t="shared" si="13"/>
        <v>-</v>
      </c>
      <c r="AS31" s="14" t="str">
        <f t="shared" si="14"/>
        <v>-</v>
      </c>
      <c r="AT31" s="14" t="str">
        <f t="shared" si="15"/>
        <v>-</v>
      </c>
      <c r="AU31" s="14" t="str">
        <f t="shared" si="16"/>
        <v>-</v>
      </c>
      <c r="AV31" s="14" t="str">
        <f t="shared" si="17"/>
        <v>-</v>
      </c>
      <c r="AW31" s="14" t="str">
        <f t="shared" si="18"/>
        <v>-</v>
      </c>
      <c r="AX31" s="14" t="str">
        <f t="shared" si="19"/>
        <v>-</v>
      </c>
      <c r="AY31" s="14" t="str">
        <f t="shared" si="20"/>
        <v>-</v>
      </c>
      <c r="AZ31" s="14" t="str">
        <f t="shared" si="21"/>
        <v>-</v>
      </c>
      <c r="BA31" s="14" t="str">
        <f t="shared" si="22"/>
        <v>-</v>
      </c>
      <c r="BB31" s="14" t="str">
        <f t="shared" si="23"/>
        <v>-</v>
      </c>
      <c r="BC31" s="45"/>
      <c r="BD31" s="45"/>
      <c r="BE31" s="45"/>
      <c r="BF31" s="45"/>
      <c r="BG31" s="36" t="str">
        <f t="shared" si="24"/>
        <v>-</v>
      </c>
      <c r="BH31" s="25" t="str">
        <f t="shared" si="75"/>
        <v>-</v>
      </c>
      <c r="BI31" s="14" t="str">
        <f t="shared" si="25"/>
        <v>-</v>
      </c>
      <c r="BJ31" s="2" t="str">
        <f t="shared" si="26"/>
        <v>-</v>
      </c>
      <c r="BK31" s="2" t="str">
        <f t="shared" si="27"/>
        <v>-</v>
      </c>
      <c r="BL31" s="2" t="str">
        <f t="shared" si="28"/>
        <v>-</v>
      </c>
      <c r="BM31" s="2" t="str">
        <f t="shared" si="29"/>
        <v>-</v>
      </c>
      <c r="BN31" s="2" t="str">
        <f t="shared" si="30"/>
        <v>-</v>
      </c>
      <c r="BO31" s="2" t="str">
        <f t="shared" si="31"/>
        <v>-</v>
      </c>
      <c r="BP31" s="2" t="str">
        <f t="shared" si="32"/>
        <v>-</v>
      </c>
      <c r="BQ31" s="2" t="str">
        <f t="shared" si="33"/>
        <v>-</v>
      </c>
      <c r="BR31" s="2" t="str">
        <f t="shared" si="34"/>
        <v>-</v>
      </c>
      <c r="BS31" s="2" t="str">
        <f t="shared" si="35"/>
        <v>-</v>
      </c>
      <c r="BT31" s="2" t="str">
        <f t="shared" si="36"/>
        <v>-</v>
      </c>
      <c r="BU31" s="2" t="str">
        <f t="shared" si="37"/>
        <v>-</v>
      </c>
      <c r="BV31" s="2" t="str">
        <f t="shared" si="38"/>
        <v>-</v>
      </c>
      <c r="BW31" s="2" t="str">
        <f t="shared" si="39"/>
        <v>-</v>
      </c>
      <c r="BX31" s="2" t="str">
        <f t="shared" si="40"/>
        <v>-</v>
      </c>
      <c r="BY31" s="20" t="str">
        <f t="shared" si="41"/>
        <v>-</v>
      </c>
      <c r="BZ31" s="20"/>
      <c r="CA31" s="20"/>
      <c r="CB31" s="20" t="str">
        <f t="shared" si="42"/>
        <v>-</v>
      </c>
      <c r="CC31" s="20" t="str">
        <f t="shared" si="43"/>
        <v>-</v>
      </c>
      <c r="CD31" s="20" t="str">
        <f t="shared" si="44"/>
        <v>-</v>
      </c>
      <c r="CE31" s="20" t="str">
        <f t="shared" si="45"/>
        <v>-</v>
      </c>
      <c r="CF31" s="2" t="str">
        <f t="shared" si="46"/>
        <v>-</v>
      </c>
      <c r="CG31" s="2">
        <f t="shared" si="47"/>
        <v>0</v>
      </c>
      <c r="CH31" s="37" t="str">
        <f t="shared" si="48"/>
        <v>-</v>
      </c>
      <c r="CI31" s="71" t="str">
        <f t="shared" si="76"/>
        <v>-</v>
      </c>
      <c r="CJ31" s="37" t="str">
        <f t="shared" si="49"/>
        <v>-</v>
      </c>
      <c r="CK31" s="37" t="str">
        <f t="shared" si="50"/>
        <v>-</v>
      </c>
      <c r="CL31" s="37" t="str">
        <f t="shared" si="51"/>
        <v>-</v>
      </c>
      <c r="CM31" s="37" t="str">
        <f t="shared" si="52"/>
        <v>-</v>
      </c>
      <c r="CN31" s="37" t="str">
        <f t="shared" si="53"/>
        <v>-</v>
      </c>
      <c r="CO31" s="13" t="str">
        <f t="shared" si="54"/>
        <v>-</v>
      </c>
      <c r="CP31" s="37" t="str">
        <f t="shared" si="55"/>
        <v>-</v>
      </c>
      <c r="CQ31" s="2" t="str">
        <f t="shared" si="56"/>
        <v>-</v>
      </c>
      <c r="CR31" s="2" t="str">
        <f t="shared" si="57"/>
        <v>-</v>
      </c>
      <c r="CS31" s="37" t="str">
        <f t="shared" si="58"/>
        <v>-</v>
      </c>
      <c r="CT31" s="37" t="str">
        <f t="shared" si="59"/>
        <v>-</v>
      </c>
      <c r="CU31" s="37">
        <f t="shared" si="77"/>
        <v>0</v>
      </c>
      <c r="CV31" s="37" t="e">
        <f>CT31-CU31</f>
        <v>#VALUE!</v>
      </c>
      <c r="CW31" s="37" t="str">
        <f t="shared" si="60"/>
        <v>-</v>
      </c>
      <c r="CX31" s="13" t="str">
        <f t="shared" si="61"/>
        <v>-</v>
      </c>
      <c r="CY31" s="13" t="str">
        <f t="shared" si="62"/>
        <v>-</v>
      </c>
      <c r="CZ31" s="2" t="str">
        <f t="shared" si="63"/>
        <v>-</v>
      </c>
      <c r="DA31" s="2" t="str">
        <f t="shared" si="81"/>
        <v>-</v>
      </c>
      <c r="DB31" s="2"/>
      <c r="DC31" s="2" t="str">
        <f t="shared" si="64"/>
        <v>0-</v>
      </c>
      <c r="DD31" s="2" t="str">
        <f t="shared" si="78"/>
        <v>B</v>
      </c>
      <c r="DE31" s="16" t="str">
        <f t="shared" si="65"/>
        <v>-</v>
      </c>
      <c r="DF31" s="16" t="str">
        <f t="shared" si="66"/>
        <v>-</v>
      </c>
      <c r="DG31" s="64" t="str">
        <f t="shared" si="67"/>
        <v>-</v>
      </c>
      <c r="DH31" s="37"/>
      <c r="DI31" s="14"/>
      <c r="DJ31" s="14"/>
      <c r="DK31" s="37" t="str">
        <f t="shared" si="68"/>
        <v>-</v>
      </c>
      <c r="DL31" s="37"/>
      <c r="DM31" s="1"/>
    </row>
    <row r="32" spans="1:161" x14ac:dyDescent="0.25">
      <c r="A32" s="22" t="s">
        <v>101</v>
      </c>
      <c r="B32" s="56"/>
      <c r="C32" s="5">
        <f t="shared" si="69"/>
        <v>-2209165200</v>
      </c>
      <c r="D32" s="5">
        <f t="shared" si="79"/>
        <v>0</v>
      </c>
      <c r="E32" s="37">
        <f t="shared" si="70"/>
        <v>-1053494.712638889</v>
      </c>
      <c r="F32" s="5">
        <f t="shared" si="0"/>
        <v>-1053494.712638889</v>
      </c>
      <c r="G32" s="48"/>
      <c r="H32" s="5" t="str">
        <f t="shared" si="71"/>
        <v>No</v>
      </c>
      <c r="I32" s="46"/>
      <c r="J32" s="46"/>
      <c r="K32" s="46"/>
      <c r="L32" s="47"/>
      <c r="M32" s="46"/>
      <c r="N32" s="37">
        <f t="shared" si="1"/>
        <v>0</v>
      </c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36">
        <f t="shared" si="2"/>
        <v>0</v>
      </c>
      <c r="AA32" s="36">
        <f t="shared" si="72"/>
        <v>0</v>
      </c>
      <c r="AB32" s="36">
        <f t="shared" si="73"/>
        <v>0</v>
      </c>
      <c r="AC32" s="17">
        <f t="shared" si="73"/>
        <v>0</v>
      </c>
      <c r="AD32" s="17">
        <f t="shared" si="3"/>
        <v>0</v>
      </c>
      <c r="AE32" s="17">
        <f t="shared" si="3"/>
        <v>0</v>
      </c>
      <c r="AF32" s="36">
        <f t="shared" si="4"/>
        <v>0</v>
      </c>
      <c r="AG32" s="36">
        <f t="shared" si="5"/>
        <v>0</v>
      </c>
      <c r="AH32" s="36">
        <f t="shared" si="74"/>
        <v>0</v>
      </c>
      <c r="AI32" s="36">
        <f t="shared" si="80"/>
        <v>0</v>
      </c>
      <c r="AJ32" s="67" t="s">
        <v>142</v>
      </c>
      <c r="AK32" s="37">
        <f t="shared" si="6"/>
        <v>0</v>
      </c>
      <c r="AL32" s="16" t="str">
        <f t="shared" si="7"/>
        <v>-</v>
      </c>
      <c r="AM32" s="18" t="str">
        <f t="shared" si="8"/>
        <v>-</v>
      </c>
      <c r="AN32" s="14" t="str">
        <f t="shared" si="9"/>
        <v>-</v>
      </c>
      <c r="AO32" s="14" t="str">
        <f t="shared" si="10"/>
        <v>-</v>
      </c>
      <c r="AP32" s="14" t="str">
        <f t="shared" si="11"/>
        <v>-</v>
      </c>
      <c r="AQ32" s="14" t="str">
        <f t="shared" si="12"/>
        <v>-</v>
      </c>
      <c r="AR32" s="14" t="str">
        <f t="shared" si="13"/>
        <v>-</v>
      </c>
      <c r="AS32" s="14" t="str">
        <f t="shared" si="14"/>
        <v>-</v>
      </c>
      <c r="AT32" s="14" t="str">
        <f t="shared" si="15"/>
        <v>-</v>
      </c>
      <c r="AU32" s="14" t="str">
        <f t="shared" si="16"/>
        <v>-</v>
      </c>
      <c r="AV32" s="14" t="str">
        <f t="shared" si="17"/>
        <v>-</v>
      </c>
      <c r="AW32" s="14" t="str">
        <f t="shared" si="18"/>
        <v>-</v>
      </c>
      <c r="AX32" s="14" t="str">
        <f t="shared" si="19"/>
        <v>-</v>
      </c>
      <c r="AY32" s="14" t="str">
        <f t="shared" si="20"/>
        <v>-</v>
      </c>
      <c r="AZ32" s="14" t="str">
        <f t="shared" si="21"/>
        <v>-</v>
      </c>
      <c r="BA32" s="14" t="str">
        <f t="shared" si="22"/>
        <v>-</v>
      </c>
      <c r="BB32" s="14" t="str">
        <f t="shared" si="23"/>
        <v>-</v>
      </c>
      <c r="BC32" s="45"/>
      <c r="BD32" s="45"/>
      <c r="BE32" s="45"/>
      <c r="BF32" s="45"/>
      <c r="BG32" s="36" t="str">
        <f t="shared" si="24"/>
        <v>-</v>
      </c>
      <c r="BH32" s="25" t="str">
        <f t="shared" si="75"/>
        <v>-</v>
      </c>
      <c r="BI32" s="14" t="str">
        <f t="shared" si="25"/>
        <v>-</v>
      </c>
      <c r="BJ32" s="2" t="str">
        <f t="shared" si="26"/>
        <v>-</v>
      </c>
      <c r="BK32" s="2" t="str">
        <f t="shared" si="27"/>
        <v>-</v>
      </c>
      <c r="BL32" s="2" t="str">
        <f t="shared" si="28"/>
        <v>-</v>
      </c>
      <c r="BM32" s="2" t="str">
        <f t="shared" si="29"/>
        <v>-</v>
      </c>
      <c r="BN32" s="2" t="str">
        <f t="shared" si="30"/>
        <v>-</v>
      </c>
      <c r="BO32" s="2" t="str">
        <f t="shared" si="31"/>
        <v>-</v>
      </c>
      <c r="BP32" s="2" t="str">
        <f t="shared" si="32"/>
        <v>-</v>
      </c>
      <c r="BQ32" s="2" t="str">
        <f t="shared" si="33"/>
        <v>-</v>
      </c>
      <c r="BR32" s="2" t="str">
        <f t="shared" si="34"/>
        <v>-</v>
      </c>
      <c r="BS32" s="2" t="str">
        <f t="shared" si="35"/>
        <v>-</v>
      </c>
      <c r="BT32" s="2" t="str">
        <f t="shared" si="36"/>
        <v>-</v>
      </c>
      <c r="BU32" s="2" t="str">
        <f t="shared" si="37"/>
        <v>-</v>
      </c>
      <c r="BV32" s="2" t="str">
        <f t="shared" si="38"/>
        <v>-</v>
      </c>
      <c r="BW32" s="2" t="str">
        <f t="shared" si="39"/>
        <v>-</v>
      </c>
      <c r="BX32" s="2" t="str">
        <f t="shared" si="40"/>
        <v>-</v>
      </c>
      <c r="BY32" s="20" t="str">
        <f t="shared" si="41"/>
        <v>-</v>
      </c>
      <c r="BZ32" s="20"/>
      <c r="CA32" s="20"/>
      <c r="CB32" s="20" t="str">
        <f t="shared" si="42"/>
        <v>-</v>
      </c>
      <c r="CC32" s="20" t="str">
        <f t="shared" si="43"/>
        <v>-</v>
      </c>
      <c r="CD32" s="20" t="str">
        <f t="shared" si="44"/>
        <v>-</v>
      </c>
      <c r="CE32" s="20" t="str">
        <f t="shared" si="45"/>
        <v>-</v>
      </c>
      <c r="CF32" s="2" t="str">
        <f t="shared" si="46"/>
        <v>-</v>
      </c>
      <c r="CG32" s="2">
        <f t="shared" si="47"/>
        <v>0</v>
      </c>
      <c r="CH32" s="37" t="str">
        <f t="shared" si="48"/>
        <v>-</v>
      </c>
      <c r="CI32" s="71" t="str">
        <f t="shared" si="76"/>
        <v>-</v>
      </c>
      <c r="CJ32" s="37" t="str">
        <f t="shared" si="49"/>
        <v>-</v>
      </c>
      <c r="CK32" s="37" t="str">
        <f t="shared" si="50"/>
        <v>-</v>
      </c>
      <c r="CL32" s="37" t="str">
        <f t="shared" si="51"/>
        <v>-</v>
      </c>
      <c r="CM32" s="37" t="str">
        <f t="shared" si="52"/>
        <v>-</v>
      </c>
      <c r="CN32" s="37" t="str">
        <f t="shared" si="53"/>
        <v>-</v>
      </c>
      <c r="CO32" s="13" t="str">
        <f t="shared" si="54"/>
        <v>-</v>
      </c>
      <c r="CP32" s="37" t="str">
        <f t="shared" si="55"/>
        <v>-</v>
      </c>
      <c r="CQ32" s="2" t="str">
        <f t="shared" si="56"/>
        <v>-</v>
      </c>
      <c r="CR32" s="2" t="str">
        <f t="shared" si="57"/>
        <v>-</v>
      </c>
      <c r="CS32" s="37" t="str">
        <f t="shared" si="58"/>
        <v>-</v>
      </c>
      <c r="CT32" s="37" t="str">
        <f t="shared" si="59"/>
        <v>-</v>
      </c>
      <c r="CU32" s="37">
        <f t="shared" si="77"/>
        <v>0</v>
      </c>
      <c r="CV32" s="37"/>
      <c r="CW32" s="37" t="str">
        <f t="shared" si="60"/>
        <v>-</v>
      </c>
      <c r="CX32" s="13" t="str">
        <f t="shared" si="61"/>
        <v>-</v>
      </c>
      <c r="CY32" s="13" t="str">
        <f t="shared" si="62"/>
        <v>-</v>
      </c>
      <c r="CZ32" s="2" t="str">
        <f t="shared" si="63"/>
        <v>-</v>
      </c>
      <c r="DA32" s="2" t="str">
        <f t="shared" si="81"/>
        <v>-</v>
      </c>
      <c r="DB32" s="2"/>
      <c r="DC32" s="2" t="str">
        <f t="shared" si="64"/>
        <v>0-</v>
      </c>
      <c r="DD32" s="2" t="str">
        <f t="shared" si="78"/>
        <v>B</v>
      </c>
      <c r="DE32" s="16" t="str">
        <f t="shared" si="65"/>
        <v>-</v>
      </c>
      <c r="DF32" s="16" t="str">
        <f t="shared" si="66"/>
        <v>-</v>
      </c>
      <c r="DG32" s="64" t="str">
        <f t="shared" si="67"/>
        <v>-</v>
      </c>
      <c r="DH32" s="37" t="e">
        <f>DE32+DF31+DG31</f>
        <v>#VALUE!</v>
      </c>
      <c r="DI32" s="37" t="e">
        <f>DH32/$B$3*100</f>
        <v>#VALUE!</v>
      </c>
      <c r="DJ32" s="14" t="e">
        <f>DE32/DF31</f>
        <v>#VALUE!</v>
      </c>
      <c r="DK32" s="37" t="str">
        <f t="shared" si="68"/>
        <v>-</v>
      </c>
      <c r="DL32" s="14" t="e">
        <f>DE32+DF31</f>
        <v>#VALUE!</v>
      </c>
      <c r="DM32" s="1"/>
    </row>
    <row r="33" spans="1:117" x14ac:dyDescent="0.25">
      <c r="A33" s="22" t="s">
        <v>102</v>
      </c>
      <c r="B33" s="56"/>
      <c r="C33" s="5">
        <f t="shared" si="69"/>
        <v>-2209165200</v>
      </c>
      <c r="D33" s="5">
        <f t="shared" si="79"/>
        <v>0</v>
      </c>
      <c r="E33" s="37">
        <f t="shared" si="70"/>
        <v>-1053494.712638889</v>
      </c>
      <c r="F33" s="5">
        <f t="shared" si="0"/>
        <v>-1053494.712638889</v>
      </c>
      <c r="G33" s="46"/>
      <c r="H33" s="5" t="str">
        <f t="shared" si="71"/>
        <v>No</v>
      </c>
      <c r="I33" s="46"/>
      <c r="J33" s="46"/>
      <c r="K33" s="46"/>
      <c r="L33" s="47"/>
      <c r="M33" s="46"/>
      <c r="N33" s="37">
        <f t="shared" si="1"/>
        <v>0</v>
      </c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36">
        <f t="shared" si="2"/>
        <v>0</v>
      </c>
      <c r="AA33" s="36">
        <f t="shared" si="72"/>
        <v>0</v>
      </c>
      <c r="AB33" s="36">
        <f t="shared" si="73"/>
        <v>0</v>
      </c>
      <c r="AC33" s="17">
        <f t="shared" si="73"/>
        <v>0</v>
      </c>
      <c r="AD33" s="17">
        <f t="shared" si="3"/>
        <v>0</v>
      </c>
      <c r="AE33" s="17">
        <f t="shared" si="3"/>
        <v>0</v>
      </c>
      <c r="AF33" s="36">
        <f t="shared" si="4"/>
        <v>0</v>
      </c>
      <c r="AG33" s="36">
        <f t="shared" si="5"/>
        <v>0</v>
      </c>
      <c r="AH33" s="36">
        <f t="shared" si="74"/>
        <v>0</v>
      </c>
      <c r="AI33" s="36">
        <f t="shared" si="80"/>
        <v>0</v>
      </c>
      <c r="AJ33" s="67" t="s">
        <v>142</v>
      </c>
      <c r="AK33" s="37">
        <f t="shared" si="6"/>
        <v>0</v>
      </c>
      <c r="AL33" s="16" t="str">
        <f t="shared" si="7"/>
        <v>-</v>
      </c>
      <c r="AM33" s="18" t="str">
        <f t="shared" si="8"/>
        <v>-</v>
      </c>
      <c r="AN33" s="14" t="str">
        <f t="shared" si="9"/>
        <v>-</v>
      </c>
      <c r="AO33" s="14" t="str">
        <f t="shared" si="10"/>
        <v>-</v>
      </c>
      <c r="AP33" s="14" t="str">
        <f t="shared" si="11"/>
        <v>-</v>
      </c>
      <c r="AQ33" s="14" t="str">
        <f t="shared" si="12"/>
        <v>-</v>
      </c>
      <c r="AR33" s="14" t="str">
        <f t="shared" si="13"/>
        <v>-</v>
      </c>
      <c r="AS33" s="14" t="str">
        <f t="shared" si="14"/>
        <v>-</v>
      </c>
      <c r="AT33" s="14" t="str">
        <f t="shared" si="15"/>
        <v>-</v>
      </c>
      <c r="AU33" s="14" t="str">
        <f t="shared" si="16"/>
        <v>-</v>
      </c>
      <c r="AV33" s="14" t="str">
        <f t="shared" si="17"/>
        <v>-</v>
      </c>
      <c r="AW33" s="14" t="str">
        <f t="shared" si="18"/>
        <v>-</v>
      </c>
      <c r="AX33" s="14" t="str">
        <f t="shared" si="19"/>
        <v>-</v>
      </c>
      <c r="AY33" s="14" t="str">
        <f t="shared" si="20"/>
        <v>-</v>
      </c>
      <c r="AZ33" s="14" t="str">
        <f t="shared" si="21"/>
        <v>-</v>
      </c>
      <c r="BA33" s="14" t="str">
        <f t="shared" si="22"/>
        <v>-</v>
      </c>
      <c r="BB33" s="14" t="str">
        <f t="shared" si="23"/>
        <v>-</v>
      </c>
      <c r="BC33" s="45"/>
      <c r="BD33" s="45"/>
      <c r="BE33" s="45"/>
      <c r="BF33" s="45"/>
      <c r="BG33" s="36" t="str">
        <f t="shared" si="24"/>
        <v>-</v>
      </c>
      <c r="BH33" s="25" t="str">
        <f t="shared" si="75"/>
        <v>-</v>
      </c>
      <c r="BI33" s="14" t="str">
        <f t="shared" si="25"/>
        <v>-</v>
      </c>
      <c r="BJ33" s="2" t="str">
        <f t="shared" si="26"/>
        <v>-</v>
      </c>
      <c r="BK33" s="2" t="str">
        <f t="shared" si="27"/>
        <v>-</v>
      </c>
      <c r="BL33" s="2" t="str">
        <f t="shared" si="28"/>
        <v>-</v>
      </c>
      <c r="BM33" s="2" t="str">
        <f t="shared" si="29"/>
        <v>-</v>
      </c>
      <c r="BN33" s="2" t="str">
        <f t="shared" si="30"/>
        <v>-</v>
      </c>
      <c r="BO33" s="2" t="str">
        <f t="shared" si="31"/>
        <v>-</v>
      </c>
      <c r="BP33" s="2" t="str">
        <f t="shared" si="32"/>
        <v>-</v>
      </c>
      <c r="BQ33" s="2" t="str">
        <f t="shared" si="33"/>
        <v>-</v>
      </c>
      <c r="BR33" s="2" t="str">
        <f t="shared" si="34"/>
        <v>-</v>
      </c>
      <c r="BS33" s="2" t="str">
        <f t="shared" si="35"/>
        <v>-</v>
      </c>
      <c r="BT33" s="2" t="str">
        <f t="shared" si="36"/>
        <v>-</v>
      </c>
      <c r="BU33" s="2" t="str">
        <f t="shared" si="37"/>
        <v>-</v>
      </c>
      <c r="BV33" s="2" t="str">
        <f t="shared" si="38"/>
        <v>-</v>
      </c>
      <c r="BW33" s="2" t="str">
        <f t="shared" si="39"/>
        <v>-</v>
      </c>
      <c r="BX33" s="2" t="str">
        <f t="shared" si="40"/>
        <v>-</v>
      </c>
      <c r="BY33" s="20" t="str">
        <f t="shared" si="41"/>
        <v>-</v>
      </c>
      <c r="BZ33" s="20"/>
      <c r="CA33" s="20"/>
      <c r="CB33" s="20" t="str">
        <f t="shared" si="42"/>
        <v>-</v>
      </c>
      <c r="CC33" s="20" t="str">
        <f t="shared" si="43"/>
        <v>-</v>
      </c>
      <c r="CD33" s="20" t="str">
        <f t="shared" si="44"/>
        <v>-</v>
      </c>
      <c r="CE33" s="20" t="str">
        <f t="shared" si="45"/>
        <v>-</v>
      </c>
      <c r="CF33" s="2" t="str">
        <f t="shared" si="46"/>
        <v>-</v>
      </c>
      <c r="CG33" s="2">
        <f t="shared" si="47"/>
        <v>0</v>
      </c>
      <c r="CH33" s="37" t="str">
        <f t="shared" si="48"/>
        <v>-</v>
      </c>
      <c r="CI33" s="71" t="str">
        <f t="shared" si="76"/>
        <v>-</v>
      </c>
      <c r="CJ33" s="37" t="str">
        <f t="shared" si="49"/>
        <v>-</v>
      </c>
      <c r="CK33" s="37" t="str">
        <f t="shared" si="50"/>
        <v>-</v>
      </c>
      <c r="CL33" s="37" t="str">
        <f t="shared" si="51"/>
        <v>-</v>
      </c>
      <c r="CM33" s="37" t="str">
        <f t="shared" si="52"/>
        <v>-</v>
      </c>
      <c r="CN33" s="37" t="str">
        <f t="shared" si="53"/>
        <v>-</v>
      </c>
      <c r="CO33" s="13" t="str">
        <f t="shared" si="54"/>
        <v>-</v>
      </c>
      <c r="CP33" s="37" t="str">
        <f t="shared" si="55"/>
        <v>-</v>
      </c>
      <c r="CQ33" s="2" t="str">
        <f t="shared" si="56"/>
        <v>-</v>
      </c>
      <c r="CR33" s="2" t="str">
        <f t="shared" si="57"/>
        <v>-</v>
      </c>
      <c r="CS33" s="37" t="str">
        <f t="shared" si="58"/>
        <v>-</v>
      </c>
      <c r="CT33" s="37" t="str">
        <f t="shared" si="59"/>
        <v>-</v>
      </c>
      <c r="CU33" s="37">
        <f t="shared" si="77"/>
        <v>0</v>
      </c>
      <c r="CV33" s="37" t="e">
        <f>CT33-CU33</f>
        <v>#VALUE!</v>
      </c>
      <c r="CW33" s="37" t="str">
        <f t="shared" si="60"/>
        <v>-</v>
      </c>
      <c r="CX33" s="13" t="str">
        <f t="shared" si="61"/>
        <v>-</v>
      </c>
      <c r="CY33" s="13" t="str">
        <f t="shared" si="62"/>
        <v>-</v>
      </c>
      <c r="CZ33" s="2" t="str">
        <f t="shared" si="63"/>
        <v>-</v>
      </c>
      <c r="DA33" s="2" t="str">
        <f t="shared" si="81"/>
        <v>-</v>
      </c>
      <c r="DB33" s="2"/>
      <c r="DC33" s="2" t="str">
        <f t="shared" si="64"/>
        <v>0-</v>
      </c>
      <c r="DD33" s="2" t="str">
        <f t="shared" si="78"/>
        <v>B</v>
      </c>
      <c r="DE33" s="16" t="str">
        <f t="shared" si="65"/>
        <v>-</v>
      </c>
      <c r="DF33" s="16" t="str">
        <f t="shared" si="66"/>
        <v>-</v>
      </c>
      <c r="DG33" s="64" t="str">
        <f t="shared" si="67"/>
        <v>-</v>
      </c>
      <c r="DH33" s="37"/>
      <c r="DI33" s="14"/>
      <c r="DJ33" s="14"/>
      <c r="DK33" s="37" t="str">
        <f t="shared" si="68"/>
        <v>-</v>
      </c>
      <c r="DL33" s="37"/>
      <c r="DM33" s="1"/>
    </row>
    <row r="34" spans="1:117" x14ac:dyDescent="0.25">
      <c r="A34" s="68" t="s">
        <v>103</v>
      </c>
      <c r="B34" s="56"/>
      <c r="C34" s="5">
        <f t="shared" si="69"/>
        <v>-2209165200</v>
      </c>
      <c r="D34" s="5">
        <f t="shared" si="79"/>
        <v>0</v>
      </c>
      <c r="E34" s="37">
        <f t="shared" si="70"/>
        <v>-1053494.712638889</v>
      </c>
      <c r="F34" s="5">
        <f t="shared" si="0"/>
        <v>-1053494.712638889</v>
      </c>
      <c r="G34" s="46"/>
      <c r="H34" s="5" t="str">
        <f t="shared" si="71"/>
        <v>No</v>
      </c>
      <c r="I34" s="46"/>
      <c r="J34" s="46"/>
      <c r="K34" s="46"/>
      <c r="L34" s="47"/>
      <c r="M34" s="46"/>
      <c r="N34" s="37">
        <f t="shared" si="1"/>
        <v>0</v>
      </c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36">
        <f t="shared" si="2"/>
        <v>0</v>
      </c>
      <c r="AA34" s="36">
        <f t="shared" si="72"/>
        <v>0</v>
      </c>
      <c r="AB34" s="36">
        <f t="shared" si="73"/>
        <v>0</v>
      </c>
      <c r="AC34" s="17">
        <f t="shared" si="73"/>
        <v>0</v>
      </c>
      <c r="AD34" s="17">
        <f t="shared" si="3"/>
        <v>0</v>
      </c>
      <c r="AE34" s="17">
        <f t="shared" si="3"/>
        <v>0</v>
      </c>
      <c r="AF34" s="36">
        <f t="shared" si="4"/>
        <v>0</v>
      </c>
      <c r="AG34" s="36">
        <f t="shared" si="5"/>
        <v>0</v>
      </c>
      <c r="AH34" s="36">
        <f t="shared" si="74"/>
        <v>0</v>
      </c>
      <c r="AI34" s="36">
        <f t="shared" si="80"/>
        <v>0</v>
      </c>
      <c r="AJ34" s="67" t="s">
        <v>142</v>
      </c>
      <c r="AK34" s="37">
        <f t="shared" si="6"/>
        <v>0</v>
      </c>
      <c r="AL34" s="16" t="str">
        <f t="shared" si="7"/>
        <v>-</v>
      </c>
      <c r="AM34" s="18" t="str">
        <f t="shared" si="8"/>
        <v>-</v>
      </c>
      <c r="AN34" s="14" t="str">
        <f t="shared" si="9"/>
        <v>-</v>
      </c>
      <c r="AO34" s="14" t="str">
        <f t="shared" si="10"/>
        <v>-</v>
      </c>
      <c r="AP34" s="14" t="str">
        <f t="shared" si="11"/>
        <v>-</v>
      </c>
      <c r="AQ34" s="14" t="str">
        <f t="shared" si="12"/>
        <v>-</v>
      </c>
      <c r="AR34" s="14" t="str">
        <f t="shared" si="13"/>
        <v>-</v>
      </c>
      <c r="AS34" s="14" t="str">
        <f t="shared" si="14"/>
        <v>-</v>
      </c>
      <c r="AT34" s="14" t="str">
        <f t="shared" si="15"/>
        <v>-</v>
      </c>
      <c r="AU34" s="14" t="str">
        <f t="shared" si="16"/>
        <v>-</v>
      </c>
      <c r="AV34" s="14" t="str">
        <f t="shared" si="17"/>
        <v>-</v>
      </c>
      <c r="AW34" s="14" t="str">
        <f t="shared" si="18"/>
        <v>-</v>
      </c>
      <c r="AX34" s="14" t="str">
        <f t="shared" si="19"/>
        <v>-</v>
      </c>
      <c r="AY34" s="14" t="str">
        <f t="shared" si="20"/>
        <v>-</v>
      </c>
      <c r="AZ34" s="14" t="str">
        <f t="shared" si="21"/>
        <v>-</v>
      </c>
      <c r="BA34" s="14" t="str">
        <f t="shared" si="22"/>
        <v>-</v>
      </c>
      <c r="BB34" s="14" t="str">
        <f t="shared" si="23"/>
        <v>-</v>
      </c>
      <c r="BC34" s="45"/>
      <c r="BD34" s="45"/>
      <c r="BE34" s="45"/>
      <c r="BF34" s="45"/>
      <c r="BG34" s="36" t="str">
        <f t="shared" si="24"/>
        <v>-</v>
      </c>
      <c r="BH34" s="25" t="str">
        <f t="shared" si="75"/>
        <v>-</v>
      </c>
      <c r="BI34" s="14" t="str">
        <f t="shared" si="25"/>
        <v>-</v>
      </c>
      <c r="BJ34" s="2" t="str">
        <f t="shared" si="26"/>
        <v>-</v>
      </c>
      <c r="BK34" s="2" t="str">
        <f t="shared" si="27"/>
        <v>-</v>
      </c>
      <c r="BL34" s="2" t="str">
        <f t="shared" si="28"/>
        <v>-</v>
      </c>
      <c r="BM34" s="2" t="str">
        <f t="shared" si="29"/>
        <v>-</v>
      </c>
      <c r="BN34" s="2" t="str">
        <f t="shared" si="30"/>
        <v>-</v>
      </c>
      <c r="BO34" s="2" t="str">
        <f t="shared" si="31"/>
        <v>-</v>
      </c>
      <c r="BP34" s="2" t="str">
        <f t="shared" si="32"/>
        <v>-</v>
      </c>
      <c r="BQ34" s="2" t="str">
        <f t="shared" si="33"/>
        <v>-</v>
      </c>
      <c r="BR34" s="2" t="str">
        <f t="shared" si="34"/>
        <v>-</v>
      </c>
      <c r="BS34" s="2" t="str">
        <f t="shared" si="35"/>
        <v>-</v>
      </c>
      <c r="BT34" s="2" t="str">
        <f t="shared" si="36"/>
        <v>-</v>
      </c>
      <c r="BU34" s="2" t="str">
        <f t="shared" si="37"/>
        <v>-</v>
      </c>
      <c r="BV34" s="2" t="str">
        <f t="shared" si="38"/>
        <v>-</v>
      </c>
      <c r="BW34" s="2" t="str">
        <f t="shared" si="39"/>
        <v>-</v>
      </c>
      <c r="BX34" s="2" t="str">
        <f t="shared" si="40"/>
        <v>-</v>
      </c>
      <c r="BY34" s="20" t="str">
        <f t="shared" si="41"/>
        <v>-</v>
      </c>
      <c r="BZ34" s="20"/>
      <c r="CA34" s="20"/>
      <c r="CB34" s="20" t="str">
        <f t="shared" si="42"/>
        <v>-</v>
      </c>
      <c r="CC34" s="20" t="str">
        <f t="shared" si="43"/>
        <v>-</v>
      </c>
      <c r="CD34" s="20" t="str">
        <f t="shared" si="44"/>
        <v>-</v>
      </c>
      <c r="CE34" s="20" t="str">
        <f t="shared" si="45"/>
        <v>-</v>
      </c>
      <c r="CF34" s="2" t="str">
        <f t="shared" si="46"/>
        <v>-</v>
      </c>
      <c r="CG34" s="2">
        <f t="shared" si="47"/>
        <v>0</v>
      </c>
      <c r="CH34" s="37" t="str">
        <f t="shared" si="48"/>
        <v>-</v>
      </c>
      <c r="CI34" s="71" t="str">
        <f t="shared" si="76"/>
        <v>-</v>
      </c>
      <c r="CJ34" s="37" t="str">
        <f t="shared" si="49"/>
        <v>-</v>
      </c>
      <c r="CK34" s="37" t="str">
        <f t="shared" si="50"/>
        <v>-</v>
      </c>
      <c r="CL34" s="37" t="str">
        <f t="shared" si="51"/>
        <v>-</v>
      </c>
      <c r="CM34" s="37" t="str">
        <f t="shared" si="52"/>
        <v>-</v>
      </c>
      <c r="CN34" s="37" t="str">
        <f t="shared" si="53"/>
        <v>-</v>
      </c>
      <c r="CO34" s="13" t="str">
        <f t="shared" si="54"/>
        <v>-</v>
      </c>
      <c r="CP34" s="37" t="str">
        <f t="shared" si="55"/>
        <v>-</v>
      </c>
      <c r="CQ34" s="2" t="str">
        <f t="shared" si="56"/>
        <v>-</v>
      </c>
      <c r="CR34" s="2" t="str">
        <f t="shared" si="57"/>
        <v>-</v>
      </c>
      <c r="CS34" s="37" t="str">
        <f t="shared" si="58"/>
        <v>-</v>
      </c>
      <c r="CT34" s="37" t="str">
        <f t="shared" si="59"/>
        <v>-</v>
      </c>
      <c r="CU34" s="37">
        <f t="shared" si="77"/>
        <v>0</v>
      </c>
      <c r="CV34" s="37"/>
      <c r="CW34" s="37" t="str">
        <f t="shared" si="60"/>
        <v>-</v>
      </c>
      <c r="CX34" s="13" t="str">
        <f t="shared" si="61"/>
        <v>-</v>
      </c>
      <c r="CY34" s="13" t="str">
        <f t="shared" si="62"/>
        <v>-</v>
      </c>
      <c r="CZ34" s="2" t="str">
        <f t="shared" si="63"/>
        <v>-</v>
      </c>
      <c r="DA34" s="2" t="str">
        <f t="shared" si="81"/>
        <v>-</v>
      </c>
      <c r="DB34" s="2"/>
      <c r="DC34" s="2" t="str">
        <f t="shared" si="64"/>
        <v>0-</v>
      </c>
      <c r="DD34" s="2" t="str">
        <f t="shared" si="78"/>
        <v>B</v>
      </c>
      <c r="DE34" s="16" t="str">
        <f t="shared" si="65"/>
        <v>-</v>
      </c>
      <c r="DF34" s="16" t="str">
        <f t="shared" si="66"/>
        <v>-</v>
      </c>
      <c r="DG34" s="64" t="str">
        <f t="shared" si="67"/>
        <v>-</v>
      </c>
      <c r="DH34" s="37" t="e">
        <f>DE34+DF33+DG33</f>
        <v>#VALUE!</v>
      </c>
      <c r="DI34" s="37" t="e">
        <f>DH34/$B$3*100</f>
        <v>#VALUE!</v>
      </c>
      <c r="DJ34" s="14" t="e">
        <f>DE34/DF33</f>
        <v>#VALUE!</v>
      </c>
      <c r="DK34" s="37" t="str">
        <f t="shared" si="68"/>
        <v>-</v>
      </c>
      <c r="DL34" s="14" t="e">
        <f>DE34+DF33</f>
        <v>#VALUE!</v>
      </c>
      <c r="DM34" s="1"/>
    </row>
    <row r="35" spans="1:117" x14ac:dyDescent="0.25">
      <c r="A35" s="22" t="s">
        <v>104</v>
      </c>
      <c r="B35" s="56"/>
      <c r="C35" s="5">
        <f t="shared" si="69"/>
        <v>-2209165200</v>
      </c>
      <c r="D35" s="5">
        <f t="shared" si="79"/>
        <v>0</v>
      </c>
      <c r="E35" s="37">
        <f t="shared" si="70"/>
        <v>-1053494.712638889</v>
      </c>
      <c r="F35" s="5">
        <f t="shared" si="0"/>
        <v>-1053494.712638889</v>
      </c>
      <c r="G35" s="46"/>
      <c r="H35" s="5" t="str">
        <f t="shared" si="71"/>
        <v>No</v>
      </c>
      <c r="I35" s="46"/>
      <c r="J35" s="46"/>
      <c r="K35" s="46"/>
      <c r="L35" s="47"/>
      <c r="M35" s="46"/>
      <c r="N35" s="37">
        <f t="shared" si="1"/>
        <v>0</v>
      </c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36">
        <f t="shared" si="2"/>
        <v>0</v>
      </c>
      <c r="AA35" s="36">
        <f t="shared" si="72"/>
        <v>0</v>
      </c>
      <c r="AB35" s="36">
        <f t="shared" si="73"/>
        <v>0</v>
      </c>
      <c r="AC35" s="17">
        <f t="shared" si="73"/>
        <v>0</v>
      </c>
      <c r="AD35" s="17">
        <f t="shared" si="3"/>
        <v>0</v>
      </c>
      <c r="AE35" s="17">
        <f t="shared" si="3"/>
        <v>0</v>
      </c>
      <c r="AF35" s="36">
        <f t="shared" si="4"/>
        <v>0</v>
      </c>
      <c r="AG35" s="36">
        <f t="shared" si="5"/>
        <v>0</v>
      </c>
      <c r="AH35" s="36">
        <f t="shared" si="74"/>
        <v>0</v>
      </c>
      <c r="AI35" s="36">
        <f t="shared" si="80"/>
        <v>0</v>
      </c>
      <c r="AJ35" s="67" t="s">
        <v>142</v>
      </c>
      <c r="AK35" s="37">
        <f t="shared" si="6"/>
        <v>0</v>
      </c>
      <c r="AL35" s="16" t="str">
        <f t="shared" si="7"/>
        <v>-</v>
      </c>
      <c r="AM35" s="18" t="str">
        <f t="shared" si="8"/>
        <v>-</v>
      </c>
      <c r="AN35" s="14" t="str">
        <f t="shared" si="9"/>
        <v>-</v>
      </c>
      <c r="AO35" s="14" t="str">
        <f t="shared" si="10"/>
        <v>-</v>
      </c>
      <c r="AP35" s="14" t="str">
        <f t="shared" si="11"/>
        <v>-</v>
      </c>
      <c r="AQ35" s="14" t="str">
        <f t="shared" si="12"/>
        <v>-</v>
      </c>
      <c r="AR35" s="14" t="str">
        <f t="shared" si="13"/>
        <v>-</v>
      </c>
      <c r="AS35" s="14" t="str">
        <f t="shared" si="14"/>
        <v>-</v>
      </c>
      <c r="AT35" s="14" t="str">
        <f t="shared" si="15"/>
        <v>-</v>
      </c>
      <c r="AU35" s="14" t="str">
        <f t="shared" si="16"/>
        <v>-</v>
      </c>
      <c r="AV35" s="14" t="str">
        <f t="shared" si="17"/>
        <v>-</v>
      </c>
      <c r="AW35" s="14" t="str">
        <f t="shared" si="18"/>
        <v>-</v>
      </c>
      <c r="AX35" s="14" t="str">
        <f t="shared" si="19"/>
        <v>-</v>
      </c>
      <c r="AY35" s="14" t="str">
        <f t="shared" si="20"/>
        <v>-</v>
      </c>
      <c r="AZ35" s="14" t="str">
        <f t="shared" si="21"/>
        <v>-</v>
      </c>
      <c r="BA35" s="14" t="str">
        <f t="shared" si="22"/>
        <v>-</v>
      </c>
      <c r="BB35" s="14" t="str">
        <f t="shared" si="23"/>
        <v>-</v>
      </c>
      <c r="BC35" s="45"/>
      <c r="BD35" s="45"/>
      <c r="BE35" s="45"/>
      <c r="BF35" s="45"/>
      <c r="BG35" s="36" t="str">
        <f t="shared" si="24"/>
        <v>-</v>
      </c>
      <c r="BH35" s="25" t="str">
        <f t="shared" si="75"/>
        <v>-</v>
      </c>
      <c r="BI35" s="14" t="str">
        <f t="shared" si="25"/>
        <v>-</v>
      </c>
      <c r="BJ35" s="2" t="str">
        <f t="shared" si="26"/>
        <v>-</v>
      </c>
      <c r="BK35" s="2" t="str">
        <f t="shared" si="27"/>
        <v>-</v>
      </c>
      <c r="BL35" s="2" t="str">
        <f t="shared" si="28"/>
        <v>-</v>
      </c>
      <c r="BM35" s="2" t="str">
        <f t="shared" si="29"/>
        <v>-</v>
      </c>
      <c r="BN35" s="2" t="str">
        <f t="shared" si="30"/>
        <v>-</v>
      </c>
      <c r="BO35" s="2" t="str">
        <f t="shared" si="31"/>
        <v>-</v>
      </c>
      <c r="BP35" s="2" t="str">
        <f t="shared" si="32"/>
        <v>-</v>
      </c>
      <c r="BQ35" s="2" t="str">
        <f t="shared" si="33"/>
        <v>-</v>
      </c>
      <c r="BR35" s="2" t="str">
        <f t="shared" si="34"/>
        <v>-</v>
      </c>
      <c r="BS35" s="2" t="str">
        <f t="shared" si="35"/>
        <v>-</v>
      </c>
      <c r="BT35" s="2" t="str">
        <f t="shared" si="36"/>
        <v>-</v>
      </c>
      <c r="BU35" s="2" t="str">
        <f t="shared" si="37"/>
        <v>-</v>
      </c>
      <c r="BV35" s="2" t="str">
        <f t="shared" si="38"/>
        <v>-</v>
      </c>
      <c r="BW35" s="2" t="str">
        <f t="shared" si="39"/>
        <v>-</v>
      </c>
      <c r="BX35" s="2" t="str">
        <f t="shared" si="40"/>
        <v>-</v>
      </c>
      <c r="BY35" s="20" t="str">
        <f t="shared" si="41"/>
        <v>-</v>
      </c>
      <c r="BZ35" s="20"/>
      <c r="CA35" s="20"/>
      <c r="CB35" s="20" t="str">
        <f t="shared" si="42"/>
        <v>-</v>
      </c>
      <c r="CC35" s="20" t="str">
        <f t="shared" si="43"/>
        <v>-</v>
      </c>
      <c r="CD35" s="20" t="str">
        <f t="shared" si="44"/>
        <v>-</v>
      </c>
      <c r="CE35" s="20" t="str">
        <f t="shared" si="45"/>
        <v>-</v>
      </c>
      <c r="CF35" s="2" t="str">
        <f t="shared" si="46"/>
        <v>-</v>
      </c>
      <c r="CG35" s="2">
        <f t="shared" si="47"/>
        <v>0</v>
      </c>
      <c r="CH35" s="37" t="str">
        <f t="shared" si="48"/>
        <v>-</v>
      </c>
      <c r="CI35" s="71" t="str">
        <f t="shared" si="76"/>
        <v>-</v>
      </c>
      <c r="CJ35" s="37" t="str">
        <f t="shared" si="49"/>
        <v>-</v>
      </c>
      <c r="CK35" s="37" t="str">
        <f t="shared" si="50"/>
        <v>-</v>
      </c>
      <c r="CL35" s="37" t="str">
        <f t="shared" si="51"/>
        <v>-</v>
      </c>
      <c r="CM35" s="37" t="str">
        <f t="shared" si="52"/>
        <v>-</v>
      </c>
      <c r="CN35" s="37" t="str">
        <f t="shared" si="53"/>
        <v>-</v>
      </c>
      <c r="CO35" s="13" t="str">
        <f t="shared" si="54"/>
        <v>-</v>
      </c>
      <c r="CP35" s="37" t="str">
        <f t="shared" si="55"/>
        <v>-</v>
      </c>
      <c r="CQ35" s="2" t="str">
        <f t="shared" si="56"/>
        <v>-</v>
      </c>
      <c r="CR35" s="2" t="str">
        <f t="shared" si="57"/>
        <v>-</v>
      </c>
      <c r="CS35" s="37" t="str">
        <f t="shared" si="58"/>
        <v>-</v>
      </c>
      <c r="CT35" s="37" t="str">
        <f t="shared" si="59"/>
        <v>-</v>
      </c>
      <c r="CU35" s="37">
        <f t="shared" si="77"/>
        <v>0</v>
      </c>
      <c r="CV35" s="37" t="e">
        <f>CT35-CU35</f>
        <v>#VALUE!</v>
      </c>
      <c r="CW35" s="37" t="str">
        <f t="shared" si="60"/>
        <v>-</v>
      </c>
      <c r="CX35" s="13" t="str">
        <f t="shared" si="61"/>
        <v>-</v>
      </c>
      <c r="CY35" s="13" t="str">
        <f t="shared" si="62"/>
        <v>-</v>
      </c>
      <c r="CZ35" s="2" t="str">
        <f t="shared" si="63"/>
        <v>-</v>
      </c>
      <c r="DA35" s="2" t="str">
        <f t="shared" si="81"/>
        <v>-</v>
      </c>
      <c r="DB35" s="2"/>
      <c r="DC35" s="2" t="str">
        <f t="shared" si="64"/>
        <v>0-</v>
      </c>
      <c r="DD35" s="2" t="str">
        <f t="shared" si="78"/>
        <v>B</v>
      </c>
      <c r="DE35" s="16" t="str">
        <f t="shared" si="65"/>
        <v>-</v>
      </c>
      <c r="DF35" s="16" t="str">
        <f t="shared" si="66"/>
        <v>-</v>
      </c>
      <c r="DG35" s="64" t="str">
        <f t="shared" si="67"/>
        <v>-</v>
      </c>
      <c r="DH35" s="37"/>
      <c r="DI35" s="14"/>
      <c r="DJ35" s="14"/>
      <c r="DK35" s="37" t="str">
        <f t="shared" si="68"/>
        <v>-</v>
      </c>
      <c r="DL35" s="37"/>
      <c r="DM35" s="1"/>
    </row>
    <row r="36" spans="1:117" x14ac:dyDescent="0.25">
      <c r="A36" s="22" t="s">
        <v>105</v>
      </c>
      <c r="B36" s="56"/>
      <c r="C36" s="5">
        <f t="shared" si="69"/>
        <v>-2209165200</v>
      </c>
      <c r="D36" s="5">
        <f t="shared" si="79"/>
        <v>0</v>
      </c>
      <c r="E36" s="37">
        <f t="shared" si="70"/>
        <v>-1053494.712638889</v>
      </c>
      <c r="F36" s="5">
        <f t="shared" si="0"/>
        <v>-1053494.712638889</v>
      </c>
      <c r="G36" s="46"/>
      <c r="H36" s="5" t="str">
        <f t="shared" si="71"/>
        <v>No</v>
      </c>
      <c r="I36" s="46"/>
      <c r="J36" s="46"/>
      <c r="K36" s="46"/>
      <c r="L36" s="47"/>
      <c r="M36" s="46"/>
      <c r="N36" s="37">
        <f t="shared" si="1"/>
        <v>0</v>
      </c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36">
        <f t="shared" si="2"/>
        <v>0</v>
      </c>
      <c r="AA36" s="36">
        <f t="shared" si="72"/>
        <v>0</v>
      </c>
      <c r="AB36" s="36">
        <f t="shared" si="73"/>
        <v>0</v>
      </c>
      <c r="AC36" s="17">
        <f t="shared" si="73"/>
        <v>0</v>
      </c>
      <c r="AD36" s="17">
        <f t="shared" si="3"/>
        <v>0</v>
      </c>
      <c r="AE36" s="17">
        <f t="shared" si="3"/>
        <v>0</v>
      </c>
      <c r="AF36" s="36">
        <f t="shared" si="4"/>
        <v>0</v>
      </c>
      <c r="AG36" s="36">
        <f t="shared" si="5"/>
        <v>0</v>
      </c>
      <c r="AH36" s="36">
        <f t="shared" si="74"/>
        <v>0</v>
      </c>
      <c r="AI36" s="36">
        <f t="shared" si="80"/>
        <v>0</v>
      </c>
      <c r="AJ36" s="67" t="s">
        <v>142</v>
      </c>
      <c r="AK36" s="37">
        <f t="shared" si="6"/>
        <v>0</v>
      </c>
      <c r="AL36" s="16" t="str">
        <f t="shared" si="7"/>
        <v>-</v>
      </c>
      <c r="AM36" s="18" t="str">
        <f t="shared" si="8"/>
        <v>-</v>
      </c>
      <c r="AN36" s="14" t="str">
        <f t="shared" si="9"/>
        <v>-</v>
      </c>
      <c r="AO36" s="14" t="str">
        <f t="shared" si="10"/>
        <v>-</v>
      </c>
      <c r="AP36" s="14" t="str">
        <f t="shared" si="11"/>
        <v>-</v>
      </c>
      <c r="AQ36" s="14" t="str">
        <f t="shared" si="12"/>
        <v>-</v>
      </c>
      <c r="AR36" s="14" t="str">
        <f t="shared" si="13"/>
        <v>-</v>
      </c>
      <c r="AS36" s="14" t="str">
        <f t="shared" si="14"/>
        <v>-</v>
      </c>
      <c r="AT36" s="14" t="str">
        <f t="shared" si="15"/>
        <v>-</v>
      </c>
      <c r="AU36" s="14" t="str">
        <f t="shared" si="16"/>
        <v>-</v>
      </c>
      <c r="AV36" s="14" t="str">
        <f t="shared" si="17"/>
        <v>-</v>
      </c>
      <c r="AW36" s="14" t="str">
        <f t="shared" si="18"/>
        <v>-</v>
      </c>
      <c r="AX36" s="14" t="str">
        <f t="shared" si="19"/>
        <v>-</v>
      </c>
      <c r="AY36" s="14" t="str">
        <f t="shared" si="20"/>
        <v>-</v>
      </c>
      <c r="AZ36" s="14" t="str">
        <f t="shared" si="21"/>
        <v>-</v>
      </c>
      <c r="BA36" s="14" t="str">
        <f t="shared" si="22"/>
        <v>-</v>
      </c>
      <c r="BB36" s="14" t="str">
        <f t="shared" si="23"/>
        <v>-</v>
      </c>
      <c r="BC36" s="45"/>
      <c r="BD36" s="45"/>
      <c r="BE36" s="45"/>
      <c r="BF36" s="45"/>
      <c r="BG36" s="36" t="str">
        <f t="shared" si="24"/>
        <v>-</v>
      </c>
      <c r="BH36" s="25" t="str">
        <f t="shared" si="75"/>
        <v>-</v>
      </c>
      <c r="BI36" s="14" t="str">
        <f t="shared" si="25"/>
        <v>-</v>
      </c>
      <c r="BJ36" s="2" t="str">
        <f t="shared" si="26"/>
        <v>-</v>
      </c>
      <c r="BK36" s="2" t="str">
        <f t="shared" si="27"/>
        <v>-</v>
      </c>
      <c r="BL36" s="2" t="str">
        <f t="shared" si="28"/>
        <v>-</v>
      </c>
      <c r="BM36" s="2" t="str">
        <f t="shared" si="29"/>
        <v>-</v>
      </c>
      <c r="BN36" s="2" t="str">
        <f t="shared" si="30"/>
        <v>-</v>
      </c>
      <c r="BO36" s="2" t="str">
        <f t="shared" si="31"/>
        <v>-</v>
      </c>
      <c r="BP36" s="2" t="str">
        <f t="shared" si="32"/>
        <v>-</v>
      </c>
      <c r="BQ36" s="2" t="str">
        <f t="shared" si="33"/>
        <v>-</v>
      </c>
      <c r="BR36" s="2" t="str">
        <f t="shared" si="34"/>
        <v>-</v>
      </c>
      <c r="BS36" s="2" t="str">
        <f t="shared" si="35"/>
        <v>-</v>
      </c>
      <c r="BT36" s="2" t="str">
        <f t="shared" si="36"/>
        <v>-</v>
      </c>
      <c r="BU36" s="2" t="str">
        <f t="shared" si="37"/>
        <v>-</v>
      </c>
      <c r="BV36" s="2" t="str">
        <f t="shared" si="38"/>
        <v>-</v>
      </c>
      <c r="BW36" s="2" t="str">
        <f t="shared" si="39"/>
        <v>-</v>
      </c>
      <c r="BX36" s="2" t="str">
        <f t="shared" si="40"/>
        <v>-</v>
      </c>
      <c r="BY36" s="20" t="str">
        <f t="shared" si="41"/>
        <v>-</v>
      </c>
      <c r="BZ36" s="20"/>
      <c r="CA36" s="20"/>
      <c r="CB36" s="20" t="str">
        <f t="shared" si="42"/>
        <v>-</v>
      </c>
      <c r="CC36" s="20" t="str">
        <f t="shared" si="43"/>
        <v>-</v>
      </c>
      <c r="CD36" s="20" t="str">
        <f t="shared" si="44"/>
        <v>-</v>
      </c>
      <c r="CE36" s="20" t="str">
        <f t="shared" si="45"/>
        <v>-</v>
      </c>
      <c r="CF36" s="2" t="str">
        <f t="shared" si="46"/>
        <v>-</v>
      </c>
      <c r="CG36" s="2">
        <f t="shared" si="47"/>
        <v>0</v>
      </c>
      <c r="CH36" s="37" t="str">
        <f t="shared" si="48"/>
        <v>-</v>
      </c>
      <c r="CI36" s="71" t="str">
        <f t="shared" si="76"/>
        <v>-</v>
      </c>
      <c r="CJ36" s="37" t="str">
        <f t="shared" si="49"/>
        <v>-</v>
      </c>
      <c r="CK36" s="37" t="str">
        <f t="shared" si="50"/>
        <v>-</v>
      </c>
      <c r="CL36" s="37" t="str">
        <f t="shared" si="51"/>
        <v>-</v>
      </c>
      <c r="CM36" s="37" t="str">
        <f t="shared" si="52"/>
        <v>-</v>
      </c>
      <c r="CN36" s="37" t="str">
        <f t="shared" si="53"/>
        <v>-</v>
      </c>
      <c r="CO36" s="13" t="str">
        <f t="shared" si="54"/>
        <v>-</v>
      </c>
      <c r="CP36" s="37" t="str">
        <f t="shared" si="55"/>
        <v>-</v>
      </c>
      <c r="CQ36" s="2" t="str">
        <f t="shared" si="56"/>
        <v>-</v>
      </c>
      <c r="CR36" s="2" t="str">
        <f t="shared" si="57"/>
        <v>-</v>
      </c>
      <c r="CS36" s="37" t="str">
        <f t="shared" si="58"/>
        <v>-</v>
      </c>
      <c r="CT36" s="37" t="str">
        <f t="shared" si="59"/>
        <v>-</v>
      </c>
      <c r="CU36" s="37">
        <f t="shared" si="77"/>
        <v>0</v>
      </c>
      <c r="CV36" s="37"/>
      <c r="CW36" s="37" t="str">
        <f t="shared" si="60"/>
        <v>-</v>
      </c>
      <c r="CX36" s="13" t="str">
        <f t="shared" si="61"/>
        <v>-</v>
      </c>
      <c r="CY36" s="13" t="str">
        <f t="shared" si="62"/>
        <v>-</v>
      </c>
      <c r="CZ36" s="2" t="str">
        <f t="shared" si="63"/>
        <v>-</v>
      </c>
      <c r="DA36" s="2" t="str">
        <f t="shared" si="81"/>
        <v>-</v>
      </c>
      <c r="DB36" s="2"/>
      <c r="DC36" s="2" t="str">
        <f t="shared" si="64"/>
        <v>0-</v>
      </c>
      <c r="DD36" s="2" t="str">
        <f t="shared" si="78"/>
        <v>B</v>
      </c>
      <c r="DE36" s="16" t="str">
        <f t="shared" si="65"/>
        <v>-</v>
      </c>
      <c r="DF36" s="16" t="str">
        <f t="shared" si="66"/>
        <v>-</v>
      </c>
      <c r="DG36" s="64" t="str">
        <f t="shared" si="67"/>
        <v>-</v>
      </c>
      <c r="DH36" s="37" t="e">
        <f>DE36+DF35+DG35</f>
        <v>#VALUE!</v>
      </c>
      <c r="DI36" s="37" t="e">
        <f>DH36/$B$3*100</f>
        <v>#VALUE!</v>
      </c>
      <c r="DJ36" s="14" t="e">
        <f>DE36/DF35</f>
        <v>#VALUE!</v>
      </c>
      <c r="DK36" s="37" t="str">
        <f t="shared" si="68"/>
        <v>-</v>
      </c>
      <c r="DL36" s="14" t="e">
        <f>DE36+DF35</f>
        <v>#VALUE!</v>
      </c>
      <c r="DM36" s="1"/>
    </row>
    <row r="37" spans="1:117" x14ac:dyDescent="0.25">
      <c r="A37" s="22" t="s">
        <v>106</v>
      </c>
      <c r="B37" s="56"/>
      <c r="C37" s="5">
        <f t="shared" si="69"/>
        <v>-2209165200</v>
      </c>
      <c r="D37" s="5">
        <f t="shared" si="79"/>
        <v>0</v>
      </c>
      <c r="E37" s="37">
        <f t="shared" si="70"/>
        <v>-1053494.712638889</v>
      </c>
      <c r="F37" s="5">
        <f t="shared" si="0"/>
        <v>-1053494.712638889</v>
      </c>
      <c r="G37" s="48"/>
      <c r="H37" s="5" t="str">
        <f t="shared" si="71"/>
        <v>No</v>
      </c>
      <c r="I37" s="46"/>
      <c r="J37" s="46"/>
      <c r="K37" s="46"/>
      <c r="L37" s="47"/>
      <c r="M37" s="46"/>
      <c r="N37" s="37">
        <f t="shared" si="1"/>
        <v>0</v>
      </c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36">
        <f t="shared" si="2"/>
        <v>0</v>
      </c>
      <c r="AA37" s="36">
        <f t="shared" si="72"/>
        <v>0</v>
      </c>
      <c r="AB37" s="36">
        <f t="shared" si="73"/>
        <v>0</v>
      </c>
      <c r="AC37" s="17">
        <f t="shared" si="73"/>
        <v>0</v>
      </c>
      <c r="AD37" s="17">
        <f t="shared" si="3"/>
        <v>0</v>
      </c>
      <c r="AE37" s="17">
        <f t="shared" si="3"/>
        <v>0</v>
      </c>
      <c r="AF37" s="36">
        <f t="shared" si="4"/>
        <v>0</v>
      </c>
      <c r="AG37" s="36">
        <f t="shared" si="5"/>
        <v>0</v>
      </c>
      <c r="AH37" s="36">
        <f t="shared" si="74"/>
        <v>0</v>
      </c>
      <c r="AI37" s="36">
        <f t="shared" si="80"/>
        <v>0</v>
      </c>
      <c r="AJ37" s="67" t="s">
        <v>142</v>
      </c>
      <c r="AK37" s="37">
        <f t="shared" si="6"/>
        <v>0</v>
      </c>
      <c r="AL37" s="16" t="str">
        <f t="shared" si="7"/>
        <v>-</v>
      </c>
      <c r="AM37" s="18" t="str">
        <f t="shared" si="8"/>
        <v>-</v>
      </c>
      <c r="AN37" s="14" t="str">
        <f t="shared" si="9"/>
        <v>-</v>
      </c>
      <c r="AO37" s="14" t="str">
        <f t="shared" si="10"/>
        <v>-</v>
      </c>
      <c r="AP37" s="14" t="str">
        <f t="shared" si="11"/>
        <v>-</v>
      </c>
      <c r="AQ37" s="14" t="str">
        <f t="shared" si="12"/>
        <v>-</v>
      </c>
      <c r="AR37" s="14" t="str">
        <f t="shared" si="13"/>
        <v>-</v>
      </c>
      <c r="AS37" s="14" t="str">
        <f t="shared" si="14"/>
        <v>-</v>
      </c>
      <c r="AT37" s="14" t="str">
        <f t="shared" si="15"/>
        <v>-</v>
      </c>
      <c r="AU37" s="14" t="str">
        <f t="shared" si="16"/>
        <v>-</v>
      </c>
      <c r="AV37" s="14" t="str">
        <f t="shared" si="17"/>
        <v>-</v>
      </c>
      <c r="AW37" s="14" t="str">
        <f t="shared" si="18"/>
        <v>-</v>
      </c>
      <c r="AX37" s="14" t="str">
        <f t="shared" si="19"/>
        <v>-</v>
      </c>
      <c r="AY37" s="14" t="str">
        <f t="shared" si="20"/>
        <v>-</v>
      </c>
      <c r="AZ37" s="14" t="str">
        <f t="shared" si="21"/>
        <v>-</v>
      </c>
      <c r="BA37" s="14" t="str">
        <f t="shared" si="22"/>
        <v>-</v>
      </c>
      <c r="BB37" s="14" t="str">
        <f t="shared" si="23"/>
        <v>-</v>
      </c>
      <c r="BC37" s="45"/>
      <c r="BD37" s="45"/>
      <c r="BE37" s="45"/>
      <c r="BF37" s="45"/>
      <c r="BG37" s="36" t="str">
        <f t="shared" si="24"/>
        <v>-</v>
      </c>
      <c r="BH37" s="25" t="str">
        <f t="shared" si="75"/>
        <v>-</v>
      </c>
      <c r="BI37" s="14" t="str">
        <f t="shared" si="25"/>
        <v>-</v>
      </c>
      <c r="BJ37" s="2" t="str">
        <f t="shared" si="26"/>
        <v>-</v>
      </c>
      <c r="BK37" s="2" t="str">
        <f t="shared" si="27"/>
        <v>-</v>
      </c>
      <c r="BL37" s="2" t="str">
        <f t="shared" si="28"/>
        <v>-</v>
      </c>
      <c r="BM37" s="2" t="str">
        <f t="shared" si="29"/>
        <v>-</v>
      </c>
      <c r="BN37" s="2" t="str">
        <f t="shared" si="30"/>
        <v>-</v>
      </c>
      <c r="BO37" s="2" t="str">
        <f t="shared" si="31"/>
        <v>-</v>
      </c>
      <c r="BP37" s="2" t="str">
        <f t="shared" si="32"/>
        <v>-</v>
      </c>
      <c r="BQ37" s="2" t="str">
        <f t="shared" si="33"/>
        <v>-</v>
      </c>
      <c r="BR37" s="2" t="str">
        <f t="shared" si="34"/>
        <v>-</v>
      </c>
      <c r="BS37" s="2" t="str">
        <f t="shared" si="35"/>
        <v>-</v>
      </c>
      <c r="BT37" s="2" t="str">
        <f t="shared" si="36"/>
        <v>-</v>
      </c>
      <c r="BU37" s="2" t="str">
        <f t="shared" si="37"/>
        <v>-</v>
      </c>
      <c r="BV37" s="2" t="str">
        <f t="shared" si="38"/>
        <v>-</v>
      </c>
      <c r="BW37" s="2" t="str">
        <f t="shared" si="39"/>
        <v>-</v>
      </c>
      <c r="BX37" s="2" t="str">
        <f t="shared" si="40"/>
        <v>-</v>
      </c>
      <c r="BY37" s="20" t="str">
        <f t="shared" si="41"/>
        <v>-</v>
      </c>
      <c r="BZ37" s="20"/>
      <c r="CA37" s="20"/>
      <c r="CB37" s="20" t="str">
        <f t="shared" si="42"/>
        <v>-</v>
      </c>
      <c r="CC37" s="20" t="str">
        <f t="shared" si="43"/>
        <v>-</v>
      </c>
      <c r="CD37" s="20" t="str">
        <f t="shared" si="44"/>
        <v>-</v>
      </c>
      <c r="CE37" s="20" t="str">
        <f t="shared" si="45"/>
        <v>-</v>
      </c>
      <c r="CF37" s="2" t="str">
        <f t="shared" si="46"/>
        <v>-</v>
      </c>
      <c r="CG37" s="2">
        <f t="shared" si="47"/>
        <v>0</v>
      </c>
      <c r="CH37" s="37" t="str">
        <f t="shared" si="48"/>
        <v>-</v>
      </c>
      <c r="CI37" s="71"/>
      <c r="CJ37" s="37" t="str">
        <f t="shared" si="49"/>
        <v>-</v>
      </c>
      <c r="CK37" s="37" t="str">
        <f t="shared" si="50"/>
        <v>-</v>
      </c>
      <c r="CL37" s="37" t="str">
        <f t="shared" si="51"/>
        <v>-</v>
      </c>
      <c r="CM37" s="37" t="str">
        <f t="shared" si="52"/>
        <v>-</v>
      </c>
      <c r="CN37" s="37" t="str">
        <f t="shared" si="53"/>
        <v>-</v>
      </c>
      <c r="CO37" s="13" t="str">
        <f t="shared" si="54"/>
        <v>-</v>
      </c>
      <c r="CP37" s="37" t="str">
        <f t="shared" si="55"/>
        <v>-</v>
      </c>
      <c r="CQ37" s="2" t="str">
        <f t="shared" si="56"/>
        <v>-</v>
      </c>
      <c r="CR37" s="2" t="str">
        <f t="shared" si="57"/>
        <v>-</v>
      </c>
      <c r="CS37" s="37" t="str">
        <f t="shared" si="58"/>
        <v>-</v>
      </c>
      <c r="CT37" s="37" t="str">
        <f t="shared" si="59"/>
        <v>-</v>
      </c>
      <c r="CU37" s="37">
        <f t="shared" si="77"/>
        <v>0</v>
      </c>
      <c r="CV37" s="37" t="e">
        <f t="shared" ref="CV37:CV44" si="82">CT37-CU37</f>
        <v>#VALUE!</v>
      </c>
      <c r="CW37" s="37" t="str">
        <f t="shared" si="60"/>
        <v>-</v>
      </c>
      <c r="CX37" s="13" t="str">
        <f t="shared" si="61"/>
        <v>-</v>
      </c>
      <c r="CY37" s="13" t="str">
        <f t="shared" si="62"/>
        <v>-</v>
      </c>
      <c r="CZ37" s="2" t="str">
        <f t="shared" si="63"/>
        <v>-</v>
      </c>
      <c r="DA37" s="2" t="str">
        <f t="shared" si="81"/>
        <v>-</v>
      </c>
      <c r="DB37" s="2"/>
      <c r="DC37" s="2" t="str">
        <f t="shared" si="64"/>
        <v>0-</v>
      </c>
      <c r="DD37" s="2" t="str">
        <f t="shared" si="78"/>
        <v>B</v>
      </c>
      <c r="DE37" s="16" t="str">
        <f t="shared" si="65"/>
        <v>-</v>
      </c>
      <c r="DF37" s="16" t="str">
        <f t="shared" si="66"/>
        <v>-</v>
      </c>
      <c r="DG37" s="64" t="str">
        <f t="shared" si="67"/>
        <v>-</v>
      </c>
      <c r="DH37" s="37"/>
      <c r="DI37" s="14"/>
      <c r="DJ37" s="14"/>
      <c r="DK37" s="37" t="str">
        <f t="shared" si="68"/>
        <v>-</v>
      </c>
      <c r="DL37" s="37"/>
      <c r="DM37" s="1"/>
    </row>
    <row r="38" spans="1:117" x14ac:dyDescent="0.25">
      <c r="A38" s="22" t="s">
        <v>107</v>
      </c>
      <c r="B38" s="56"/>
      <c r="C38" s="5">
        <f t="shared" si="69"/>
        <v>-2209165200</v>
      </c>
      <c r="D38" s="5">
        <f t="shared" si="79"/>
        <v>0</v>
      </c>
      <c r="E38" s="37">
        <f t="shared" si="70"/>
        <v>-1053494.712638889</v>
      </c>
      <c r="F38" s="5">
        <f t="shared" si="0"/>
        <v>-1053494.712638889</v>
      </c>
      <c r="G38" s="46"/>
      <c r="H38" s="5" t="str">
        <f t="shared" si="71"/>
        <v>No</v>
      </c>
      <c r="I38" s="46"/>
      <c r="J38" s="46"/>
      <c r="K38" s="46"/>
      <c r="L38" s="47"/>
      <c r="M38" s="46"/>
      <c r="N38" s="37">
        <f t="shared" si="1"/>
        <v>0</v>
      </c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36">
        <f t="shared" si="2"/>
        <v>0</v>
      </c>
      <c r="AA38" s="36">
        <f t="shared" si="72"/>
        <v>0</v>
      </c>
      <c r="AB38" s="36">
        <f t="shared" si="73"/>
        <v>0</v>
      </c>
      <c r="AC38" s="17">
        <f t="shared" si="73"/>
        <v>0</v>
      </c>
      <c r="AD38" s="17">
        <f t="shared" si="3"/>
        <v>0</v>
      </c>
      <c r="AE38" s="17">
        <f t="shared" si="3"/>
        <v>0</v>
      </c>
      <c r="AF38" s="36">
        <f t="shared" si="4"/>
        <v>0</v>
      </c>
      <c r="AG38" s="36">
        <f t="shared" si="5"/>
        <v>0</v>
      </c>
      <c r="AH38" s="36">
        <f t="shared" si="74"/>
        <v>0</v>
      </c>
      <c r="AI38" s="36">
        <f t="shared" si="80"/>
        <v>0</v>
      </c>
      <c r="AJ38" s="67" t="s">
        <v>142</v>
      </c>
      <c r="AK38" s="37">
        <f t="shared" si="6"/>
        <v>0</v>
      </c>
      <c r="AL38" s="16" t="str">
        <f t="shared" si="7"/>
        <v>-</v>
      </c>
      <c r="AM38" s="18" t="str">
        <f t="shared" si="8"/>
        <v>-</v>
      </c>
      <c r="AN38" s="14" t="str">
        <f t="shared" si="9"/>
        <v>-</v>
      </c>
      <c r="AO38" s="14" t="str">
        <f t="shared" si="10"/>
        <v>-</v>
      </c>
      <c r="AP38" s="14" t="str">
        <f t="shared" si="11"/>
        <v>-</v>
      </c>
      <c r="AQ38" s="14" t="str">
        <f t="shared" si="12"/>
        <v>-</v>
      </c>
      <c r="AR38" s="14" t="str">
        <f t="shared" si="13"/>
        <v>-</v>
      </c>
      <c r="AS38" s="14" t="str">
        <f t="shared" si="14"/>
        <v>-</v>
      </c>
      <c r="AT38" s="14" t="str">
        <f t="shared" si="15"/>
        <v>-</v>
      </c>
      <c r="AU38" s="14" t="str">
        <f t="shared" si="16"/>
        <v>-</v>
      </c>
      <c r="AV38" s="14" t="str">
        <f t="shared" si="17"/>
        <v>-</v>
      </c>
      <c r="AW38" s="14" t="str">
        <f t="shared" si="18"/>
        <v>-</v>
      </c>
      <c r="AX38" s="14" t="str">
        <f t="shared" si="19"/>
        <v>-</v>
      </c>
      <c r="AY38" s="14" t="str">
        <f t="shared" si="20"/>
        <v>-</v>
      </c>
      <c r="AZ38" s="14" t="str">
        <f t="shared" si="21"/>
        <v>-</v>
      </c>
      <c r="BA38" s="14" t="str">
        <f t="shared" si="22"/>
        <v>-</v>
      </c>
      <c r="BB38" s="14" t="str">
        <f t="shared" si="23"/>
        <v>-</v>
      </c>
      <c r="BC38" s="45"/>
      <c r="BD38" s="45"/>
      <c r="BE38" s="45"/>
      <c r="BF38" s="45"/>
      <c r="BG38" s="36" t="str">
        <f t="shared" si="24"/>
        <v>-</v>
      </c>
      <c r="BH38" s="25" t="str">
        <f t="shared" si="75"/>
        <v>-</v>
      </c>
      <c r="BI38" s="14" t="str">
        <f t="shared" si="25"/>
        <v>-</v>
      </c>
      <c r="BJ38" s="2" t="str">
        <f t="shared" si="26"/>
        <v>-</v>
      </c>
      <c r="BK38" s="2" t="str">
        <f t="shared" si="27"/>
        <v>-</v>
      </c>
      <c r="BL38" s="2" t="str">
        <f t="shared" si="28"/>
        <v>-</v>
      </c>
      <c r="BM38" s="2" t="str">
        <f t="shared" si="29"/>
        <v>-</v>
      </c>
      <c r="BN38" s="2" t="str">
        <f t="shared" si="30"/>
        <v>-</v>
      </c>
      <c r="BO38" s="2" t="str">
        <f t="shared" si="31"/>
        <v>-</v>
      </c>
      <c r="BP38" s="2" t="str">
        <f t="shared" si="32"/>
        <v>-</v>
      </c>
      <c r="BQ38" s="2" t="str">
        <f t="shared" si="33"/>
        <v>-</v>
      </c>
      <c r="BR38" s="2" t="str">
        <f t="shared" si="34"/>
        <v>-</v>
      </c>
      <c r="BS38" s="2" t="str">
        <f t="shared" si="35"/>
        <v>-</v>
      </c>
      <c r="BT38" s="2" t="str">
        <f t="shared" si="36"/>
        <v>-</v>
      </c>
      <c r="BU38" s="2" t="str">
        <f t="shared" si="37"/>
        <v>-</v>
      </c>
      <c r="BV38" s="2" t="str">
        <f t="shared" si="38"/>
        <v>-</v>
      </c>
      <c r="BW38" s="2" t="str">
        <f t="shared" si="39"/>
        <v>-</v>
      </c>
      <c r="BX38" s="2" t="str">
        <f t="shared" si="40"/>
        <v>-</v>
      </c>
      <c r="BY38" s="20" t="str">
        <f t="shared" si="41"/>
        <v>-</v>
      </c>
      <c r="BZ38" s="20"/>
      <c r="CA38" s="20"/>
      <c r="CB38" s="20" t="str">
        <f t="shared" si="42"/>
        <v>-</v>
      </c>
      <c r="CC38" s="20" t="str">
        <f t="shared" si="43"/>
        <v>-</v>
      </c>
      <c r="CD38" s="20" t="str">
        <f t="shared" si="44"/>
        <v>-</v>
      </c>
      <c r="CE38" s="20" t="str">
        <f t="shared" si="45"/>
        <v>-</v>
      </c>
      <c r="CF38" s="2" t="str">
        <f t="shared" si="46"/>
        <v>-</v>
      </c>
      <c r="CG38" s="2">
        <f t="shared" si="47"/>
        <v>0</v>
      </c>
      <c r="CH38" s="37" t="str">
        <f t="shared" si="48"/>
        <v>-</v>
      </c>
      <c r="CI38" s="71"/>
      <c r="CJ38" s="37" t="str">
        <f t="shared" si="49"/>
        <v>-</v>
      </c>
      <c r="CK38" s="37" t="str">
        <f t="shared" si="50"/>
        <v>-</v>
      </c>
      <c r="CL38" s="37" t="str">
        <f t="shared" si="51"/>
        <v>-</v>
      </c>
      <c r="CM38" s="37" t="str">
        <f t="shared" si="52"/>
        <v>-</v>
      </c>
      <c r="CN38" s="37" t="str">
        <f t="shared" si="53"/>
        <v>-</v>
      </c>
      <c r="CO38" s="13" t="str">
        <f t="shared" si="54"/>
        <v>-</v>
      </c>
      <c r="CP38" s="37" t="str">
        <f t="shared" si="55"/>
        <v>-</v>
      </c>
      <c r="CQ38" s="2" t="str">
        <f t="shared" si="56"/>
        <v>-</v>
      </c>
      <c r="CR38" s="2" t="str">
        <f t="shared" si="57"/>
        <v>-</v>
      </c>
      <c r="CS38" s="37" t="str">
        <f t="shared" si="58"/>
        <v>-</v>
      </c>
      <c r="CT38" s="37" t="str">
        <f t="shared" si="59"/>
        <v>-</v>
      </c>
      <c r="CU38" s="37">
        <f t="shared" si="77"/>
        <v>0</v>
      </c>
      <c r="CV38" s="37" t="e">
        <f t="shared" si="82"/>
        <v>#VALUE!</v>
      </c>
      <c r="CW38" s="37" t="str">
        <f t="shared" si="60"/>
        <v>-</v>
      </c>
      <c r="CX38" s="13" t="str">
        <f t="shared" si="61"/>
        <v>-</v>
      </c>
      <c r="CY38" s="13" t="str">
        <f t="shared" si="62"/>
        <v>-</v>
      </c>
      <c r="CZ38" s="2" t="str">
        <f t="shared" si="63"/>
        <v>-</v>
      </c>
      <c r="DA38" s="2" t="str">
        <f t="shared" si="81"/>
        <v>-</v>
      </c>
      <c r="DB38" s="2"/>
      <c r="DC38" s="2" t="str">
        <f t="shared" si="64"/>
        <v>0-</v>
      </c>
      <c r="DD38" s="2" t="str">
        <f t="shared" si="78"/>
        <v>B</v>
      </c>
      <c r="DE38" s="16" t="str">
        <f t="shared" si="65"/>
        <v>-</v>
      </c>
      <c r="DF38" s="16" t="str">
        <f t="shared" si="66"/>
        <v>-</v>
      </c>
      <c r="DG38" s="64" t="str">
        <f t="shared" si="67"/>
        <v>-</v>
      </c>
      <c r="DH38" s="37" t="e">
        <f>DE38+DF37+DG37</f>
        <v>#VALUE!</v>
      </c>
      <c r="DI38" s="37" t="e">
        <f>DH38/$B$3*100</f>
        <v>#VALUE!</v>
      </c>
      <c r="DJ38" s="14" t="e">
        <f>DE38/DF37</f>
        <v>#VALUE!</v>
      </c>
      <c r="DK38" s="37" t="str">
        <f t="shared" si="68"/>
        <v>-</v>
      </c>
      <c r="DL38" s="14" t="e">
        <f>DE38+DF37</f>
        <v>#VALUE!</v>
      </c>
      <c r="DM38" s="1"/>
    </row>
    <row r="39" spans="1:117" x14ac:dyDescent="0.25">
      <c r="A39" s="68" t="s">
        <v>108</v>
      </c>
      <c r="B39" s="56"/>
      <c r="C39" s="5">
        <f t="shared" si="69"/>
        <v>-2209165200</v>
      </c>
      <c r="D39" s="5">
        <f t="shared" si="79"/>
        <v>0</v>
      </c>
      <c r="E39" s="37">
        <f t="shared" si="70"/>
        <v>-1053494.712638889</v>
      </c>
      <c r="F39" s="5">
        <f t="shared" si="0"/>
        <v>-1053494.712638889</v>
      </c>
      <c r="G39" s="46"/>
      <c r="H39" s="5" t="str">
        <f t="shared" si="71"/>
        <v>No</v>
      </c>
      <c r="I39" s="46"/>
      <c r="J39" s="46"/>
      <c r="K39" s="46"/>
      <c r="L39" s="47"/>
      <c r="M39" s="46"/>
      <c r="N39" s="37">
        <f t="shared" si="1"/>
        <v>0</v>
      </c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36">
        <f t="shared" si="2"/>
        <v>0</v>
      </c>
      <c r="AA39" s="36">
        <f t="shared" si="72"/>
        <v>0</v>
      </c>
      <c r="AB39" s="36">
        <f t="shared" si="73"/>
        <v>0</v>
      </c>
      <c r="AC39" s="17">
        <f t="shared" si="73"/>
        <v>0</v>
      </c>
      <c r="AD39" s="17">
        <f t="shared" si="3"/>
        <v>0</v>
      </c>
      <c r="AE39" s="17">
        <f t="shared" si="3"/>
        <v>0</v>
      </c>
      <c r="AF39" s="36">
        <f t="shared" si="4"/>
        <v>0</v>
      </c>
      <c r="AG39" s="36">
        <f t="shared" si="5"/>
        <v>0</v>
      </c>
      <c r="AH39" s="36">
        <f t="shared" si="74"/>
        <v>0</v>
      </c>
      <c r="AI39" s="36">
        <f t="shared" si="80"/>
        <v>0</v>
      </c>
      <c r="AJ39" s="67" t="s">
        <v>142</v>
      </c>
      <c r="AK39" s="37">
        <f t="shared" si="6"/>
        <v>0</v>
      </c>
      <c r="AL39" s="16" t="str">
        <f t="shared" si="7"/>
        <v>-</v>
      </c>
      <c r="AM39" s="18" t="str">
        <f t="shared" si="8"/>
        <v>-</v>
      </c>
      <c r="AN39" s="14" t="str">
        <f t="shared" si="9"/>
        <v>-</v>
      </c>
      <c r="AO39" s="14" t="str">
        <f t="shared" si="10"/>
        <v>-</v>
      </c>
      <c r="AP39" s="14" t="str">
        <f t="shared" si="11"/>
        <v>-</v>
      </c>
      <c r="AQ39" s="14" t="str">
        <f t="shared" si="12"/>
        <v>-</v>
      </c>
      <c r="AR39" s="14" t="str">
        <f t="shared" si="13"/>
        <v>-</v>
      </c>
      <c r="AS39" s="14" t="str">
        <f t="shared" si="14"/>
        <v>-</v>
      </c>
      <c r="AT39" s="14" t="str">
        <f t="shared" si="15"/>
        <v>-</v>
      </c>
      <c r="AU39" s="14" t="str">
        <f t="shared" si="16"/>
        <v>-</v>
      </c>
      <c r="AV39" s="14" t="str">
        <f t="shared" si="17"/>
        <v>-</v>
      </c>
      <c r="AW39" s="14" t="str">
        <f t="shared" si="18"/>
        <v>-</v>
      </c>
      <c r="AX39" s="14" t="str">
        <f t="shared" si="19"/>
        <v>-</v>
      </c>
      <c r="AY39" s="14" t="str">
        <f t="shared" si="20"/>
        <v>-</v>
      </c>
      <c r="AZ39" s="14" t="str">
        <f t="shared" si="21"/>
        <v>-</v>
      </c>
      <c r="BA39" s="14" t="str">
        <f t="shared" si="22"/>
        <v>-</v>
      </c>
      <c r="BB39" s="14" t="str">
        <f t="shared" si="23"/>
        <v>-</v>
      </c>
      <c r="BC39" s="45"/>
      <c r="BD39" s="45"/>
      <c r="BE39" s="45"/>
      <c r="BF39" s="45"/>
      <c r="BG39" s="36" t="str">
        <f t="shared" si="24"/>
        <v>-</v>
      </c>
      <c r="BH39" s="25" t="str">
        <f t="shared" si="75"/>
        <v>-</v>
      </c>
      <c r="BI39" s="14" t="str">
        <f t="shared" si="25"/>
        <v>-</v>
      </c>
      <c r="BJ39" s="2" t="str">
        <f t="shared" si="26"/>
        <v>-</v>
      </c>
      <c r="BK39" s="2" t="str">
        <f t="shared" si="27"/>
        <v>-</v>
      </c>
      <c r="BL39" s="2" t="str">
        <f t="shared" si="28"/>
        <v>-</v>
      </c>
      <c r="BM39" s="2" t="str">
        <f t="shared" si="29"/>
        <v>-</v>
      </c>
      <c r="BN39" s="2" t="str">
        <f t="shared" si="30"/>
        <v>-</v>
      </c>
      <c r="BO39" s="2" t="str">
        <f t="shared" si="31"/>
        <v>-</v>
      </c>
      <c r="BP39" s="2" t="str">
        <f t="shared" si="32"/>
        <v>-</v>
      </c>
      <c r="BQ39" s="2" t="str">
        <f t="shared" si="33"/>
        <v>-</v>
      </c>
      <c r="BR39" s="2" t="str">
        <f t="shared" si="34"/>
        <v>-</v>
      </c>
      <c r="BS39" s="2" t="str">
        <f t="shared" si="35"/>
        <v>-</v>
      </c>
      <c r="BT39" s="2" t="str">
        <f t="shared" si="36"/>
        <v>-</v>
      </c>
      <c r="BU39" s="2" t="str">
        <f t="shared" si="37"/>
        <v>-</v>
      </c>
      <c r="BV39" s="2" t="str">
        <f t="shared" si="38"/>
        <v>-</v>
      </c>
      <c r="BW39" s="2" t="str">
        <f t="shared" si="39"/>
        <v>-</v>
      </c>
      <c r="BX39" s="2" t="str">
        <f t="shared" si="40"/>
        <v>-</v>
      </c>
      <c r="BY39" s="20" t="str">
        <f t="shared" si="41"/>
        <v>-</v>
      </c>
      <c r="BZ39" s="20"/>
      <c r="CA39" s="20"/>
      <c r="CB39" s="20" t="str">
        <f t="shared" si="42"/>
        <v>-</v>
      </c>
      <c r="CC39" s="20" t="str">
        <f t="shared" si="43"/>
        <v>-</v>
      </c>
      <c r="CD39" s="20" t="str">
        <f t="shared" si="44"/>
        <v>-</v>
      </c>
      <c r="CE39" s="20" t="str">
        <f t="shared" si="45"/>
        <v>-</v>
      </c>
      <c r="CF39" s="2" t="str">
        <f t="shared" si="46"/>
        <v>-</v>
      </c>
      <c r="CG39" s="2">
        <f t="shared" si="47"/>
        <v>0</v>
      </c>
      <c r="CH39" s="37" t="str">
        <f t="shared" si="48"/>
        <v>-</v>
      </c>
      <c r="CI39" s="71"/>
      <c r="CJ39" s="37" t="str">
        <f t="shared" si="49"/>
        <v>-</v>
      </c>
      <c r="CK39" s="37" t="str">
        <f t="shared" si="50"/>
        <v>-</v>
      </c>
      <c r="CL39" s="37" t="str">
        <f t="shared" si="51"/>
        <v>-</v>
      </c>
      <c r="CM39" s="37" t="str">
        <f t="shared" si="52"/>
        <v>-</v>
      </c>
      <c r="CN39" s="37" t="str">
        <f t="shared" si="53"/>
        <v>-</v>
      </c>
      <c r="CO39" s="13" t="str">
        <f t="shared" si="54"/>
        <v>-</v>
      </c>
      <c r="CP39" s="37" t="str">
        <f t="shared" si="55"/>
        <v>-</v>
      </c>
      <c r="CQ39" s="2" t="str">
        <f t="shared" si="56"/>
        <v>-</v>
      </c>
      <c r="CR39" s="2" t="str">
        <f t="shared" si="57"/>
        <v>-</v>
      </c>
      <c r="CS39" s="37" t="str">
        <f t="shared" si="58"/>
        <v>-</v>
      </c>
      <c r="CT39" s="37" t="str">
        <f t="shared" si="59"/>
        <v>-</v>
      </c>
      <c r="CU39" s="37">
        <f t="shared" si="77"/>
        <v>0</v>
      </c>
      <c r="CV39" s="37" t="e">
        <f t="shared" si="82"/>
        <v>#VALUE!</v>
      </c>
      <c r="CW39" s="37" t="str">
        <f t="shared" si="60"/>
        <v>-</v>
      </c>
      <c r="CX39" s="13" t="str">
        <f t="shared" si="61"/>
        <v>-</v>
      </c>
      <c r="CY39" s="13" t="str">
        <f t="shared" si="62"/>
        <v>-</v>
      </c>
      <c r="CZ39" s="2" t="str">
        <f t="shared" si="63"/>
        <v>-</v>
      </c>
      <c r="DA39" s="2" t="str">
        <f t="shared" si="81"/>
        <v>-</v>
      </c>
      <c r="DB39" s="2"/>
      <c r="DC39" s="2" t="str">
        <f t="shared" si="64"/>
        <v>0-</v>
      </c>
      <c r="DD39" s="2" t="str">
        <f t="shared" si="78"/>
        <v>B</v>
      </c>
      <c r="DE39" s="16" t="str">
        <f t="shared" si="65"/>
        <v>-</v>
      </c>
      <c r="DF39" s="16" t="str">
        <f t="shared" si="66"/>
        <v>-</v>
      </c>
      <c r="DG39" s="64" t="str">
        <f t="shared" si="67"/>
        <v>-</v>
      </c>
      <c r="DH39" s="37"/>
      <c r="DI39" s="14"/>
      <c r="DJ39" s="14"/>
      <c r="DK39" s="37" t="str">
        <f t="shared" si="68"/>
        <v>-</v>
      </c>
      <c r="DL39" s="37"/>
      <c r="DM39" s="1"/>
    </row>
    <row r="40" spans="1:117" x14ac:dyDescent="0.25">
      <c r="A40" s="22" t="s">
        <v>109</v>
      </c>
      <c r="B40" s="56"/>
      <c r="C40" s="5">
        <f t="shared" si="69"/>
        <v>-2209165200</v>
      </c>
      <c r="D40" s="5">
        <f t="shared" si="79"/>
        <v>0</v>
      </c>
      <c r="E40" s="37">
        <f t="shared" si="70"/>
        <v>-1053494.712638889</v>
      </c>
      <c r="F40" s="5">
        <f t="shared" si="0"/>
        <v>-1053494.712638889</v>
      </c>
      <c r="G40" s="46"/>
      <c r="H40" s="5" t="str">
        <f t="shared" si="71"/>
        <v>No</v>
      </c>
      <c r="I40" s="46"/>
      <c r="J40" s="46"/>
      <c r="K40" s="46"/>
      <c r="L40" s="47"/>
      <c r="M40" s="46"/>
      <c r="N40" s="37">
        <f t="shared" si="1"/>
        <v>0</v>
      </c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36">
        <f t="shared" si="2"/>
        <v>0</v>
      </c>
      <c r="AA40" s="36">
        <f t="shared" si="72"/>
        <v>0</v>
      </c>
      <c r="AB40" s="36">
        <f t="shared" si="73"/>
        <v>0</v>
      </c>
      <c r="AC40" s="17">
        <f t="shared" si="73"/>
        <v>0</v>
      </c>
      <c r="AD40" s="17">
        <f t="shared" si="3"/>
        <v>0</v>
      </c>
      <c r="AE40" s="17">
        <f t="shared" si="3"/>
        <v>0</v>
      </c>
      <c r="AF40" s="36">
        <f t="shared" si="4"/>
        <v>0</v>
      </c>
      <c r="AG40" s="36">
        <f t="shared" si="5"/>
        <v>0</v>
      </c>
      <c r="AH40" s="36">
        <f t="shared" si="74"/>
        <v>0</v>
      </c>
      <c r="AI40" s="36">
        <f t="shared" si="80"/>
        <v>0</v>
      </c>
      <c r="AJ40" s="67" t="s">
        <v>142</v>
      </c>
      <c r="AK40" s="37">
        <f t="shared" si="6"/>
        <v>0</v>
      </c>
      <c r="AL40" s="16" t="str">
        <f t="shared" si="7"/>
        <v>-</v>
      </c>
      <c r="AM40" s="18" t="str">
        <f t="shared" si="8"/>
        <v>-</v>
      </c>
      <c r="AN40" s="14" t="str">
        <f t="shared" si="9"/>
        <v>-</v>
      </c>
      <c r="AO40" s="14" t="str">
        <f t="shared" si="10"/>
        <v>-</v>
      </c>
      <c r="AP40" s="14" t="str">
        <f t="shared" si="11"/>
        <v>-</v>
      </c>
      <c r="AQ40" s="14" t="str">
        <f t="shared" si="12"/>
        <v>-</v>
      </c>
      <c r="AR40" s="14" t="str">
        <f t="shared" si="13"/>
        <v>-</v>
      </c>
      <c r="AS40" s="14" t="str">
        <f t="shared" si="14"/>
        <v>-</v>
      </c>
      <c r="AT40" s="14" t="str">
        <f t="shared" si="15"/>
        <v>-</v>
      </c>
      <c r="AU40" s="14" t="str">
        <f t="shared" si="16"/>
        <v>-</v>
      </c>
      <c r="AV40" s="14" t="str">
        <f t="shared" si="17"/>
        <v>-</v>
      </c>
      <c r="AW40" s="14" t="str">
        <f t="shared" si="18"/>
        <v>-</v>
      </c>
      <c r="AX40" s="14" t="str">
        <f t="shared" si="19"/>
        <v>-</v>
      </c>
      <c r="AY40" s="14" t="str">
        <f t="shared" si="20"/>
        <v>-</v>
      </c>
      <c r="AZ40" s="14" t="str">
        <f t="shared" si="21"/>
        <v>-</v>
      </c>
      <c r="BA40" s="14" t="str">
        <f t="shared" si="22"/>
        <v>-</v>
      </c>
      <c r="BB40" s="14" t="str">
        <f t="shared" si="23"/>
        <v>-</v>
      </c>
      <c r="BC40" s="45"/>
      <c r="BD40" s="45"/>
      <c r="BE40" s="45"/>
      <c r="BF40" s="45"/>
      <c r="BG40" s="36" t="str">
        <f t="shared" si="24"/>
        <v>-</v>
      </c>
      <c r="BH40" s="25" t="str">
        <f t="shared" si="75"/>
        <v>-</v>
      </c>
      <c r="BI40" s="14" t="str">
        <f t="shared" si="25"/>
        <v>-</v>
      </c>
      <c r="BJ40" s="2" t="str">
        <f t="shared" si="26"/>
        <v>-</v>
      </c>
      <c r="BK40" s="2" t="str">
        <f t="shared" si="27"/>
        <v>-</v>
      </c>
      <c r="BL40" s="2" t="str">
        <f t="shared" si="28"/>
        <v>-</v>
      </c>
      <c r="BM40" s="2" t="str">
        <f t="shared" si="29"/>
        <v>-</v>
      </c>
      <c r="BN40" s="2" t="str">
        <f t="shared" si="30"/>
        <v>-</v>
      </c>
      <c r="BO40" s="2" t="str">
        <f t="shared" si="31"/>
        <v>-</v>
      </c>
      <c r="BP40" s="2" t="str">
        <f t="shared" si="32"/>
        <v>-</v>
      </c>
      <c r="BQ40" s="2" t="str">
        <f t="shared" si="33"/>
        <v>-</v>
      </c>
      <c r="BR40" s="2" t="str">
        <f t="shared" si="34"/>
        <v>-</v>
      </c>
      <c r="BS40" s="2" t="str">
        <f t="shared" si="35"/>
        <v>-</v>
      </c>
      <c r="BT40" s="2" t="str">
        <f t="shared" si="36"/>
        <v>-</v>
      </c>
      <c r="BU40" s="2" t="str">
        <f t="shared" si="37"/>
        <v>-</v>
      </c>
      <c r="BV40" s="2" t="str">
        <f t="shared" si="38"/>
        <v>-</v>
      </c>
      <c r="BW40" s="2" t="str">
        <f t="shared" si="39"/>
        <v>-</v>
      </c>
      <c r="BX40" s="2" t="str">
        <f t="shared" si="40"/>
        <v>-</v>
      </c>
      <c r="BY40" s="20" t="str">
        <f t="shared" si="41"/>
        <v>-</v>
      </c>
      <c r="BZ40" s="20"/>
      <c r="CA40" s="20"/>
      <c r="CB40" s="20" t="str">
        <f t="shared" si="42"/>
        <v>-</v>
      </c>
      <c r="CC40" s="20" t="str">
        <f t="shared" si="43"/>
        <v>-</v>
      </c>
      <c r="CD40" s="20" t="str">
        <f t="shared" si="44"/>
        <v>-</v>
      </c>
      <c r="CE40" s="20" t="str">
        <f t="shared" si="45"/>
        <v>-</v>
      </c>
      <c r="CF40" s="2" t="str">
        <f t="shared" si="46"/>
        <v>-</v>
      </c>
      <c r="CG40" s="2">
        <f t="shared" si="47"/>
        <v>0</v>
      </c>
      <c r="CH40" s="37" t="str">
        <f t="shared" si="48"/>
        <v>-</v>
      </c>
      <c r="CI40" s="71"/>
      <c r="CJ40" s="37" t="str">
        <f t="shared" si="49"/>
        <v>-</v>
      </c>
      <c r="CK40" s="37" t="str">
        <f t="shared" si="50"/>
        <v>-</v>
      </c>
      <c r="CL40" s="37" t="str">
        <f t="shared" si="51"/>
        <v>-</v>
      </c>
      <c r="CM40" s="37" t="str">
        <f t="shared" si="52"/>
        <v>-</v>
      </c>
      <c r="CN40" s="37" t="str">
        <f t="shared" si="53"/>
        <v>-</v>
      </c>
      <c r="CO40" s="13" t="str">
        <f t="shared" si="54"/>
        <v>-</v>
      </c>
      <c r="CP40" s="37" t="str">
        <f t="shared" si="55"/>
        <v>-</v>
      </c>
      <c r="CQ40" s="2" t="str">
        <f t="shared" si="56"/>
        <v>-</v>
      </c>
      <c r="CR40" s="2" t="str">
        <f t="shared" si="57"/>
        <v>-</v>
      </c>
      <c r="CS40" s="37" t="str">
        <f t="shared" si="58"/>
        <v>-</v>
      </c>
      <c r="CT40" s="37" t="str">
        <f t="shared" si="59"/>
        <v>-</v>
      </c>
      <c r="CU40" s="37">
        <f t="shared" si="77"/>
        <v>0</v>
      </c>
      <c r="CV40" s="37" t="e">
        <f t="shared" si="82"/>
        <v>#VALUE!</v>
      </c>
      <c r="CW40" s="37" t="str">
        <f t="shared" si="60"/>
        <v>-</v>
      </c>
      <c r="CX40" s="13" t="str">
        <f t="shared" si="61"/>
        <v>-</v>
      </c>
      <c r="CY40" s="13" t="str">
        <f t="shared" si="62"/>
        <v>-</v>
      </c>
      <c r="CZ40" s="2" t="str">
        <f t="shared" si="63"/>
        <v>-</v>
      </c>
      <c r="DA40" s="2" t="str">
        <f t="shared" si="81"/>
        <v>-</v>
      </c>
      <c r="DB40" s="2"/>
      <c r="DC40" s="2" t="str">
        <f t="shared" si="64"/>
        <v>0-</v>
      </c>
      <c r="DD40" s="2" t="str">
        <f t="shared" si="78"/>
        <v>B</v>
      </c>
      <c r="DE40" s="16" t="str">
        <f t="shared" si="65"/>
        <v>-</v>
      </c>
      <c r="DF40" s="16" t="str">
        <f t="shared" si="66"/>
        <v>-</v>
      </c>
      <c r="DG40" s="64" t="str">
        <f t="shared" si="67"/>
        <v>-</v>
      </c>
      <c r="DK40" s="37" t="str">
        <f t="shared" si="68"/>
        <v>-</v>
      </c>
      <c r="DM40" s="1"/>
    </row>
    <row r="41" spans="1:117" x14ac:dyDescent="0.25">
      <c r="A41" s="22" t="s">
        <v>110</v>
      </c>
      <c r="B41" s="56"/>
      <c r="C41" s="5">
        <f t="shared" si="69"/>
        <v>-2209165200</v>
      </c>
      <c r="D41" s="5">
        <f t="shared" si="79"/>
        <v>0</v>
      </c>
      <c r="E41" s="37">
        <f t="shared" si="70"/>
        <v>-1053494.712638889</v>
      </c>
      <c r="F41" s="5">
        <f t="shared" si="0"/>
        <v>-1053494.712638889</v>
      </c>
      <c r="G41" s="46"/>
      <c r="H41" s="5" t="str">
        <f t="shared" si="71"/>
        <v>No</v>
      </c>
      <c r="I41" s="46"/>
      <c r="J41" s="46"/>
      <c r="K41" s="46"/>
      <c r="L41" s="47"/>
      <c r="M41" s="46"/>
      <c r="N41" s="37">
        <f t="shared" si="1"/>
        <v>0</v>
      </c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36">
        <f t="shared" si="2"/>
        <v>0</v>
      </c>
      <c r="AA41" s="36">
        <f t="shared" si="72"/>
        <v>0</v>
      </c>
      <c r="AB41" s="36">
        <f t="shared" si="73"/>
        <v>0</v>
      </c>
      <c r="AC41" s="17">
        <f t="shared" si="73"/>
        <v>0</v>
      </c>
      <c r="AD41" s="17">
        <f t="shared" si="3"/>
        <v>0</v>
      </c>
      <c r="AE41" s="17">
        <f t="shared" si="3"/>
        <v>0</v>
      </c>
      <c r="AF41" s="36">
        <f t="shared" si="4"/>
        <v>0</v>
      </c>
      <c r="AG41" s="36">
        <f t="shared" si="5"/>
        <v>0</v>
      </c>
      <c r="AH41" s="36">
        <f t="shared" si="74"/>
        <v>0</v>
      </c>
      <c r="AI41" s="36">
        <f t="shared" si="80"/>
        <v>0</v>
      </c>
      <c r="AJ41" s="67" t="s">
        <v>142</v>
      </c>
      <c r="AK41" s="37">
        <f t="shared" si="6"/>
        <v>0</v>
      </c>
      <c r="AL41" s="16" t="str">
        <f t="shared" si="7"/>
        <v>-</v>
      </c>
      <c r="AM41" s="18" t="str">
        <f t="shared" si="8"/>
        <v>-</v>
      </c>
      <c r="AN41" s="14" t="str">
        <f t="shared" si="9"/>
        <v>-</v>
      </c>
      <c r="AO41" s="14" t="str">
        <f t="shared" si="10"/>
        <v>-</v>
      </c>
      <c r="AP41" s="14" t="str">
        <f t="shared" si="11"/>
        <v>-</v>
      </c>
      <c r="AQ41" s="14" t="str">
        <f t="shared" si="12"/>
        <v>-</v>
      </c>
      <c r="AR41" s="14" t="str">
        <f t="shared" si="13"/>
        <v>-</v>
      </c>
      <c r="AS41" s="14" t="str">
        <f t="shared" si="14"/>
        <v>-</v>
      </c>
      <c r="AT41" s="14" t="str">
        <f t="shared" si="15"/>
        <v>-</v>
      </c>
      <c r="AU41" s="14" t="str">
        <f t="shared" si="16"/>
        <v>-</v>
      </c>
      <c r="AV41" s="14" t="str">
        <f t="shared" si="17"/>
        <v>-</v>
      </c>
      <c r="AW41" s="14" t="str">
        <f t="shared" si="18"/>
        <v>-</v>
      </c>
      <c r="AX41" s="14" t="str">
        <f t="shared" si="19"/>
        <v>-</v>
      </c>
      <c r="AY41" s="14" t="str">
        <f t="shared" si="20"/>
        <v>-</v>
      </c>
      <c r="AZ41" s="14" t="str">
        <f t="shared" si="21"/>
        <v>-</v>
      </c>
      <c r="BA41" s="14" t="str">
        <f t="shared" si="22"/>
        <v>-</v>
      </c>
      <c r="BB41" s="14" t="str">
        <f t="shared" si="23"/>
        <v>-</v>
      </c>
      <c r="BC41" s="45"/>
      <c r="BD41" s="45"/>
      <c r="BE41" s="45"/>
      <c r="BF41" s="45"/>
      <c r="BG41" s="36" t="str">
        <f t="shared" si="24"/>
        <v>-</v>
      </c>
      <c r="BH41" s="25" t="str">
        <f t="shared" si="75"/>
        <v>-</v>
      </c>
      <c r="BI41" s="14" t="str">
        <f t="shared" si="25"/>
        <v>-</v>
      </c>
      <c r="BJ41" s="2" t="str">
        <f t="shared" si="26"/>
        <v>-</v>
      </c>
      <c r="BK41" s="2" t="str">
        <f t="shared" si="27"/>
        <v>-</v>
      </c>
      <c r="BL41" s="2" t="str">
        <f t="shared" si="28"/>
        <v>-</v>
      </c>
      <c r="BM41" s="2" t="str">
        <f t="shared" si="29"/>
        <v>-</v>
      </c>
      <c r="BN41" s="2" t="str">
        <f t="shared" si="30"/>
        <v>-</v>
      </c>
      <c r="BO41" s="2" t="str">
        <f t="shared" si="31"/>
        <v>-</v>
      </c>
      <c r="BP41" s="2" t="str">
        <f t="shared" si="32"/>
        <v>-</v>
      </c>
      <c r="BQ41" s="2" t="str">
        <f t="shared" si="33"/>
        <v>-</v>
      </c>
      <c r="BR41" s="2" t="str">
        <f t="shared" si="34"/>
        <v>-</v>
      </c>
      <c r="BS41" s="2" t="str">
        <f t="shared" si="35"/>
        <v>-</v>
      </c>
      <c r="BT41" s="2" t="str">
        <f t="shared" si="36"/>
        <v>-</v>
      </c>
      <c r="BU41" s="2" t="str">
        <f t="shared" si="37"/>
        <v>-</v>
      </c>
      <c r="BV41" s="2" t="str">
        <f t="shared" si="38"/>
        <v>-</v>
      </c>
      <c r="BW41" s="2" t="str">
        <f t="shared" si="39"/>
        <v>-</v>
      </c>
      <c r="BX41" s="2" t="str">
        <f t="shared" si="40"/>
        <v>-</v>
      </c>
      <c r="BY41" s="20" t="str">
        <f t="shared" si="41"/>
        <v>-</v>
      </c>
      <c r="BZ41" s="20"/>
      <c r="CA41" s="20"/>
      <c r="CB41" s="20" t="str">
        <f t="shared" si="42"/>
        <v>-</v>
      </c>
      <c r="CC41" s="20" t="str">
        <f t="shared" si="43"/>
        <v>-</v>
      </c>
      <c r="CD41" s="20" t="str">
        <f t="shared" si="44"/>
        <v>-</v>
      </c>
      <c r="CE41" s="20" t="str">
        <f t="shared" si="45"/>
        <v>-</v>
      </c>
      <c r="CF41" s="2" t="str">
        <f t="shared" si="46"/>
        <v>-</v>
      </c>
      <c r="CG41" s="2">
        <f t="shared" si="47"/>
        <v>0</v>
      </c>
      <c r="CH41" s="37" t="str">
        <f t="shared" si="48"/>
        <v>-</v>
      </c>
      <c r="CI41" s="71"/>
      <c r="CJ41" s="37" t="str">
        <f t="shared" si="49"/>
        <v>-</v>
      </c>
      <c r="CK41" s="37" t="str">
        <f t="shared" si="50"/>
        <v>-</v>
      </c>
      <c r="CL41" s="37" t="str">
        <f t="shared" si="51"/>
        <v>-</v>
      </c>
      <c r="CM41" s="37" t="str">
        <f t="shared" si="52"/>
        <v>-</v>
      </c>
      <c r="CN41" s="37" t="str">
        <f t="shared" si="53"/>
        <v>-</v>
      </c>
      <c r="CO41" s="13" t="str">
        <f t="shared" si="54"/>
        <v>-</v>
      </c>
      <c r="CP41" s="37" t="str">
        <f t="shared" si="55"/>
        <v>-</v>
      </c>
      <c r="CQ41" s="2" t="str">
        <f t="shared" si="56"/>
        <v>-</v>
      </c>
      <c r="CR41" s="2" t="str">
        <f t="shared" si="57"/>
        <v>-</v>
      </c>
      <c r="CS41" s="37" t="str">
        <f t="shared" si="58"/>
        <v>-</v>
      </c>
      <c r="CT41" s="37" t="str">
        <f t="shared" si="59"/>
        <v>-</v>
      </c>
      <c r="CU41" s="37">
        <f t="shared" si="77"/>
        <v>0</v>
      </c>
      <c r="CV41" s="37" t="e">
        <f t="shared" si="82"/>
        <v>#VALUE!</v>
      </c>
      <c r="CW41" s="37" t="str">
        <f t="shared" si="60"/>
        <v>-</v>
      </c>
      <c r="CX41" s="13" t="str">
        <f t="shared" si="61"/>
        <v>-</v>
      </c>
      <c r="CY41" s="13" t="str">
        <f t="shared" si="62"/>
        <v>-</v>
      </c>
      <c r="CZ41" s="2" t="str">
        <f t="shared" si="63"/>
        <v>-</v>
      </c>
      <c r="DA41" s="2" t="str">
        <f t="shared" si="81"/>
        <v>-</v>
      </c>
      <c r="DB41" s="2"/>
      <c r="DC41" s="2" t="str">
        <f t="shared" si="64"/>
        <v>0-</v>
      </c>
      <c r="DD41" s="2" t="str">
        <f t="shared" si="78"/>
        <v>B</v>
      </c>
      <c r="DE41" s="16" t="str">
        <f t="shared" si="65"/>
        <v>-</v>
      </c>
      <c r="DF41" s="16" t="str">
        <f t="shared" si="66"/>
        <v>-</v>
      </c>
      <c r="DG41" s="64" t="str">
        <f t="shared" si="67"/>
        <v>-</v>
      </c>
      <c r="DH41" s="37"/>
      <c r="DI41" s="14"/>
      <c r="DJ41" s="2"/>
      <c r="DK41" s="37" t="str">
        <f t="shared" si="68"/>
        <v>-</v>
      </c>
      <c r="DL41" s="2"/>
      <c r="DM41" s="1"/>
    </row>
    <row r="42" spans="1:117" x14ac:dyDescent="0.25">
      <c r="A42" s="22" t="s">
        <v>111</v>
      </c>
      <c r="B42" s="51"/>
      <c r="C42" s="5">
        <f t="shared" si="69"/>
        <v>-2209165200</v>
      </c>
      <c r="D42" s="5">
        <f t="shared" si="79"/>
        <v>0</v>
      </c>
      <c r="E42" s="37">
        <f t="shared" si="70"/>
        <v>-1053494.712638889</v>
      </c>
      <c r="F42" s="5">
        <f t="shared" si="0"/>
        <v>-1053494.712638889</v>
      </c>
      <c r="G42" s="48"/>
      <c r="H42" s="5" t="str">
        <f t="shared" si="71"/>
        <v>No</v>
      </c>
      <c r="I42" s="46"/>
      <c r="J42" s="46"/>
      <c r="K42" s="46"/>
      <c r="L42" s="47"/>
      <c r="M42" s="46"/>
      <c r="N42" s="37">
        <f t="shared" si="1"/>
        <v>0</v>
      </c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36">
        <f t="shared" si="2"/>
        <v>0</v>
      </c>
      <c r="AA42" s="36">
        <f t="shared" si="72"/>
        <v>0</v>
      </c>
      <c r="AB42" s="36">
        <f t="shared" si="73"/>
        <v>0</v>
      </c>
      <c r="AC42" s="17">
        <f t="shared" si="73"/>
        <v>0</v>
      </c>
      <c r="AD42" s="17">
        <f t="shared" si="3"/>
        <v>0</v>
      </c>
      <c r="AE42" s="17">
        <f t="shared" si="3"/>
        <v>0</v>
      </c>
      <c r="AF42" s="36">
        <f t="shared" si="4"/>
        <v>0</v>
      </c>
      <c r="AG42" s="36">
        <f t="shared" si="5"/>
        <v>0</v>
      </c>
      <c r="AH42" s="36">
        <f t="shared" si="74"/>
        <v>0</v>
      </c>
      <c r="AI42" s="36">
        <f t="shared" si="80"/>
        <v>0</v>
      </c>
      <c r="AJ42" s="67" t="s">
        <v>142</v>
      </c>
      <c r="AK42" s="37">
        <f t="shared" si="6"/>
        <v>0</v>
      </c>
      <c r="AL42" s="16" t="str">
        <f t="shared" si="7"/>
        <v>-</v>
      </c>
      <c r="AM42" s="18" t="str">
        <f t="shared" si="8"/>
        <v>-</v>
      </c>
      <c r="AN42" s="14" t="str">
        <f t="shared" si="9"/>
        <v>-</v>
      </c>
      <c r="AO42" s="14" t="str">
        <f t="shared" si="10"/>
        <v>-</v>
      </c>
      <c r="AP42" s="14" t="str">
        <f t="shared" si="11"/>
        <v>-</v>
      </c>
      <c r="AQ42" s="14" t="str">
        <f t="shared" si="12"/>
        <v>-</v>
      </c>
      <c r="AR42" s="14" t="str">
        <f t="shared" si="13"/>
        <v>-</v>
      </c>
      <c r="AS42" s="14" t="str">
        <f t="shared" si="14"/>
        <v>-</v>
      </c>
      <c r="AT42" s="14" t="str">
        <f t="shared" si="15"/>
        <v>-</v>
      </c>
      <c r="AU42" s="14" t="str">
        <f t="shared" si="16"/>
        <v>-</v>
      </c>
      <c r="AV42" s="14" t="str">
        <f t="shared" si="17"/>
        <v>-</v>
      </c>
      <c r="AW42" s="14" t="str">
        <f t="shared" si="18"/>
        <v>-</v>
      </c>
      <c r="AX42" s="14" t="str">
        <f t="shared" si="19"/>
        <v>-</v>
      </c>
      <c r="AY42" s="14" t="str">
        <f t="shared" si="20"/>
        <v>-</v>
      </c>
      <c r="AZ42" s="14" t="str">
        <f t="shared" si="21"/>
        <v>-</v>
      </c>
      <c r="BA42" s="14" t="str">
        <f t="shared" si="22"/>
        <v>-</v>
      </c>
      <c r="BB42" s="14" t="str">
        <f t="shared" si="23"/>
        <v>-</v>
      </c>
      <c r="BC42" s="45"/>
      <c r="BD42" s="45"/>
      <c r="BE42" s="45"/>
      <c r="BF42" s="45"/>
      <c r="BG42" s="36" t="str">
        <f t="shared" si="24"/>
        <v>-</v>
      </c>
      <c r="BH42" s="25" t="str">
        <f t="shared" si="75"/>
        <v>-</v>
      </c>
      <c r="BI42" s="14" t="str">
        <f t="shared" si="25"/>
        <v>-</v>
      </c>
      <c r="BJ42" s="2" t="str">
        <f t="shared" si="26"/>
        <v>-</v>
      </c>
      <c r="BK42" s="2" t="str">
        <f t="shared" si="27"/>
        <v>-</v>
      </c>
      <c r="BL42" s="2" t="str">
        <f t="shared" si="28"/>
        <v>-</v>
      </c>
      <c r="BM42" s="2" t="str">
        <f t="shared" si="29"/>
        <v>-</v>
      </c>
      <c r="BN42" s="2" t="str">
        <f t="shared" si="30"/>
        <v>-</v>
      </c>
      <c r="BO42" s="2" t="str">
        <f t="shared" si="31"/>
        <v>-</v>
      </c>
      <c r="BP42" s="2" t="str">
        <f t="shared" si="32"/>
        <v>-</v>
      </c>
      <c r="BQ42" s="2" t="str">
        <f t="shared" si="33"/>
        <v>-</v>
      </c>
      <c r="BR42" s="2" t="str">
        <f t="shared" si="34"/>
        <v>-</v>
      </c>
      <c r="BS42" s="2" t="str">
        <f t="shared" si="35"/>
        <v>-</v>
      </c>
      <c r="BT42" s="2" t="str">
        <f t="shared" si="36"/>
        <v>-</v>
      </c>
      <c r="BU42" s="2" t="str">
        <f t="shared" si="37"/>
        <v>-</v>
      </c>
      <c r="BV42" s="2" t="str">
        <f t="shared" si="38"/>
        <v>-</v>
      </c>
      <c r="BW42" s="2" t="str">
        <f t="shared" si="39"/>
        <v>-</v>
      </c>
      <c r="BX42" s="2" t="str">
        <f t="shared" si="40"/>
        <v>-</v>
      </c>
      <c r="BY42" s="20" t="str">
        <f t="shared" si="41"/>
        <v>-</v>
      </c>
      <c r="BZ42" s="20"/>
      <c r="CA42" s="20"/>
      <c r="CB42" s="20" t="str">
        <f t="shared" si="42"/>
        <v>-</v>
      </c>
      <c r="CC42" s="20" t="str">
        <f t="shared" si="43"/>
        <v>-</v>
      </c>
      <c r="CD42" s="20" t="str">
        <f t="shared" si="44"/>
        <v>-</v>
      </c>
      <c r="CE42" s="20" t="str">
        <f t="shared" si="45"/>
        <v>-</v>
      </c>
      <c r="CF42" s="2" t="str">
        <f t="shared" si="46"/>
        <v>-</v>
      </c>
      <c r="CG42" s="2">
        <f t="shared" si="47"/>
        <v>0</v>
      </c>
      <c r="CH42" s="37" t="str">
        <f t="shared" si="48"/>
        <v>-</v>
      </c>
      <c r="CI42" s="71"/>
      <c r="CJ42" s="37" t="str">
        <f t="shared" si="49"/>
        <v>-</v>
      </c>
      <c r="CK42" s="37" t="str">
        <f t="shared" si="50"/>
        <v>-</v>
      </c>
      <c r="CL42" s="37" t="str">
        <f t="shared" si="51"/>
        <v>-</v>
      </c>
      <c r="CM42" s="37" t="str">
        <f t="shared" si="52"/>
        <v>-</v>
      </c>
      <c r="CN42" s="37" t="str">
        <f t="shared" si="53"/>
        <v>-</v>
      </c>
      <c r="CO42" s="13" t="str">
        <f t="shared" si="54"/>
        <v>-</v>
      </c>
      <c r="CP42" s="37" t="str">
        <f t="shared" si="55"/>
        <v>-</v>
      </c>
      <c r="CQ42" s="2" t="str">
        <f t="shared" si="56"/>
        <v>-</v>
      </c>
      <c r="CR42" s="2" t="str">
        <f t="shared" si="57"/>
        <v>-</v>
      </c>
      <c r="CS42" s="37" t="str">
        <f t="shared" si="58"/>
        <v>-</v>
      </c>
      <c r="CT42" s="37" t="str">
        <f t="shared" si="59"/>
        <v>-</v>
      </c>
      <c r="CU42" s="37">
        <f t="shared" si="77"/>
        <v>0</v>
      </c>
      <c r="CV42" s="37" t="e">
        <f t="shared" si="82"/>
        <v>#VALUE!</v>
      </c>
      <c r="CW42" s="37" t="str">
        <f t="shared" si="60"/>
        <v>-</v>
      </c>
      <c r="CX42" s="13" t="str">
        <f t="shared" si="61"/>
        <v>-</v>
      </c>
      <c r="CY42" s="13" t="str">
        <f t="shared" si="62"/>
        <v>-</v>
      </c>
      <c r="CZ42" s="2" t="str">
        <f t="shared" si="63"/>
        <v>-</v>
      </c>
      <c r="DA42" s="2" t="str">
        <f t="shared" si="81"/>
        <v>-</v>
      </c>
      <c r="DB42" s="2"/>
      <c r="DC42" s="2" t="str">
        <f t="shared" si="64"/>
        <v>0-</v>
      </c>
      <c r="DD42" s="2" t="str">
        <f t="shared" si="78"/>
        <v>B</v>
      </c>
      <c r="DE42" s="16" t="str">
        <f t="shared" si="65"/>
        <v>-</v>
      </c>
      <c r="DF42" s="16" t="str">
        <f t="shared" si="66"/>
        <v>-</v>
      </c>
      <c r="DG42" s="64" t="str">
        <f t="shared" si="67"/>
        <v>-</v>
      </c>
      <c r="DK42" s="37" t="str">
        <f t="shared" si="68"/>
        <v>-</v>
      </c>
    </row>
    <row r="43" spans="1:117" x14ac:dyDescent="0.25">
      <c r="A43" s="68" t="s">
        <v>112</v>
      </c>
      <c r="B43" s="51"/>
      <c r="C43" s="5">
        <f t="shared" si="69"/>
        <v>-2209165200</v>
      </c>
      <c r="D43" s="5">
        <f t="shared" si="79"/>
        <v>0</v>
      </c>
      <c r="E43" s="37">
        <f t="shared" si="70"/>
        <v>-1053494.712638889</v>
      </c>
      <c r="F43" s="5">
        <f t="shared" si="0"/>
        <v>-1053494.712638889</v>
      </c>
      <c r="G43" s="46"/>
      <c r="H43" s="5" t="str">
        <f t="shared" si="71"/>
        <v>No</v>
      </c>
      <c r="I43" s="46"/>
      <c r="J43" s="46"/>
      <c r="K43" s="46"/>
      <c r="L43" s="47"/>
      <c r="M43" s="46"/>
      <c r="N43" s="37">
        <f t="shared" si="1"/>
        <v>0</v>
      </c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36">
        <f t="shared" si="2"/>
        <v>0</v>
      </c>
      <c r="AA43" s="36">
        <f t="shared" si="72"/>
        <v>0</v>
      </c>
      <c r="AB43" s="36">
        <f t="shared" si="73"/>
        <v>0</v>
      </c>
      <c r="AC43" s="17">
        <f t="shared" si="73"/>
        <v>0</v>
      </c>
      <c r="AD43" s="17">
        <f t="shared" si="3"/>
        <v>0</v>
      </c>
      <c r="AE43" s="17">
        <f t="shared" si="3"/>
        <v>0</v>
      </c>
      <c r="AF43" s="36">
        <f t="shared" si="4"/>
        <v>0</v>
      </c>
      <c r="AG43" s="36">
        <f t="shared" si="5"/>
        <v>0</v>
      </c>
      <c r="AH43" s="36">
        <f t="shared" si="74"/>
        <v>0</v>
      </c>
      <c r="AI43" s="36">
        <f t="shared" si="80"/>
        <v>0</v>
      </c>
      <c r="AJ43" s="67" t="s">
        <v>142</v>
      </c>
      <c r="AK43" s="37">
        <f t="shared" si="6"/>
        <v>0</v>
      </c>
      <c r="AL43" s="16" t="str">
        <f t="shared" si="7"/>
        <v>-</v>
      </c>
      <c r="AM43" s="18" t="str">
        <f t="shared" si="8"/>
        <v>-</v>
      </c>
      <c r="AN43" s="14" t="str">
        <f t="shared" si="9"/>
        <v>-</v>
      </c>
      <c r="AO43" s="14" t="str">
        <f t="shared" si="10"/>
        <v>-</v>
      </c>
      <c r="AP43" s="14" t="str">
        <f t="shared" si="11"/>
        <v>-</v>
      </c>
      <c r="AQ43" s="14" t="str">
        <f t="shared" si="12"/>
        <v>-</v>
      </c>
      <c r="AR43" s="14" t="str">
        <f t="shared" si="13"/>
        <v>-</v>
      </c>
      <c r="AS43" s="14" t="str">
        <f t="shared" si="14"/>
        <v>-</v>
      </c>
      <c r="AT43" s="14" t="str">
        <f t="shared" si="15"/>
        <v>-</v>
      </c>
      <c r="AU43" s="14" t="str">
        <f t="shared" si="16"/>
        <v>-</v>
      </c>
      <c r="AV43" s="14" t="str">
        <f t="shared" si="17"/>
        <v>-</v>
      </c>
      <c r="AW43" s="14" t="str">
        <f t="shared" si="18"/>
        <v>-</v>
      </c>
      <c r="AX43" s="14" t="str">
        <f t="shared" si="19"/>
        <v>-</v>
      </c>
      <c r="AY43" s="14" t="str">
        <f t="shared" si="20"/>
        <v>-</v>
      </c>
      <c r="AZ43" s="14" t="str">
        <f t="shared" si="21"/>
        <v>-</v>
      </c>
      <c r="BA43" s="14" t="str">
        <f t="shared" si="22"/>
        <v>-</v>
      </c>
      <c r="BB43" s="14" t="str">
        <f t="shared" si="23"/>
        <v>-</v>
      </c>
      <c r="BC43" s="45"/>
      <c r="BD43" s="45"/>
      <c r="BE43" s="45"/>
      <c r="BF43" s="45"/>
      <c r="BG43" s="36" t="str">
        <f t="shared" si="24"/>
        <v>-</v>
      </c>
      <c r="BH43" s="25" t="str">
        <f t="shared" si="75"/>
        <v>-</v>
      </c>
      <c r="BI43" s="14" t="str">
        <f t="shared" si="25"/>
        <v>-</v>
      </c>
      <c r="BJ43" s="2" t="str">
        <f t="shared" si="26"/>
        <v>-</v>
      </c>
      <c r="BK43" s="2" t="str">
        <f t="shared" si="27"/>
        <v>-</v>
      </c>
      <c r="BL43" s="2" t="str">
        <f t="shared" si="28"/>
        <v>-</v>
      </c>
      <c r="BM43" s="2" t="str">
        <f t="shared" si="29"/>
        <v>-</v>
      </c>
      <c r="BN43" s="2" t="str">
        <f t="shared" si="30"/>
        <v>-</v>
      </c>
      <c r="BO43" s="2" t="str">
        <f t="shared" si="31"/>
        <v>-</v>
      </c>
      <c r="BP43" s="2" t="str">
        <f t="shared" si="32"/>
        <v>-</v>
      </c>
      <c r="BQ43" s="2" t="str">
        <f t="shared" si="33"/>
        <v>-</v>
      </c>
      <c r="BR43" s="2" t="str">
        <f t="shared" si="34"/>
        <v>-</v>
      </c>
      <c r="BS43" s="2" t="str">
        <f t="shared" si="35"/>
        <v>-</v>
      </c>
      <c r="BT43" s="2" t="str">
        <f t="shared" si="36"/>
        <v>-</v>
      </c>
      <c r="BU43" s="2" t="str">
        <f t="shared" si="37"/>
        <v>-</v>
      </c>
      <c r="BV43" s="2" t="str">
        <f t="shared" si="38"/>
        <v>-</v>
      </c>
      <c r="BW43" s="2" t="str">
        <f t="shared" si="39"/>
        <v>-</v>
      </c>
      <c r="BX43" s="2" t="str">
        <f t="shared" si="40"/>
        <v>-</v>
      </c>
      <c r="BY43" s="20" t="str">
        <f t="shared" si="41"/>
        <v>-</v>
      </c>
      <c r="BZ43" s="20"/>
      <c r="CA43" s="20"/>
      <c r="CB43" s="20" t="str">
        <f t="shared" si="42"/>
        <v>-</v>
      </c>
      <c r="CC43" s="20" t="str">
        <f t="shared" si="43"/>
        <v>-</v>
      </c>
      <c r="CD43" s="20" t="str">
        <f t="shared" si="44"/>
        <v>-</v>
      </c>
      <c r="CE43" s="20" t="str">
        <f t="shared" si="45"/>
        <v>-</v>
      </c>
      <c r="CF43" s="2" t="str">
        <f t="shared" si="46"/>
        <v>-</v>
      </c>
      <c r="CG43" s="2">
        <f t="shared" si="47"/>
        <v>0</v>
      </c>
      <c r="CH43" s="37" t="str">
        <f t="shared" si="48"/>
        <v>-</v>
      </c>
      <c r="CI43" s="71"/>
      <c r="CJ43" s="37" t="str">
        <f t="shared" si="49"/>
        <v>-</v>
      </c>
      <c r="CK43" s="37" t="str">
        <f t="shared" si="50"/>
        <v>-</v>
      </c>
      <c r="CL43" s="37" t="str">
        <f t="shared" si="51"/>
        <v>-</v>
      </c>
      <c r="CM43" s="37" t="str">
        <f t="shared" si="52"/>
        <v>-</v>
      </c>
      <c r="CN43" s="37" t="str">
        <f t="shared" si="53"/>
        <v>-</v>
      </c>
      <c r="CO43" s="13" t="str">
        <f t="shared" si="54"/>
        <v>-</v>
      </c>
      <c r="CP43" s="37" t="str">
        <f t="shared" si="55"/>
        <v>-</v>
      </c>
      <c r="CQ43" s="2" t="str">
        <f t="shared" si="56"/>
        <v>-</v>
      </c>
      <c r="CR43" s="2" t="str">
        <f t="shared" si="57"/>
        <v>-</v>
      </c>
      <c r="CS43" s="37" t="str">
        <f t="shared" si="58"/>
        <v>-</v>
      </c>
      <c r="CT43" s="37" t="str">
        <f t="shared" si="59"/>
        <v>-</v>
      </c>
      <c r="CU43" s="37">
        <f t="shared" si="77"/>
        <v>0</v>
      </c>
      <c r="CV43" s="37" t="e">
        <f t="shared" si="82"/>
        <v>#VALUE!</v>
      </c>
      <c r="CW43" s="37" t="str">
        <f t="shared" si="60"/>
        <v>-</v>
      </c>
      <c r="CX43" s="13" t="str">
        <f t="shared" si="61"/>
        <v>-</v>
      </c>
      <c r="CY43" s="13" t="str">
        <f t="shared" si="62"/>
        <v>-</v>
      </c>
      <c r="CZ43" s="2" t="str">
        <f t="shared" si="63"/>
        <v>-</v>
      </c>
      <c r="DA43" s="2" t="str">
        <f t="shared" si="81"/>
        <v>-</v>
      </c>
      <c r="DB43" s="2"/>
      <c r="DC43" s="2" t="str">
        <f t="shared" si="64"/>
        <v>0-</v>
      </c>
      <c r="DD43" s="2" t="str">
        <f t="shared" si="78"/>
        <v>B</v>
      </c>
      <c r="DE43" s="16" t="str">
        <f t="shared" si="65"/>
        <v>-</v>
      </c>
      <c r="DF43" s="16" t="str">
        <f t="shared" si="66"/>
        <v>-</v>
      </c>
      <c r="DG43" s="64" t="str">
        <f t="shared" si="67"/>
        <v>-</v>
      </c>
      <c r="DK43" s="37" t="str">
        <f t="shared" si="68"/>
        <v>-</v>
      </c>
    </row>
    <row r="44" spans="1:117" x14ac:dyDescent="0.25">
      <c r="A44" s="22" t="s">
        <v>113</v>
      </c>
      <c r="B44" s="51"/>
      <c r="C44" s="5">
        <f t="shared" si="69"/>
        <v>-2209165200</v>
      </c>
      <c r="D44" s="5">
        <f t="shared" si="79"/>
        <v>0</v>
      </c>
      <c r="E44" s="37">
        <f t="shared" si="70"/>
        <v>-1053494.712638889</v>
      </c>
      <c r="F44" s="5">
        <f t="shared" si="0"/>
        <v>-1053494.712638889</v>
      </c>
      <c r="G44" s="46"/>
      <c r="H44" s="5" t="str">
        <f t="shared" si="71"/>
        <v>No</v>
      </c>
      <c r="I44" s="46"/>
      <c r="J44" s="46"/>
      <c r="K44" s="46"/>
      <c r="L44" s="47"/>
      <c r="M44" s="46"/>
      <c r="N44" s="37">
        <f t="shared" si="1"/>
        <v>0</v>
      </c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36">
        <f t="shared" si="2"/>
        <v>0</v>
      </c>
      <c r="AA44" s="36">
        <f t="shared" si="72"/>
        <v>0</v>
      </c>
      <c r="AB44" s="36">
        <f t="shared" si="73"/>
        <v>0</v>
      </c>
      <c r="AC44" s="17">
        <f t="shared" si="73"/>
        <v>0</v>
      </c>
      <c r="AD44" s="17">
        <f t="shared" si="3"/>
        <v>0</v>
      </c>
      <c r="AE44" s="17">
        <f t="shared" si="3"/>
        <v>0</v>
      </c>
      <c r="AF44" s="36">
        <f t="shared" si="4"/>
        <v>0</v>
      </c>
      <c r="AG44" s="36">
        <f t="shared" si="5"/>
        <v>0</v>
      </c>
      <c r="AH44" s="36">
        <f t="shared" si="74"/>
        <v>0</v>
      </c>
      <c r="AI44" s="36">
        <f t="shared" si="80"/>
        <v>0</v>
      </c>
      <c r="AJ44" s="67" t="s">
        <v>142</v>
      </c>
      <c r="AK44" s="37">
        <f t="shared" si="6"/>
        <v>0</v>
      </c>
      <c r="AL44" s="16" t="str">
        <f t="shared" si="7"/>
        <v>-</v>
      </c>
      <c r="AM44" s="18" t="str">
        <f t="shared" si="8"/>
        <v>-</v>
      </c>
      <c r="AN44" s="14" t="str">
        <f t="shared" si="9"/>
        <v>-</v>
      </c>
      <c r="AO44" s="14" t="str">
        <f t="shared" si="10"/>
        <v>-</v>
      </c>
      <c r="AP44" s="14" t="str">
        <f t="shared" si="11"/>
        <v>-</v>
      </c>
      <c r="AQ44" s="14" t="str">
        <f t="shared" si="12"/>
        <v>-</v>
      </c>
      <c r="AR44" s="14" t="str">
        <f t="shared" si="13"/>
        <v>-</v>
      </c>
      <c r="AS44" s="14" t="str">
        <f t="shared" si="14"/>
        <v>-</v>
      </c>
      <c r="AT44" s="14" t="str">
        <f t="shared" si="15"/>
        <v>-</v>
      </c>
      <c r="AU44" s="14" t="str">
        <f t="shared" si="16"/>
        <v>-</v>
      </c>
      <c r="AV44" s="14" t="str">
        <f t="shared" si="17"/>
        <v>-</v>
      </c>
      <c r="AW44" s="14" t="str">
        <f t="shared" si="18"/>
        <v>-</v>
      </c>
      <c r="AX44" s="14" t="str">
        <f t="shared" si="19"/>
        <v>-</v>
      </c>
      <c r="AY44" s="14" t="str">
        <f t="shared" si="20"/>
        <v>-</v>
      </c>
      <c r="AZ44" s="14" t="str">
        <f t="shared" si="21"/>
        <v>-</v>
      </c>
      <c r="BA44" s="14" t="str">
        <f t="shared" si="22"/>
        <v>-</v>
      </c>
      <c r="BB44" s="14" t="str">
        <f t="shared" si="23"/>
        <v>-</v>
      </c>
      <c r="BC44" s="45"/>
      <c r="BD44" s="45"/>
      <c r="BE44" s="45"/>
      <c r="BF44" s="45"/>
      <c r="BG44" s="36" t="str">
        <f t="shared" si="24"/>
        <v>-</v>
      </c>
      <c r="BH44" s="25" t="str">
        <f t="shared" si="75"/>
        <v>-</v>
      </c>
      <c r="BI44" s="14" t="str">
        <f t="shared" si="25"/>
        <v>-</v>
      </c>
      <c r="BJ44" s="2" t="str">
        <f t="shared" si="26"/>
        <v>-</v>
      </c>
      <c r="BK44" s="2" t="str">
        <f t="shared" si="27"/>
        <v>-</v>
      </c>
      <c r="BL44" s="2" t="str">
        <f t="shared" si="28"/>
        <v>-</v>
      </c>
      <c r="BM44" s="2" t="str">
        <f t="shared" si="29"/>
        <v>-</v>
      </c>
      <c r="BN44" s="2" t="str">
        <f t="shared" si="30"/>
        <v>-</v>
      </c>
      <c r="BO44" s="2" t="str">
        <f t="shared" si="31"/>
        <v>-</v>
      </c>
      <c r="BP44" s="2" t="str">
        <f t="shared" si="32"/>
        <v>-</v>
      </c>
      <c r="BQ44" s="2" t="str">
        <f t="shared" si="33"/>
        <v>-</v>
      </c>
      <c r="BR44" s="2" t="str">
        <f t="shared" si="34"/>
        <v>-</v>
      </c>
      <c r="BS44" s="2" t="str">
        <f t="shared" si="35"/>
        <v>-</v>
      </c>
      <c r="BT44" s="2" t="str">
        <f t="shared" si="36"/>
        <v>-</v>
      </c>
      <c r="BU44" s="2" t="str">
        <f t="shared" si="37"/>
        <v>-</v>
      </c>
      <c r="BV44" s="2" t="str">
        <f t="shared" si="38"/>
        <v>-</v>
      </c>
      <c r="BW44" s="2" t="str">
        <f t="shared" si="39"/>
        <v>-</v>
      </c>
      <c r="BX44" s="2" t="str">
        <f t="shared" si="40"/>
        <v>-</v>
      </c>
      <c r="BY44" s="20" t="str">
        <f t="shared" si="41"/>
        <v>-</v>
      </c>
      <c r="BZ44" s="20"/>
      <c r="CA44" s="20"/>
      <c r="CB44" s="20" t="str">
        <f t="shared" si="42"/>
        <v>-</v>
      </c>
      <c r="CC44" s="20" t="str">
        <f t="shared" si="43"/>
        <v>-</v>
      </c>
      <c r="CD44" s="20" t="str">
        <f t="shared" si="44"/>
        <v>-</v>
      </c>
      <c r="CE44" s="20" t="str">
        <f t="shared" si="45"/>
        <v>-</v>
      </c>
      <c r="CF44" s="2" t="str">
        <f t="shared" si="46"/>
        <v>-</v>
      </c>
      <c r="CG44" s="2">
        <f t="shared" si="47"/>
        <v>0</v>
      </c>
      <c r="CH44" s="37" t="str">
        <f t="shared" si="48"/>
        <v>-</v>
      </c>
      <c r="CI44" s="71"/>
      <c r="CJ44" s="37" t="str">
        <f t="shared" si="49"/>
        <v>-</v>
      </c>
      <c r="CK44" s="37" t="str">
        <f t="shared" si="50"/>
        <v>-</v>
      </c>
      <c r="CL44" s="37" t="str">
        <f t="shared" si="51"/>
        <v>-</v>
      </c>
      <c r="CM44" s="37" t="str">
        <f t="shared" si="52"/>
        <v>-</v>
      </c>
      <c r="CN44" s="37" t="str">
        <f t="shared" si="53"/>
        <v>-</v>
      </c>
      <c r="CO44" s="13" t="str">
        <f t="shared" si="54"/>
        <v>-</v>
      </c>
      <c r="CP44" s="37" t="str">
        <f t="shared" si="55"/>
        <v>-</v>
      </c>
      <c r="CQ44" s="2" t="str">
        <f t="shared" si="56"/>
        <v>-</v>
      </c>
      <c r="CR44" s="2" t="str">
        <f t="shared" si="57"/>
        <v>-</v>
      </c>
      <c r="CS44" s="37" t="str">
        <f t="shared" si="58"/>
        <v>-</v>
      </c>
      <c r="CT44" s="37" t="str">
        <f t="shared" si="59"/>
        <v>-</v>
      </c>
      <c r="CU44" s="37">
        <f t="shared" si="77"/>
        <v>0</v>
      </c>
      <c r="CV44" s="37" t="e">
        <f t="shared" si="82"/>
        <v>#VALUE!</v>
      </c>
      <c r="CW44" s="37" t="str">
        <f t="shared" si="60"/>
        <v>-</v>
      </c>
      <c r="CX44" s="13" t="str">
        <f t="shared" si="61"/>
        <v>-</v>
      </c>
      <c r="CY44" s="13" t="str">
        <f t="shared" si="62"/>
        <v>-</v>
      </c>
      <c r="CZ44" s="2" t="str">
        <f t="shared" si="63"/>
        <v>-</v>
      </c>
      <c r="DA44" s="2" t="str">
        <f t="shared" si="81"/>
        <v>-</v>
      </c>
      <c r="DB44" s="2"/>
      <c r="DC44" s="2" t="str">
        <f t="shared" si="64"/>
        <v>0-</v>
      </c>
      <c r="DD44" s="2" t="str">
        <f t="shared" si="78"/>
        <v>B</v>
      </c>
      <c r="DE44" s="16" t="str">
        <f t="shared" si="65"/>
        <v>-</v>
      </c>
      <c r="DF44" s="16" t="str">
        <f t="shared" si="66"/>
        <v>-</v>
      </c>
      <c r="DG44" s="64" t="str">
        <f t="shared" si="67"/>
        <v>-</v>
      </c>
      <c r="DK44" s="37" t="str">
        <f t="shared" si="68"/>
        <v>-</v>
      </c>
    </row>
    <row r="45" spans="1:117" x14ac:dyDescent="0.25">
      <c r="A45" s="22" t="s">
        <v>157</v>
      </c>
      <c r="B45" s="51"/>
      <c r="C45" s="5">
        <f t="shared" si="69"/>
        <v>-2209165200</v>
      </c>
      <c r="D45" s="5">
        <f t="shared" si="79"/>
        <v>0</v>
      </c>
      <c r="E45" s="37">
        <f t="shared" si="70"/>
        <v>-1053494.712638889</v>
      </c>
      <c r="F45" s="5">
        <f t="shared" si="0"/>
        <v>-1053494.712638889</v>
      </c>
      <c r="G45" s="48"/>
      <c r="H45" s="5" t="str">
        <f t="shared" si="71"/>
        <v>No</v>
      </c>
      <c r="I45" s="46"/>
      <c r="J45" s="46"/>
      <c r="K45" s="46"/>
      <c r="L45" s="47"/>
      <c r="M45" s="47"/>
      <c r="N45" s="37">
        <f t="shared" si="1"/>
        <v>0</v>
      </c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36">
        <f t="shared" si="2"/>
        <v>0</v>
      </c>
      <c r="AA45" s="36">
        <f t="shared" si="72"/>
        <v>0</v>
      </c>
      <c r="AB45" s="36">
        <f t="shared" si="73"/>
        <v>0</v>
      </c>
      <c r="AC45" s="17">
        <f t="shared" si="73"/>
        <v>0</v>
      </c>
      <c r="AD45" s="17">
        <f t="shared" si="3"/>
        <v>0</v>
      </c>
      <c r="AE45" s="17">
        <f t="shared" si="3"/>
        <v>0</v>
      </c>
      <c r="AF45" s="36">
        <f t="shared" si="4"/>
        <v>0</v>
      </c>
      <c r="AG45" s="36">
        <f t="shared" si="5"/>
        <v>0</v>
      </c>
      <c r="AH45" s="36">
        <f t="shared" si="74"/>
        <v>0</v>
      </c>
      <c r="AI45" s="36">
        <f t="shared" si="80"/>
        <v>0</v>
      </c>
      <c r="AJ45" s="67"/>
      <c r="AK45" s="37">
        <f t="shared" si="6"/>
        <v>0</v>
      </c>
      <c r="AL45" s="16" t="str">
        <f t="shared" si="7"/>
        <v>-</v>
      </c>
      <c r="AM45" s="18" t="str">
        <f t="shared" si="8"/>
        <v>-</v>
      </c>
      <c r="AN45" s="14" t="str">
        <f t="shared" si="9"/>
        <v>-</v>
      </c>
      <c r="AO45" s="14" t="str">
        <f t="shared" si="10"/>
        <v>-</v>
      </c>
      <c r="AP45" s="14" t="str">
        <f t="shared" si="11"/>
        <v>-</v>
      </c>
      <c r="AQ45" s="14" t="str">
        <f t="shared" si="12"/>
        <v>-</v>
      </c>
      <c r="AR45" s="14" t="str">
        <f t="shared" si="13"/>
        <v>-</v>
      </c>
      <c r="AS45" s="14" t="str">
        <f t="shared" si="14"/>
        <v>-</v>
      </c>
      <c r="AT45" s="14" t="str">
        <f t="shared" si="15"/>
        <v>-</v>
      </c>
      <c r="AU45" s="14" t="str">
        <f t="shared" si="16"/>
        <v>-</v>
      </c>
      <c r="AV45" s="14" t="str">
        <f t="shared" si="17"/>
        <v>-</v>
      </c>
      <c r="AW45" s="14" t="str">
        <f t="shared" si="18"/>
        <v>-</v>
      </c>
      <c r="AX45" s="14" t="str">
        <f t="shared" si="19"/>
        <v>-</v>
      </c>
      <c r="AY45" s="14" t="str">
        <f t="shared" si="20"/>
        <v>-</v>
      </c>
      <c r="AZ45" s="14" t="str">
        <f t="shared" si="21"/>
        <v>-</v>
      </c>
      <c r="BA45" s="14" t="str">
        <f t="shared" si="22"/>
        <v>-</v>
      </c>
      <c r="BB45" s="14" t="str">
        <f t="shared" si="23"/>
        <v>-</v>
      </c>
      <c r="BC45" s="45"/>
      <c r="BD45" s="45"/>
      <c r="BE45" s="45"/>
      <c r="BF45" s="45"/>
      <c r="BG45" s="36" t="str">
        <f t="shared" si="24"/>
        <v>-</v>
      </c>
      <c r="BH45" s="25" t="str">
        <f t="shared" si="75"/>
        <v>-</v>
      </c>
      <c r="BI45" s="14" t="str">
        <f t="shared" si="25"/>
        <v>-</v>
      </c>
      <c r="BJ45" s="2" t="str">
        <f t="shared" si="26"/>
        <v>-</v>
      </c>
      <c r="BK45" s="2" t="str">
        <f t="shared" si="27"/>
        <v>-</v>
      </c>
      <c r="BL45" s="2" t="str">
        <f t="shared" si="28"/>
        <v>-</v>
      </c>
      <c r="BM45" s="2" t="str">
        <f t="shared" si="29"/>
        <v>-</v>
      </c>
      <c r="BN45" s="2" t="str">
        <f t="shared" si="30"/>
        <v>-</v>
      </c>
      <c r="BO45" s="2" t="str">
        <f t="shared" si="31"/>
        <v>-</v>
      </c>
      <c r="BP45" s="2" t="str">
        <f t="shared" si="32"/>
        <v>-</v>
      </c>
      <c r="BQ45" s="2" t="str">
        <f t="shared" si="33"/>
        <v>-</v>
      </c>
      <c r="BR45" s="2" t="str">
        <f t="shared" si="34"/>
        <v>-</v>
      </c>
      <c r="BS45" s="2" t="str">
        <f t="shared" si="35"/>
        <v>-</v>
      </c>
      <c r="BT45" s="2" t="str">
        <f t="shared" si="36"/>
        <v>-</v>
      </c>
      <c r="BU45" s="2" t="str">
        <f t="shared" si="37"/>
        <v>-</v>
      </c>
      <c r="BV45" s="2" t="str">
        <f t="shared" si="38"/>
        <v>-</v>
      </c>
      <c r="BW45" s="2" t="str">
        <f t="shared" si="39"/>
        <v>-</v>
      </c>
      <c r="BX45" s="2" t="str">
        <f t="shared" si="40"/>
        <v>-</v>
      </c>
      <c r="BY45" s="20" t="str">
        <f t="shared" si="41"/>
        <v>-</v>
      </c>
      <c r="BZ45" s="20"/>
      <c r="CA45" s="20"/>
      <c r="CB45" s="20" t="str">
        <f t="shared" si="42"/>
        <v>-</v>
      </c>
      <c r="CC45" s="20" t="str">
        <f t="shared" si="43"/>
        <v>-</v>
      </c>
      <c r="CD45" s="20" t="str">
        <f t="shared" si="44"/>
        <v>-</v>
      </c>
      <c r="CE45" s="20" t="str">
        <f t="shared" si="45"/>
        <v>-</v>
      </c>
      <c r="CF45" s="2" t="str">
        <f t="shared" si="46"/>
        <v>-</v>
      </c>
      <c r="CG45" s="2">
        <f t="shared" si="47"/>
        <v>0</v>
      </c>
      <c r="CH45" s="37" t="str">
        <f t="shared" si="48"/>
        <v>-</v>
      </c>
      <c r="CI45" s="71"/>
      <c r="CJ45" s="37" t="str">
        <f t="shared" si="49"/>
        <v>-</v>
      </c>
      <c r="CK45" s="37" t="str">
        <f t="shared" si="50"/>
        <v>-</v>
      </c>
      <c r="CL45" s="37" t="str">
        <f t="shared" si="51"/>
        <v>-</v>
      </c>
      <c r="CM45" s="37" t="str">
        <f t="shared" si="52"/>
        <v>-</v>
      </c>
      <c r="CN45" s="37" t="str">
        <f t="shared" si="53"/>
        <v>-</v>
      </c>
      <c r="CO45" s="13" t="str">
        <f t="shared" si="54"/>
        <v>-</v>
      </c>
      <c r="CP45" s="37" t="str">
        <f t="shared" si="55"/>
        <v>-</v>
      </c>
      <c r="CQ45" s="2" t="str">
        <f t="shared" si="56"/>
        <v>-</v>
      </c>
      <c r="CR45" s="2" t="str">
        <f t="shared" si="57"/>
        <v>-</v>
      </c>
      <c r="CS45" s="37" t="str">
        <f t="shared" si="58"/>
        <v>-</v>
      </c>
      <c r="CT45" s="37" t="str">
        <f t="shared" si="59"/>
        <v>-</v>
      </c>
      <c r="CU45" s="37">
        <f t="shared" si="77"/>
        <v>0</v>
      </c>
      <c r="CV45" s="37"/>
      <c r="CW45" s="37" t="str">
        <f t="shared" si="60"/>
        <v>-</v>
      </c>
      <c r="CX45" s="13" t="str">
        <f t="shared" si="61"/>
        <v>-</v>
      </c>
      <c r="CY45" s="13" t="str">
        <f t="shared" si="62"/>
        <v>-</v>
      </c>
      <c r="CZ45" s="2" t="str">
        <f t="shared" si="63"/>
        <v>-</v>
      </c>
      <c r="DA45" s="2" t="str">
        <f t="shared" si="81"/>
        <v>-</v>
      </c>
      <c r="DB45" s="2"/>
      <c r="DC45" s="2" t="str">
        <f t="shared" si="64"/>
        <v>0-</v>
      </c>
      <c r="DD45" s="2" t="str">
        <f t="shared" si="78"/>
        <v>B</v>
      </c>
      <c r="DE45" s="16" t="str">
        <f t="shared" si="65"/>
        <v>-</v>
      </c>
      <c r="DF45" s="16" t="str">
        <f t="shared" si="66"/>
        <v>-</v>
      </c>
      <c r="DG45" s="64" t="str">
        <f t="shared" si="67"/>
        <v>-</v>
      </c>
      <c r="DK45" s="37" t="str">
        <f t="shared" si="68"/>
        <v>-</v>
      </c>
    </row>
    <row r="46" spans="1:117" x14ac:dyDescent="0.25">
      <c r="A46" s="22" t="s">
        <v>158</v>
      </c>
      <c r="B46" s="51"/>
      <c r="C46" s="5">
        <f t="shared" si="69"/>
        <v>-2209165200</v>
      </c>
      <c r="D46" s="5">
        <f t="shared" si="79"/>
        <v>0</v>
      </c>
      <c r="E46" s="37">
        <f t="shared" si="70"/>
        <v>-1053494.712638889</v>
      </c>
      <c r="F46" s="5">
        <f t="shared" si="0"/>
        <v>-1053494.712638889</v>
      </c>
      <c r="G46" s="48"/>
      <c r="H46" s="5" t="str">
        <f t="shared" si="71"/>
        <v>No</v>
      </c>
      <c r="I46" s="46"/>
      <c r="J46" s="46"/>
      <c r="K46" s="46"/>
      <c r="L46" s="47"/>
      <c r="M46" s="47"/>
      <c r="N46" s="37">
        <f t="shared" si="1"/>
        <v>0</v>
      </c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36">
        <f t="shared" si="2"/>
        <v>0</v>
      </c>
      <c r="AA46" s="36">
        <f t="shared" si="72"/>
        <v>0</v>
      </c>
      <c r="AB46" s="36">
        <f t="shared" si="73"/>
        <v>0</v>
      </c>
      <c r="AC46" s="17">
        <f t="shared" si="73"/>
        <v>0</v>
      </c>
      <c r="AD46" s="17">
        <f t="shared" si="3"/>
        <v>0</v>
      </c>
      <c r="AE46" s="17">
        <f t="shared" si="3"/>
        <v>0</v>
      </c>
      <c r="AF46" s="36">
        <f t="shared" si="4"/>
        <v>0</v>
      </c>
      <c r="AG46" s="36">
        <f t="shared" si="5"/>
        <v>0</v>
      </c>
      <c r="AH46" s="36">
        <f t="shared" si="74"/>
        <v>0</v>
      </c>
      <c r="AI46" s="36">
        <f t="shared" si="80"/>
        <v>0</v>
      </c>
      <c r="AJ46" s="67"/>
      <c r="AK46" s="37">
        <f t="shared" si="6"/>
        <v>0</v>
      </c>
      <c r="AL46" s="16" t="str">
        <f t="shared" si="7"/>
        <v>-</v>
      </c>
      <c r="AM46" s="18" t="str">
        <f t="shared" si="8"/>
        <v>-</v>
      </c>
      <c r="AN46" s="14" t="str">
        <f t="shared" si="9"/>
        <v>-</v>
      </c>
      <c r="AO46" s="14" t="str">
        <f t="shared" si="10"/>
        <v>-</v>
      </c>
      <c r="AP46" s="14" t="str">
        <f t="shared" si="11"/>
        <v>-</v>
      </c>
      <c r="AQ46" s="14" t="str">
        <f t="shared" si="12"/>
        <v>-</v>
      </c>
      <c r="AR46" s="14" t="str">
        <f t="shared" si="13"/>
        <v>-</v>
      </c>
      <c r="AS46" s="14" t="str">
        <f t="shared" si="14"/>
        <v>-</v>
      </c>
      <c r="AT46" s="14" t="str">
        <f t="shared" si="15"/>
        <v>-</v>
      </c>
      <c r="AU46" s="14" t="str">
        <f t="shared" si="16"/>
        <v>-</v>
      </c>
      <c r="AV46" s="14" t="str">
        <f t="shared" si="17"/>
        <v>-</v>
      </c>
      <c r="AW46" s="14" t="str">
        <f t="shared" si="18"/>
        <v>-</v>
      </c>
      <c r="AX46" s="14" t="str">
        <f t="shared" si="19"/>
        <v>-</v>
      </c>
      <c r="AY46" s="14" t="str">
        <f t="shared" si="20"/>
        <v>-</v>
      </c>
      <c r="AZ46" s="14" t="str">
        <f t="shared" si="21"/>
        <v>-</v>
      </c>
      <c r="BA46" s="14" t="str">
        <f t="shared" si="22"/>
        <v>-</v>
      </c>
      <c r="BB46" s="14" t="str">
        <f t="shared" si="23"/>
        <v>-</v>
      </c>
      <c r="BC46" s="45"/>
      <c r="BD46" s="45"/>
      <c r="BE46" s="45"/>
      <c r="BF46" s="45"/>
      <c r="BG46" s="36" t="str">
        <f t="shared" si="24"/>
        <v>-</v>
      </c>
      <c r="BH46" s="25" t="str">
        <f t="shared" si="75"/>
        <v>-</v>
      </c>
      <c r="BI46" s="14" t="str">
        <f t="shared" si="25"/>
        <v>-</v>
      </c>
      <c r="BJ46" s="2" t="str">
        <f t="shared" si="26"/>
        <v>-</v>
      </c>
      <c r="BK46" s="2" t="str">
        <f t="shared" si="27"/>
        <v>-</v>
      </c>
      <c r="BL46" s="2" t="str">
        <f t="shared" si="28"/>
        <v>-</v>
      </c>
      <c r="BM46" s="2" t="str">
        <f t="shared" si="29"/>
        <v>-</v>
      </c>
      <c r="BN46" s="2" t="str">
        <f t="shared" si="30"/>
        <v>-</v>
      </c>
      <c r="BO46" s="2" t="str">
        <f t="shared" si="31"/>
        <v>-</v>
      </c>
      <c r="BP46" s="2" t="str">
        <f t="shared" si="32"/>
        <v>-</v>
      </c>
      <c r="BQ46" s="2" t="str">
        <f t="shared" si="33"/>
        <v>-</v>
      </c>
      <c r="BR46" s="2" t="str">
        <f t="shared" si="34"/>
        <v>-</v>
      </c>
      <c r="BS46" s="2" t="str">
        <f t="shared" si="35"/>
        <v>-</v>
      </c>
      <c r="BT46" s="2" t="str">
        <f t="shared" si="36"/>
        <v>-</v>
      </c>
      <c r="BU46" s="2" t="str">
        <f t="shared" si="37"/>
        <v>-</v>
      </c>
      <c r="BV46" s="2" t="str">
        <f t="shared" si="38"/>
        <v>-</v>
      </c>
      <c r="BW46" s="2" t="str">
        <f t="shared" si="39"/>
        <v>-</v>
      </c>
      <c r="BX46" s="2" t="str">
        <f t="shared" si="40"/>
        <v>-</v>
      </c>
      <c r="BY46" s="20" t="str">
        <f t="shared" si="41"/>
        <v>-</v>
      </c>
      <c r="BZ46" s="20"/>
      <c r="CA46" s="20"/>
      <c r="CB46" s="20" t="str">
        <f t="shared" si="42"/>
        <v>-</v>
      </c>
      <c r="CC46" s="20" t="str">
        <f t="shared" si="43"/>
        <v>-</v>
      </c>
      <c r="CD46" s="20" t="str">
        <f t="shared" si="44"/>
        <v>-</v>
      </c>
      <c r="CE46" s="20" t="str">
        <f t="shared" si="45"/>
        <v>-</v>
      </c>
      <c r="CF46" s="2" t="str">
        <f t="shared" si="46"/>
        <v>-</v>
      </c>
      <c r="CG46" s="2">
        <f t="shared" si="47"/>
        <v>0</v>
      </c>
      <c r="CH46" s="37" t="str">
        <f t="shared" si="48"/>
        <v>-</v>
      </c>
      <c r="CI46" s="71"/>
      <c r="CJ46" s="37" t="str">
        <f t="shared" si="49"/>
        <v>-</v>
      </c>
      <c r="CK46" s="37" t="str">
        <f t="shared" si="50"/>
        <v>-</v>
      </c>
      <c r="CL46" s="37" t="str">
        <f t="shared" si="51"/>
        <v>-</v>
      </c>
      <c r="CM46" s="37" t="str">
        <f t="shared" si="52"/>
        <v>-</v>
      </c>
      <c r="CN46" s="37" t="str">
        <f t="shared" si="53"/>
        <v>-</v>
      </c>
      <c r="CO46" s="13" t="str">
        <f t="shared" si="54"/>
        <v>-</v>
      </c>
      <c r="CP46" s="37" t="str">
        <f t="shared" si="55"/>
        <v>-</v>
      </c>
      <c r="CQ46" s="2" t="str">
        <f t="shared" si="56"/>
        <v>-</v>
      </c>
      <c r="CR46" s="2" t="str">
        <f t="shared" si="57"/>
        <v>-</v>
      </c>
      <c r="CS46" s="37" t="str">
        <f t="shared" si="58"/>
        <v>-</v>
      </c>
      <c r="CT46" s="37" t="str">
        <f t="shared" si="59"/>
        <v>-</v>
      </c>
      <c r="CU46" s="37">
        <f t="shared" si="77"/>
        <v>0</v>
      </c>
      <c r="CV46" s="37"/>
      <c r="CW46" s="37" t="str">
        <f t="shared" si="60"/>
        <v>-</v>
      </c>
      <c r="CX46" s="13" t="str">
        <f t="shared" si="61"/>
        <v>-</v>
      </c>
      <c r="CY46" s="13" t="str">
        <f t="shared" si="62"/>
        <v>-</v>
      </c>
      <c r="CZ46" s="2" t="str">
        <f t="shared" si="63"/>
        <v>-</v>
      </c>
      <c r="DA46" s="2" t="str">
        <f t="shared" si="81"/>
        <v>-</v>
      </c>
      <c r="DB46" s="2"/>
      <c r="DC46" s="2" t="str">
        <f t="shared" si="64"/>
        <v>0-</v>
      </c>
      <c r="DD46" s="2" t="str">
        <f t="shared" si="78"/>
        <v>B</v>
      </c>
      <c r="DE46" s="16" t="str">
        <f t="shared" si="65"/>
        <v>-</v>
      </c>
      <c r="DF46" s="16" t="str">
        <f t="shared" si="66"/>
        <v>-</v>
      </c>
      <c r="DG46" s="64" t="str">
        <f t="shared" si="67"/>
        <v>-</v>
      </c>
      <c r="DK46" s="37" t="str">
        <f t="shared" si="68"/>
        <v>-</v>
      </c>
    </row>
    <row r="47" spans="1:117" x14ac:dyDescent="0.25">
      <c r="A47" s="68" t="s">
        <v>159</v>
      </c>
      <c r="B47" s="51"/>
      <c r="C47" s="5">
        <f t="shared" si="69"/>
        <v>-2209165200</v>
      </c>
      <c r="D47" s="5">
        <f t="shared" si="79"/>
        <v>0</v>
      </c>
      <c r="E47" s="37">
        <f t="shared" si="70"/>
        <v>-1053494.712638889</v>
      </c>
      <c r="F47" s="5">
        <f t="shared" si="0"/>
        <v>-1053494.712638889</v>
      </c>
      <c r="G47" s="48"/>
      <c r="H47" s="5" t="str">
        <f t="shared" si="71"/>
        <v>No</v>
      </c>
      <c r="I47" s="46"/>
      <c r="J47" s="46"/>
      <c r="K47" s="46"/>
      <c r="L47" s="47"/>
      <c r="M47" s="47"/>
      <c r="N47" s="37">
        <f t="shared" si="1"/>
        <v>0</v>
      </c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36">
        <f t="shared" si="2"/>
        <v>0</v>
      </c>
      <c r="AA47" s="36">
        <f t="shared" si="72"/>
        <v>0</v>
      </c>
      <c r="AB47" s="36">
        <f t="shared" si="73"/>
        <v>0</v>
      </c>
      <c r="AC47" s="17">
        <f t="shared" si="73"/>
        <v>0</v>
      </c>
      <c r="AD47" s="17">
        <f t="shared" si="3"/>
        <v>0</v>
      </c>
      <c r="AE47" s="17">
        <f t="shared" si="3"/>
        <v>0</v>
      </c>
      <c r="AF47" s="36">
        <f t="shared" si="4"/>
        <v>0</v>
      </c>
      <c r="AG47" s="36">
        <f t="shared" si="5"/>
        <v>0</v>
      </c>
      <c r="AH47" s="36">
        <f t="shared" si="74"/>
        <v>0</v>
      </c>
      <c r="AI47" s="36">
        <f t="shared" si="80"/>
        <v>0</v>
      </c>
      <c r="AJ47" s="67"/>
      <c r="AK47" s="37">
        <f t="shared" si="6"/>
        <v>0</v>
      </c>
      <c r="AL47" s="16" t="str">
        <f t="shared" si="7"/>
        <v>-</v>
      </c>
      <c r="AM47" s="18" t="str">
        <f t="shared" si="8"/>
        <v>-</v>
      </c>
      <c r="AN47" s="14" t="str">
        <f t="shared" si="9"/>
        <v>-</v>
      </c>
      <c r="AO47" s="14" t="str">
        <f t="shared" si="10"/>
        <v>-</v>
      </c>
      <c r="AP47" s="14" t="str">
        <f t="shared" si="11"/>
        <v>-</v>
      </c>
      <c r="AQ47" s="14" t="str">
        <f t="shared" si="12"/>
        <v>-</v>
      </c>
      <c r="AR47" s="14" t="str">
        <f t="shared" si="13"/>
        <v>-</v>
      </c>
      <c r="AS47" s="14" t="str">
        <f t="shared" si="14"/>
        <v>-</v>
      </c>
      <c r="AT47" s="14" t="str">
        <f t="shared" si="15"/>
        <v>-</v>
      </c>
      <c r="AU47" s="14" t="str">
        <f t="shared" si="16"/>
        <v>-</v>
      </c>
      <c r="AV47" s="14" t="str">
        <f t="shared" si="17"/>
        <v>-</v>
      </c>
      <c r="AW47" s="14" t="str">
        <f t="shared" si="18"/>
        <v>-</v>
      </c>
      <c r="AX47" s="14" t="str">
        <f t="shared" si="19"/>
        <v>-</v>
      </c>
      <c r="AY47" s="14" t="str">
        <f t="shared" si="20"/>
        <v>-</v>
      </c>
      <c r="AZ47" s="14" t="str">
        <f t="shared" si="21"/>
        <v>-</v>
      </c>
      <c r="BA47" s="14" t="str">
        <f t="shared" si="22"/>
        <v>-</v>
      </c>
      <c r="BB47" s="14" t="str">
        <f t="shared" si="23"/>
        <v>-</v>
      </c>
      <c r="BC47" s="45"/>
      <c r="BD47" s="45"/>
      <c r="BE47" s="45"/>
      <c r="BF47" s="45"/>
      <c r="BG47" s="36" t="str">
        <f t="shared" si="24"/>
        <v>-</v>
      </c>
      <c r="BH47" s="25" t="str">
        <f t="shared" si="75"/>
        <v>-</v>
      </c>
      <c r="BI47" s="14" t="str">
        <f t="shared" si="25"/>
        <v>-</v>
      </c>
      <c r="BJ47" s="2" t="str">
        <f t="shared" si="26"/>
        <v>-</v>
      </c>
      <c r="BK47" s="2" t="str">
        <f t="shared" si="27"/>
        <v>-</v>
      </c>
      <c r="BL47" s="2" t="str">
        <f t="shared" si="28"/>
        <v>-</v>
      </c>
      <c r="BM47" s="2" t="str">
        <f t="shared" si="29"/>
        <v>-</v>
      </c>
      <c r="BN47" s="2" t="str">
        <f t="shared" si="30"/>
        <v>-</v>
      </c>
      <c r="BO47" s="2" t="str">
        <f t="shared" si="31"/>
        <v>-</v>
      </c>
      <c r="BP47" s="2" t="str">
        <f t="shared" si="32"/>
        <v>-</v>
      </c>
      <c r="BQ47" s="2" t="str">
        <f t="shared" si="33"/>
        <v>-</v>
      </c>
      <c r="BR47" s="2" t="str">
        <f t="shared" si="34"/>
        <v>-</v>
      </c>
      <c r="BS47" s="2" t="str">
        <f t="shared" si="35"/>
        <v>-</v>
      </c>
      <c r="BT47" s="2" t="str">
        <f t="shared" si="36"/>
        <v>-</v>
      </c>
      <c r="BU47" s="2" t="str">
        <f t="shared" si="37"/>
        <v>-</v>
      </c>
      <c r="BV47" s="2" t="str">
        <f t="shared" si="38"/>
        <v>-</v>
      </c>
      <c r="BW47" s="2" t="str">
        <f t="shared" si="39"/>
        <v>-</v>
      </c>
      <c r="BX47" s="2" t="str">
        <f t="shared" si="40"/>
        <v>-</v>
      </c>
      <c r="BY47" s="20" t="str">
        <f t="shared" si="41"/>
        <v>-</v>
      </c>
      <c r="BZ47" s="20"/>
      <c r="CA47" s="20"/>
      <c r="CB47" s="20" t="str">
        <f t="shared" si="42"/>
        <v>-</v>
      </c>
      <c r="CC47" s="20" t="str">
        <f t="shared" si="43"/>
        <v>-</v>
      </c>
      <c r="CD47" s="20" t="str">
        <f t="shared" si="44"/>
        <v>-</v>
      </c>
      <c r="CE47" s="20" t="str">
        <f t="shared" si="45"/>
        <v>-</v>
      </c>
      <c r="CF47" s="2" t="str">
        <f t="shared" si="46"/>
        <v>-</v>
      </c>
      <c r="CG47" s="2">
        <f t="shared" si="47"/>
        <v>0</v>
      </c>
      <c r="CH47" s="37" t="str">
        <f t="shared" si="48"/>
        <v>-</v>
      </c>
      <c r="CI47" s="71"/>
      <c r="CJ47" s="37" t="str">
        <f t="shared" si="49"/>
        <v>-</v>
      </c>
      <c r="CK47" s="37" t="str">
        <f t="shared" si="50"/>
        <v>-</v>
      </c>
      <c r="CL47" s="37" t="str">
        <f t="shared" si="51"/>
        <v>-</v>
      </c>
      <c r="CM47" s="37" t="str">
        <f t="shared" si="52"/>
        <v>-</v>
      </c>
      <c r="CN47" s="37" t="str">
        <f t="shared" si="53"/>
        <v>-</v>
      </c>
      <c r="CO47" s="13" t="str">
        <f t="shared" si="54"/>
        <v>-</v>
      </c>
      <c r="CP47" s="37" t="str">
        <f t="shared" si="55"/>
        <v>-</v>
      </c>
      <c r="CQ47" s="2" t="str">
        <f t="shared" si="56"/>
        <v>-</v>
      </c>
      <c r="CR47" s="2" t="str">
        <f t="shared" si="57"/>
        <v>-</v>
      </c>
      <c r="CS47" s="37" t="str">
        <f t="shared" si="58"/>
        <v>-</v>
      </c>
      <c r="CT47" s="37" t="str">
        <f t="shared" si="59"/>
        <v>-</v>
      </c>
      <c r="CU47" s="37">
        <f t="shared" si="77"/>
        <v>0</v>
      </c>
      <c r="CV47" s="37"/>
      <c r="CW47" s="37" t="str">
        <f t="shared" si="60"/>
        <v>-</v>
      </c>
      <c r="CX47" s="13" t="str">
        <f t="shared" si="61"/>
        <v>-</v>
      </c>
      <c r="CY47" s="13" t="str">
        <f t="shared" si="62"/>
        <v>-</v>
      </c>
      <c r="CZ47" s="2" t="str">
        <f t="shared" si="63"/>
        <v>-</v>
      </c>
      <c r="DA47" s="2" t="str">
        <f t="shared" si="81"/>
        <v>-</v>
      </c>
      <c r="DB47" s="2"/>
      <c r="DC47" s="2" t="str">
        <f t="shared" si="64"/>
        <v>0-</v>
      </c>
      <c r="DD47" s="2" t="str">
        <f t="shared" si="78"/>
        <v>B</v>
      </c>
      <c r="DE47" s="16" t="str">
        <f t="shared" si="65"/>
        <v>-</v>
      </c>
      <c r="DF47" s="16" t="str">
        <f t="shared" si="66"/>
        <v>-</v>
      </c>
      <c r="DG47" s="64" t="str">
        <f t="shared" si="67"/>
        <v>-</v>
      </c>
      <c r="DK47" s="37" t="str">
        <f t="shared" si="68"/>
        <v>-</v>
      </c>
    </row>
    <row r="48" spans="1:117" x14ac:dyDescent="0.25">
      <c r="A48" s="22" t="s">
        <v>160</v>
      </c>
      <c r="B48" s="51"/>
      <c r="C48" s="5">
        <f t="shared" si="69"/>
        <v>-2209165200</v>
      </c>
      <c r="D48" s="5">
        <f t="shared" si="79"/>
        <v>0</v>
      </c>
      <c r="E48" s="37">
        <f t="shared" si="70"/>
        <v>-1053494.712638889</v>
      </c>
      <c r="F48" s="5">
        <f t="shared" si="0"/>
        <v>-1053494.712638889</v>
      </c>
      <c r="G48" s="48"/>
      <c r="H48" s="5" t="str">
        <f t="shared" si="71"/>
        <v>No</v>
      </c>
      <c r="I48" s="46"/>
      <c r="J48" s="46"/>
      <c r="K48" s="46"/>
      <c r="L48" s="47"/>
      <c r="M48" s="47"/>
      <c r="N48" s="37">
        <f t="shared" si="1"/>
        <v>0</v>
      </c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36">
        <f t="shared" si="2"/>
        <v>0</v>
      </c>
      <c r="AA48" s="36">
        <f t="shared" si="72"/>
        <v>0</v>
      </c>
      <c r="AB48" s="36">
        <f t="shared" si="73"/>
        <v>0</v>
      </c>
      <c r="AC48" s="17">
        <f t="shared" si="73"/>
        <v>0</v>
      </c>
      <c r="AD48" s="17">
        <f t="shared" si="3"/>
        <v>0</v>
      </c>
      <c r="AE48" s="17">
        <f t="shared" si="3"/>
        <v>0</v>
      </c>
      <c r="AF48" s="36">
        <f t="shared" si="4"/>
        <v>0</v>
      </c>
      <c r="AG48" s="36">
        <f t="shared" si="5"/>
        <v>0</v>
      </c>
      <c r="AH48" s="36">
        <f t="shared" si="74"/>
        <v>0</v>
      </c>
      <c r="AI48" s="36">
        <f t="shared" si="80"/>
        <v>0</v>
      </c>
      <c r="AJ48" s="67"/>
      <c r="AK48" s="37">
        <f t="shared" si="6"/>
        <v>0</v>
      </c>
      <c r="AL48" s="16" t="str">
        <f t="shared" si="7"/>
        <v>-</v>
      </c>
      <c r="AM48" s="18" t="str">
        <f t="shared" si="8"/>
        <v>-</v>
      </c>
      <c r="AN48" s="14" t="str">
        <f t="shared" si="9"/>
        <v>-</v>
      </c>
      <c r="AO48" s="14" t="str">
        <f t="shared" si="10"/>
        <v>-</v>
      </c>
      <c r="AP48" s="14" t="str">
        <f t="shared" si="11"/>
        <v>-</v>
      </c>
      <c r="AQ48" s="14" t="str">
        <f t="shared" si="12"/>
        <v>-</v>
      </c>
      <c r="AR48" s="14" t="str">
        <f t="shared" si="13"/>
        <v>-</v>
      </c>
      <c r="AS48" s="14" t="str">
        <f t="shared" si="14"/>
        <v>-</v>
      </c>
      <c r="AT48" s="14" t="str">
        <f t="shared" si="15"/>
        <v>-</v>
      </c>
      <c r="AU48" s="14" t="str">
        <f t="shared" si="16"/>
        <v>-</v>
      </c>
      <c r="AV48" s="14" t="str">
        <f t="shared" si="17"/>
        <v>-</v>
      </c>
      <c r="AW48" s="14" t="str">
        <f t="shared" si="18"/>
        <v>-</v>
      </c>
      <c r="AX48" s="14" t="str">
        <f t="shared" si="19"/>
        <v>-</v>
      </c>
      <c r="AY48" s="14" t="str">
        <f t="shared" si="20"/>
        <v>-</v>
      </c>
      <c r="AZ48" s="14" t="str">
        <f t="shared" si="21"/>
        <v>-</v>
      </c>
      <c r="BA48" s="14" t="str">
        <f t="shared" si="22"/>
        <v>-</v>
      </c>
      <c r="BB48" s="14" t="str">
        <f t="shared" si="23"/>
        <v>-</v>
      </c>
      <c r="BC48" s="45"/>
      <c r="BD48" s="45"/>
      <c r="BE48" s="45"/>
      <c r="BF48" s="45"/>
      <c r="BG48" s="36" t="str">
        <f t="shared" si="24"/>
        <v>-</v>
      </c>
      <c r="BH48" s="25" t="str">
        <f t="shared" si="75"/>
        <v>-</v>
      </c>
      <c r="BI48" s="14" t="str">
        <f t="shared" si="25"/>
        <v>-</v>
      </c>
      <c r="BJ48" s="2" t="str">
        <f t="shared" si="26"/>
        <v>-</v>
      </c>
      <c r="BK48" s="2" t="str">
        <f t="shared" si="27"/>
        <v>-</v>
      </c>
      <c r="BL48" s="2" t="str">
        <f t="shared" si="28"/>
        <v>-</v>
      </c>
      <c r="BM48" s="2" t="str">
        <f t="shared" si="29"/>
        <v>-</v>
      </c>
      <c r="BN48" s="2" t="str">
        <f t="shared" si="30"/>
        <v>-</v>
      </c>
      <c r="BO48" s="2" t="str">
        <f t="shared" si="31"/>
        <v>-</v>
      </c>
      <c r="BP48" s="2" t="str">
        <f t="shared" si="32"/>
        <v>-</v>
      </c>
      <c r="BQ48" s="2" t="str">
        <f t="shared" si="33"/>
        <v>-</v>
      </c>
      <c r="BR48" s="2" t="str">
        <f t="shared" si="34"/>
        <v>-</v>
      </c>
      <c r="BS48" s="2" t="str">
        <f t="shared" si="35"/>
        <v>-</v>
      </c>
      <c r="BT48" s="2" t="str">
        <f t="shared" si="36"/>
        <v>-</v>
      </c>
      <c r="BU48" s="2" t="str">
        <f t="shared" si="37"/>
        <v>-</v>
      </c>
      <c r="BV48" s="2" t="str">
        <f t="shared" si="38"/>
        <v>-</v>
      </c>
      <c r="BW48" s="2" t="str">
        <f t="shared" si="39"/>
        <v>-</v>
      </c>
      <c r="BX48" s="2" t="str">
        <f t="shared" si="40"/>
        <v>-</v>
      </c>
      <c r="BY48" s="20" t="str">
        <f t="shared" si="41"/>
        <v>-</v>
      </c>
      <c r="BZ48" s="20"/>
      <c r="CA48" s="20"/>
      <c r="CB48" s="20" t="str">
        <f t="shared" si="42"/>
        <v>-</v>
      </c>
      <c r="CC48" s="20" t="str">
        <f t="shared" si="43"/>
        <v>-</v>
      </c>
      <c r="CD48" s="20" t="str">
        <f t="shared" si="44"/>
        <v>-</v>
      </c>
      <c r="CE48" s="20" t="str">
        <f t="shared" si="45"/>
        <v>-</v>
      </c>
      <c r="CF48" s="2" t="str">
        <f t="shared" si="46"/>
        <v>-</v>
      </c>
      <c r="CG48" s="2">
        <f t="shared" si="47"/>
        <v>0</v>
      </c>
      <c r="CH48" s="37" t="str">
        <f t="shared" si="48"/>
        <v>-</v>
      </c>
      <c r="CI48" s="71"/>
      <c r="CJ48" s="37" t="str">
        <f t="shared" si="49"/>
        <v>-</v>
      </c>
      <c r="CK48" s="37" t="str">
        <f t="shared" si="50"/>
        <v>-</v>
      </c>
      <c r="CL48" s="37" t="str">
        <f t="shared" si="51"/>
        <v>-</v>
      </c>
      <c r="CM48" s="37" t="str">
        <f t="shared" si="52"/>
        <v>-</v>
      </c>
      <c r="CN48" s="37" t="str">
        <f t="shared" si="53"/>
        <v>-</v>
      </c>
      <c r="CO48" s="13" t="str">
        <f t="shared" si="54"/>
        <v>-</v>
      </c>
      <c r="CP48" s="37" t="str">
        <f t="shared" si="55"/>
        <v>-</v>
      </c>
      <c r="CQ48" s="2" t="str">
        <f t="shared" si="56"/>
        <v>-</v>
      </c>
      <c r="CR48" s="2" t="str">
        <f t="shared" si="57"/>
        <v>-</v>
      </c>
      <c r="CS48" s="37" t="str">
        <f t="shared" si="58"/>
        <v>-</v>
      </c>
      <c r="CT48" s="37" t="str">
        <f t="shared" si="59"/>
        <v>-</v>
      </c>
      <c r="CU48" s="37">
        <f t="shared" si="77"/>
        <v>0</v>
      </c>
      <c r="CV48" s="37"/>
      <c r="CW48" s="37" t="str">
        <f t="shared" si="60"/>
        <v>-</v>
      </c>
      <c r="CX48" s="13" t="str">
        <f t="shared" si="61"/>
        <v>-</v>
      </c>
      <c r="CY48" s="13" t="str">
        <f t="shared" si="62"/>
        <v>-</v>
      </c>
      <c r="CZ48" s="2" t="str">
        <f t="shared" si="63"/>
        <v>-</v>
      </c>
      <c r="DA48" s="2" t="str">
        <f t="shared" si="81"/>
        <v>-</v>
      </c>
      <c r="DB48" s="2"/>
      <c r="DC48" s="2" t="str">
        <f t="shared" si="64"/>
        <v>0-</v>
      </c>
      <c r="DD48" s="2" t="str">
        <f t="shared" si="78"/>
        <v>B</v>
      </c>
      <c r="DE48" s="16" t="str">
        <f t="shared" si="65"/>
        <v>-</v>
      </c>
      <c r="DF48" s="16" t="str">
        <f t="shared" si="66"/>
        <v>-</v>
      </c>
      <c r="DG48" s="64" t="str">
        <f t="shared" si="67"/>
        <v>-</v>
      </c>
      <c r="DK48" s="37" t="str">
        <f t="shared" si="68"/>
        <v>-</v>
      </c>
    </row>
    <row r="49" spans="1:115" x14ac:dyDescent="0.25">
      <c r="A49" s="22" t="s">
        <v>161</v>
      </c>
      <c r="B49" s="51"/>
      <c r="C49" s="5">
        <f t="shared" si="69"/>
        <v>-2209165200</v>
      </c>
      <c r="D49" s="5">
        <f t="shared" si="79"/>
        <v>0</v>
      </c>
      <c r="E49" s="37">
        <f t="shared" si="70"/>
        <v>-1053494.712638889</v>
      </c>
      <c r="F49" s="5">
        <f t="shared" si="0"/>
        <v>-1053494.712638889</v>
      </c>
      <c r="G49" s="48"/>
      <c r="H49" s="5" t="str">
        <f t="shared" si="71"/>
        <v>No</v>
      </c>
      <c r="I49" s="46"/>
      <c r="J49" s="46"/>
      <c r="K49" s="46"/>
      <c r="L49" s="47"/>
      <c r="M49" s="47"/>
      <c r="N49" s="37">
        <f t="shared" si="1"/>
        <v>0</v>
      </c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36">
        <f t="shared" si="2"/>
        <v>0</v>
      </c>
      <c r="AA49" s="36">
        <f t="shared" si="72"/>
        <v>0</v>
      </c>
      <c r="AB49" s="36">
        <f t="shared" si="73"/>
        <v>0</v>
      </c>
      <c r="AC49" s="17">
        <f t="shared" si="73"/>
        <v>0</v>
      </c>
      <c r="AD49" s="17">
        <f t="shared" si="3"/>
        <v>0</v>
      </c>
      <c r="AE49" s="17">
        <f t="shared" si="3"/>
        <v>0</v>
      </c>
      <c r="AF49" s="36">
        <f t="shared" si="4"/>
        <v>0</v>
      </c>
      <c r="AG49" s="36">
        <f t="shared" si="5"/>
        <v>0</v>
      </c>
      <c r="AH49" s="36">
        <f t="shared" si="74"/>
        <v>0</v>
      </c>
      <c r="AI49" s="36">
        <f t="shared" si="80"/>
        <v>0</v>
      </c>
      <c r="AJ49" s="67"/>
      <c r="AK49" s="37">
        <f t="shared" si="6"/>
        <v>0</v>
      </c>
      <c r="AL49" s="16" t="str">
        <f t="shared" si="7"/>
        <v>-</v>
      </c>
      <c r="AM49" s="18" t="str">
        <f t="shared" si="8"/>
        <v>-</v>
      </c>
      <c r="AN49" s="14" t="str">
        <f t="shared" si="9"/>
        <v>-</v>
      </c>
      <c r="AO49" s="14" t="str">
        <f t="shared" si="10"/>
        <v>-</v>
      </c>
      <c r="AP49" s="14" t="str">
        <f t="shared" si="11"/>
        <v>-</v>
      </c>
      <c r="AQ49" s="14" t="str">
        <f t="shared" si="12"/>
        <v>-</v>
      </c>
      <c r="AR49" s="14" t="str">
        <f t="shared" si="13"/>
        <v>-</v>
      </c>
      <c r="AS49" s="14" t="str">
        <f t="shared" si="14"/>
        <v>-</v>
      </c>
      <c r="AT49" s="14" t="str">
        <f t="shared" si="15"/>
        <v>-</v>
      </c>
      <c r="AU49" s="14" t="str">
        <f t="shared" si="16"/>
        <v>-</v>
      </c>
      <c r="AV49" s="14" t="str">
        <f t="shared" si="17"/>
        <v>-</v>
      </c>
      <c r="AW49" s="14" t="str">
        <f t="shared" si="18"/>
        <v>-</v>
      </c>
      <c r="AX49" s="14" t="str">
        <f t="shared" si="19"/>
        <v>-</v>
      </c>
      <c r="AY49" s="14" t="str">
        <f t="shared" si="20"/>
        <v>-</v>
      </c>
      <c r="AZ49" s="14" t="str">
        <f t="shared" si="21"/>
        <v>-</v>
      </c>
      <c r="BA49" s="14" t="str">
        <f t="shared" si="22"/>
        <v>-</v>
      </c>
      <c r="BB49" s="14" t="str">
        <f t="shared" si="23"/>
        <v>-</v>
      </c>
      <c r="BC49" s="45"/>
      <c r="BD49" s="45"/>
      <c r="BE49" s="45"/>
      <c r="BF49" s="45"/>
      <c r="BG49" s="36" t="str">
        <f t="shared" si="24"/>
        <v>-</v>
      </c>
      <c r="BH49" s="25" t="str">
        <f t="shared" si="75"/>
        <v>-</v>
      </c>
      <c r="BI49" s="14" t="str">
        <f t="shared" si="25"/>
        <v>-</v>
      </c>
      <c r="BJ49" s="2" t="str">
        <f t="shared" si="26"/>
        <v>-</v>
      </c>
      <c r="BK49" s="2" t="str">
        <f t="shared" si="27"/>
        <v>-</v>
      </c>
      <c r="BL49" s="2" t="str">
        <f t="shared" si="28"/>
        <v>-</v>
      </c>
      <c r="BM49" s="2" t="str">
        <f t="shared" si="29"/>
        <v>-</v>
      </c>
      <c r="BN49" s="2" t="str">
        <f t="shared" si="30"/>
        <v>-</v>
      </c>
      <c r="BO49" s="2" t="str">
        <f t="shared" si="31"/>
        <v>-</v>
      </c>
      <c r="BP49" s="2" t="str">
        <f t="shared" si="32"/>
        <v>-</v>
      </c>
      <c r="BQ49" s="2" t="str">
        <f t="shared" si="33"/>
        <v>-</v>
      </c>
      <c r="BR49" s="2" t="str">
        <f t="shared" si="34"/>
        <v>-</v>
      </c>
      <c r="BS49" s="2" t="str">
        <f t="shared" si="35"/>
        <v>-</v>
      </c>
      <c r="BT49" s="2" t="str">
        <f t="shared" si="36"/>
        <v>-</v>
      </c>
      <c r="BU49" s="2" t="str">
        <f t="shared" si="37"/>
        <v>-</v>
      </c>
      <c r="BV49" s="2" t="str">
        <f t="shared" si="38"/>
        <v>-</v>
      </c>
      <c r="BW49" s="2" t="str">
        <f t="shared" si="39"/>
        <v>-</v>
      </c>
      <c r="BX49" s="2" t="str">
        <f t="shared" si="40"/>
        <v>-</v>
      </c>
      <c r="BY49" s="20" t="str">
        <f t="shared" si="41"/>
        <v>-</v>
      </c>
      <c r="BZ49" s="20"/>
      <c r="CA49" s="20"/>
      <c r="CB49" s="20" t="str">
        <f t="shared" si="42"/>
        <v>-</v>
      </c>
      <c r="CC49" s="20" t="str">
        <f t="shared" si="43"/>
        <v>-</v>
      </c>
      <c r="CD49" s="20" t="str">
        <f t="shared" si="44"/>
        <v>-</v>
      </c>
      <c r="CE49" s="20" t="str">
        <f t="shared" si="45"/>
        <v>-</v>
      </c>
      <c r="CF49" s="2" t="str">
        <f t="shared" si="46"/>
        <v>-</v>
      </c>
      <c r="CG49" s="2">
        <f t="shared" si="47"/>
        <v>0</v>
      </c>
      <c r="CH49" s="37" t="str">
        <f t="shared" si="48"/>
        <v>-</v>
      </c>
      <c r="CI49" s="71"/>
      <c r="CJ49" s="37" t="str">
        <f t="shared" si="49"/>
        <v>-</v>
      </c>
      <c r="CK49" s="37" t="str">
        <f t="shared" si="50"/>
        <v>-</v>
      </c>
      <c r="CL49" s="37" t="str">
        <f t="shared" si="51"/>
        <v>-</v>
      </c>
      <c r="CM49" s="37" t="str">
        <f t="shared" si="52"/>
        <v>-</v>
      </c>
      <c r="CN49" s="37" t="str">
        <f t="shared" si="53"/>
        <v>-</v>
      </c>
      <c r="CO49" s="13" t="str">
        <f t="shared" si="54"/>
        <v>-</v>
      </c>
      <c r="CP49" s="37" t="str">
        <f t="shared" si="55"/>
        <v>-</v>
      </c>
      <c r="CQ49" s="2" t="str">
        <f t="shared" si="56"/>
        <v>-</v>
      </c>
      <c r="CR49" s="2" t="str">
        <f t="shared" si="57"/>
        <v>-</v>
      </c>
      <c r="CS49" s="37" t="str">
        <f t="shared" si="58"/>
        <v>-</v>
      </c>
      <c r="CT49" s="37" t="str">
        <f t="shared" si="59"/>
        <v>-</v>
      </c>
      <c r="CU49" s="37">
        <f t="shared" si="77"/>
        <v>0</v>
      </c>
      <c r="CV49" s="37"/>
      <c r="CW49" s="37" t="str">
        <f t="shared" si="60"/>
        <v>-</v>
      </c>
      <c r="CX49" s="13" t="str">
        <f t="shared" si="61"/>
        <v>-</v>
      </c>
      <c r="CY49" s="13" t="str">
        <f t="shared" si="62"/>
        <v>-</v>
      </c>
      <c r="CZ49" s="2" t="str">
        <f t="shared" si="63"/>
        <v>-</v>
      </c>
      <c r="DA49" s="2" t="str">
        <f t="shared" si="81"/>
        <v>-</v>
      </c>
      <c r="DB49" s="2"/>
      <c r="DC49" s="2" t="str">
        <f t="shared" si="64"/>
        <v>0-</v>
      </c>
      <c r="DD49" s="2" t="str">
        <f t="shared" si="78"/>
        <v>B</v>
      </c>
      <c r="DE49" s="16" t="str">
        <f t="shared" si="65"/>
        <v>-</v>
      </c>
      <c r="DF49" s="16" t="str">
        <f t="shared" si="66"/>
        <v>-</v>
      </c>
      <c r="DG49" s="64" t="str">
        <f t="shared" si="67"/>
        <v>-</v>
      </c>
      <c r="DK49" s="37" t="str">
        <f t="shared" si="68"/>
        <v>-</v>
      </c>
    </row>
    <row r="50" spans="1:115" x14ac:dyDescent="0.25">
      <c r="A50" s="22" t="s">
        <v>85</v>
      </c>
      <c r="B50" s="62"/>
      <c r="C50" s="5">
        <f t="shared" si="69"/>
        <v>-2209165200</v>
      </c>
      <c r="D50" s="5">
        <f>(C50-C44)/60</f>
        <v>0</v>
      </c>
      <c r="E50" s="37">
        <f t="shared" si="70"/>
        <v>-1053494.712638889</v>
      </c>
      <c r="F50" s="5">
        <f t="shared" si="0"/>
        <v>-1053494.712638889</v>
      </c>
      <c r="G50" s="5"/>
      <c r="H50" s="5"/>
      <c r="I50" s="2"/>
      <c r="J50" s="2"/>
      <c r="K50" s="5"/>
      <c r="L50" s="28"/>
      <c r="M50" s="2"/>
      <c r="N50" s="37"/>
      <c r="P50" s="15"/>
      <c r="Q50" s="15"/>
      <c r="T50" s="15"/>
      <c r="U50" s="76"/>
      <c r="V50" s="76"/>
      <c r="W50" s="76"/>
      <c r="X50" s="15"/>
      <c r="Y50" s="15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7"/>
      <c r="AL50" s="4"/>
      <c r="AM50" s="2"/>
      <c r="AN50" s="2"/>
      <c r="AO50" s="2"/>
      <c r="AP50" s="5"/>
      <c r="AQ50" s="14" t="str">
        <f t="shared" si="12"/>
        <v>-</v>
      </c>
      <c r="AR50" s="14"/>
      <c r="AS50" s="14" t="str">
        <f t="shared" si="14"/>
        <v>-</v>
      </c>
      <c r="AT50" s="2"/>
      <c r="AU50" s="2"/>
      <c r="AV50" s="2"/>
      <c r="AW50" s="2"/>
      <c r="AX50" s="14" t="str">
        <f t="shared" si="19"/>
        <v>-</v>
      </c>
      <c r="AY50" s="14" t="str">
        <f t="shared" si="20"/>
        <v>-</v>
      </c>
      <c r="AZ50" s="14" t="str">
        <f t="shared" si="21"/>
        <v>-</v>
      </c>
      <c r="BA50" s="2"/>
      <c r="BB50" s="42"/>
      <c r="BC50" s="42"/>
      <c r="BD50" s="42"/>
      <c r="BE50" s="42"/>
      <c r="BF50" s="43"/>
      <c r="BG50" s="44"/>
      <c r="BH50" s="69" t="str">
        <f t="shared" si="75"/>
        <v>-</v>
      </c>
      <c r="BI50" s="44"/>
      <c r="BJ50" s="44"/>
      <c r="BK50" s="2"/>
      <c r="BL50" s="2"/>
      <c r="BM50" s="2"/>
      <c r="BN50" s="2" t="str">
        <f t="shared" si="30"/>
        <v>-</v>
      </c>
      <c r="BO50" s="2" t="str">
        <f t="shared" si="31"/>
        <v>-</v>
      </c>
      <c r="BP50" s="2" t="str">
        <f t="shared" si="32"/>
        <v>-</v>
      </c>
      <c r="BQ50" s="2"/>
      <c r="BR50" s="2"/>
      <c r="BS50" s="2"/>
      <c r="BT50" s="2"/>
      <c r="BU50" s="2" t="str">
        <f t="shared" si="37"/>
        <v>-</v>
      </c>
      <c r="BV50" s="2" t="str">
        <f t="shared" si="38"/>
        <v>-</v>
      </c>
      <c r="BW50" s="2" t="str">
        <f t="shared" si="39"/>
        <v>-</v>
      </c>
      <c r="BX50" s="20"/>
      <c r="BY50" s="13"/>
      <c r="BZ50" s="20"/>
      <c r="CA50" s="20"/>
      <c r="CB50" s="20"/>
      <c r="CC50" s="20"/>
      <c r="CD50" s="20"/>
      <c r="CF50" s="2"/>
      <c r="CG50" s="76"/>
      <c r="CH50" s="76"/>
      <c r="CI50" s="76"/>
      <c r="CJ50" s="76"/>
      <c r="CK50" s="76"/>
      <c r="CT50" s="37">
        <f t="shared" si="77"/>
        <v>0</v>
      </c>
      <c r="CU50" s="37"/>
      <c r="CV50" s="37" t="str">
        <f>IF(G50="AND",AC50*CH50/100,"-")</f>
        <v>-</v>
      </c>
      <c r="CW50" s="13" t="str">
        <f>IF(G50="AND",CV50*$E$4,"-")</f>
        <v>-</v>
      </c>
      <c r="CX50" s="13" t="str">
        <f>IF(G50="AND",CW50*4*$H$3,"-")</f>
        <v>-</v>
      </c>
      <c r="CY50" s="2" t="str">
        <f>IF(G50="AND",CX50/(CF50/1000*$B$2)*100,"-")</f>
        <v>-</v>
      </c>
      <c r="CZ50" s="2" t="str">
        <f>IF(G50="AND",AG50,"-")</f>
        <v>-</v>
      </c>
      <c r="DA50" s="2"/>
    </row>
    <row r="51" spans="1:115" x14ac:dyDescent="0.25">
      <c r="A51" s="35"/>
      <c r="C51" s="5"/>
      <c r="U51" s="76"/>
      <c r="V51" s="76"/>
      <c r="W51" s="76"/>
      <c r="X51" s="76"/>
      <c r="Y51" s="2"/>
      <c r="Z51" s="2"/>
      <c r="AA51" s="2"/>
      <c r="AB51" s="2"/>
      <c r="AC51" s="2"/>
      <c r="AD51" s="2"/>
      <c r="AE51" s="2"/>
      <c r="AF51" s="2"/>
      <c r="AG51" s="2"/>
      <c r="AH51" s="4"/>
      <c r="AI51" s="4"/>
      <c r="AJ51" s="4"/>
      <c r="AK51" s="2"/>
      <c r="AL51" s="2"/>
      <c r="AM51" s="5"/>
      <c r="AN51" s="2"/>
      <c r="AO51" s="2"/>
      <c r="AP51" s="2"/>
      <c r="AQ51" s="2"/>
      <c r="AR51" s="2"/>
      <c r="AS51" s="37"/>
      <c r="AT51" s="37"/>
      <c r="AU51" s="37"/>
      <c r="AV51" s="76"/>
      <c r="AW51" s="41"/>
      <c r="AX51" s="27"/>
      <c r="BJ51" s="2"/>
    </row>
    <row r="52" spans="1:115" x14ac:dyDescent="0.25">
      <c r="A52" s="35"/>
      <c r="AX52" s="26"/>
      <c r="CI52" s="11" t="s">
        <v>171</v>
      </c>
    </row>
    <row r="53" spans="1:115" x14ac:dyDescent="0.25">
      <c r="AX53" s="26"/>
      <c r="CJ53" s="72" t="s">
        <v>172</v>
      </c>
      <c r="CK53" s="73" t="e">
        <f>AVERAGE(CZ18:CZ50)</f>
        <v>#DIV/0!</v>
      </c>
    </row>
    <row r="54" spans="1:115" x14ac:dyDescent="0.25">
      <c r="AX54" s="26"/>
      <c r="CJ54" s="72" t="s">
        <v>173</v>
      </c>
      <c r="CK54" s="73" t="e">
        <f>STDEV(CZ18:CZ50)</f>
        <v>#DIV/0!</v>
      </c>
    </row>
    <row r="55" spans="1:115" x14ac:dyDescent="0.25">
      <c r="AX55" s="26"/>
    </row>
    <row r="56" spans="1:115" x14ac:dyDescent="0.25">
      <c r="AX56" s="26"/>
    </row>
    <row r="57" spans="1:115" x14ac:dyDescent="0.25">
      <c r="AX57" s="26"/>
    </row>
    <row r="58" spans="1:115" x14ac:dyDescent="0.25">
      <c r="AX58" s="26"/>
    </row>
    <row r="59" spans="1:115" x14ac:dyDescent="0.25">
      <c r="AX59" s="26"/>
    </row>
    <row r="60" spans="1:115" x14ac:dyDescent="0.25">
      <c r="AX60" s="26"/>
    </row>
    <row r="61" spans="1:115" x14ac:dyDescent="0.25">
      <c r="AX61" s="26"/>
    </row>
    <row r="62" spans="1:115" x14ac:dyDescent="0.25">
      <c r="AX62" s="26"/>
    </row>
    <row r="63" spans="1:115" x14ac:dyDescent="0.25">
      <c r="AX63" s="26"/>
    </row>
  </sheetData>
  <mergeCells count="18">
    <mergeCell ref="AL16:AN16"/>
    <mergeCell ref="B16:H16"/>
    <mergeCell ref="I16:L16"/>
    <mergeCell ref="M16:N16"/>
    <mergeCell ref="O16:Y16"/>
    <mergeCell ref="Z16:AK16"/>
    <mergeCell ref="DC17:DD17"/>
    <mergeCell ref="AO16:AU16"/>
    <mergeCell ref="AV16:BB16"/>
    <mergeCell ref="BC16:BF16"/>
    <mergeCell ref="BG16:BK16"/>
    <mergeCell ref="BL16:BR16"/>
    <mergeCell ref="BS16:BZ16"/>
    <mergeCell ref="CB16:CF16"/>
    <mergeCell ref="CH16:CL16"/>
    <mergeCell ref="CM16:CR16"/>
    <mergeCell ref="CS16:CZ16"/>
    <mergeCell ref="DC16:DL16"/>
  </mergeCells>
  <conditionalFormatting sqref="DD18:DD49">
    <cfRule type="cellIs" dxfId="1" priority="1" operator="equal">
      <formula>"B"</formula>
    </cfRule>
    <cfRule type="cellIs" dxfId="0" priority="2" operator="equal">
      <formula>"G"</formula>
    </cfRule>
  </conditionalFormatting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zoomScale="80" zoomScaleNormal="80" workbookViewId="0">
      <selection activeCell="E47" sqref="E47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C737E023FA8814B8FAFC758585580F0" ma:contentTypeVersion="13" ma:contentTypeDescription="Opret et nyt dokument." ma:contentTypeScope="" ma:versionID="d7504cdca65906666e4a3f8087343423">
  <xsd:schema xmlns:xsd="http://www.w3.org/2001/XMLSchema" xmlns:xs="http://www.w3.org/2001/XMLSchema" xmlns:p="http://schemas.microsoft.com/office/2006/metadata/properties" xmlns:ns3="590467b8-7c49-4d2f-8728-66506e20d5f7" xmlns:ns4="4476fa85-d045-4754-b08e-1a23255828c4" targetNamespace="http://schemas.microsoft.com/office/2006/metadata/properties" ma:root="true" ma:fieldsID="c75a554d2df111bf1914b0aeb3125fe9" ns3:_="" ns4:_="">
    <xsd:import namespace="590467b8-7c49-4d2f-8728-66506e20d5f7"/>
    <xsd:import namespace="4476fa85-d045-4754-b08e-1a23255828c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0467b8-7c49-4d2f-8728-66506e20d5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76fa85-d045-4754-b08e-1a23255828c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BBAF04-3E14-4B4F-A15D-98F3600125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0467b8-7c49-4d2f-8728-66506e20d5f7"/>
    <ds:schemaRef ds:uri="4476fa85-d045-4754-b08e-1a23255828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7AF00D-51D6-410B-AF38-0E8F4E1405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CFA967-D40E-4087-AF49-C141AA3E338A}">
  <ds:schemaRefs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476fa85-d045-4754-b08e-1a23255828c4"/>
    <ds:schemaRef ds:uri="http://schemas.microsoft.com/office/infopath/2007/PartnerControls"/>
    <ds:schemaRef ds:uri="590467b8-7c49-4d2f-8728-66506e20d5f7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 Calibrations 50 sccm</vt:lpstr>
      <vt:lpstr>GL Calibrations 10 sccm</vt:lpstr>
      <vt:lpstr>GL Calibrations OLD</vt:lpstr>
      <vt:lpstr>PASTY ex</vt:lpstr>
      <vt:lpstr>PASTY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surfcat</dc:creator>
  <cp:lastModifiedBy>Celia Sullca Huaman Cailloux</cp:lastModifiedBy>
  <cp:lastPrinted>2018-10-16T17:20:10Z</cp:lastPrinted>
  <dcterms:created xsi:type="dcterms:W3CDTF">2018-09-28T14:03:44Z</dcterms:created>
  <dcterms:modified xsi:type="dcterms:W3CDTF">2020-05-26T16:26:02Z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0x0101003C737E023FA8814B8FAFC758585580F0</vt:lpwstr>
  </property>
</Properties>
</file>