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 activeTab="1"/>
  </bookViews>
  <sheets>
    <sheet name="Stückliste Proto" sheetId="1" r:id="rId1"/>
    <sheet name="Stückliste Proto2" sheetId="3" r:id="rId2"/>
    <sheet name="Bestücken" sheetId="2" r:id="rId3"/>
  </sheets>
  <definedNames>
    <definedName name="BOM" localSheetId="0">'Stückliste Proto'!$A$2:$G$33</definedName>
    <definedName name="BOM" localSheetId="1">'Stückliste Proto2'!$A$2:$H$28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0" i="3" l="1"/>
  <c r="K40" i="3"/>
  <c r="J41" i="3"/>
  <c r="K41" i="3"/>
  <c r="K47" i="3"/>
  <c r="K35" i="3"/>
  <c r="K36" i="3"/>
  <c r="K37" i="3"/>
  <c r="K38" i="3"/>
  <c r="K39" i="3"/>
  <c r="K46" i="3"/>
  <c r="K31" i="3"/>
  <c r="K27" i="3"/>
  <c r="L35" i="3"/>
  <c r="N35" i="3"/>
  <c r="O35" i="3"/>
  <c r="L37" i="3"/>
  <c r="N37" i="3"/>
  <c r="O37" i="3"/>
  <c r="O38" i="3"/>
  <c r="O39" i="3"/>
  <c r="L40" i="3"/>
  <c r="N40" i="3"/>
  <c r="O40" i="3"/>
  <c r="L41" i="3"/>
  <c r="N41" i="3"/>
  <c r="O41" i="3"/>
  <c r="L45" i="3"/>
  <c r="N45" i="3"/>
  <c r="O45" i="3"/>
  <c r="L46" i="3"/>
  <c r="N46" i="3"/>
  <c r="O46" i="3"/>
  <c r="O47" i="3"/>
  <c r="L39" i="3"/>
  <c r="M39" i="3"/>
  <c r="L38" i="3"/>
  <c r="M38" i="3"/>
  <c r="H38" i="3"/>
  <c r="I38" i="3"/>
  <c r="H39" i="3"/>
  <c r="I39" i="3"/>
  <c r="L42" i="3"/>
  <c r="N42" i="3"/>
  <c r="L43" i="3"/>
  <c r="N43" i="3"/>
  <c r="L44" i="3"/>
  <c r="N44" i="3"/>
  <c r="H40" i="3"/>
  <c r="H41" i="3"/>
  <c r="H42" i="3"/>
  <c r="J42" i="3"/>
  <c r="H43" i="3"/>
  <c r="J43" i="3"/>
  <c r="H44" i="3"/>
  <c r="J44" i="3"/>
  <c r="H45" i="3"/>
  <c r="J45" i="3"/>
  <c r="H46" i="3"/>
  <c r="J46" i="3"/>
  <c r="G29" i="3"/>
  <c r="H29" i="3"/>
  <c r="J29" i="3"/>
  <c r="L29" i="3"/>
  <c r="N29" i="3"/>
  <c r="G30" i="3"/>
  <c r="H30" i="3"/>
  <c r="J30" i="3"/>
  <c r="L30" i="3"/>
  <c r="N30" i="3"/>
  <c r="H23" i="3"/>
  <c r="H24" i="3"/>
  <c r="H25" i="3"/>
  <c r="H26" i="3"/>
  <c r="H27" i="3"/>
  <c r="H28" i="3"/>
  <c r="J23" i="3"/>
  <c r="J24" i="3"/>
  <c r="J25" i="3"/>
  <c r="J26" i="3"/>
  <c r="J27" i="3"/>
  <c r="J28" i="3"/>
  <c r="L23" i="3"/>
  <c r="L24" i="3"/>
  <c r="L25" i="3"/>
  <c r="L26" i="3"/>
  <c r="L27" i="3"/>
  <c r="L28" i="3"/>
  <c r="N23" i="3"/>
  <c r="N24" i="3"/>
  <c r="N25" i="3"/>
  <c r="N26" i="3"/>
  <c r="N27" i="3"/>
  <c r="N28" i="3"/>
  <c r="N31" i="3"/>
  <c r="M31" i="3"/>
  <c r="M36" i="3"/>
  <c r="J31" i="3"/>
  <c r="I31" i="3"/>
  <c r="I36" i="3"/>
  <c r="L36" i="3"/>
  <c r="N36" i="3"/>
  <c r="N47" i="3"/>
  <c r="M47" i="3"/>
  <c r="H35" i="3"/>
  <c r="J35" i="3"/>
  <c r="H36" i="3"/>
  <c r="J36" i="3"/>
  <c r="H37" i="3"/>
  <c r="J37" i="3"/>
  <c r="J47" i="3"/>
  <c r="I47" i="3"/>
  <c r="G28" i="3"/>
  <c r="G23" i="3"/>
  <c r="G24" i="3"/>
  <c r="G25" i="3"/>
  <c r="G26" i="3"/>
  <c r="G27" i="3"/>
  <c r="H3" i="3"/>
  <c r="J3" i="3"/>
  <c r="H4" i="3"/>
  <c r="J4" i="3"/>
  <c r="H5" i="3"/>
  <c r="J5" i="3"/>
  <c r="H6" i="3"/>
  <c r="J6" i="3"/>
  <c r="H7" i="3"/>
  <c r="J7" i="3"/>
  <c r="H8" i="3"/>
  <c r="J8" i="3"/>
  <c r="H9" i="3"/>
  <c r="J9" i="3"/>
  <c r="H10" i="3"/>
  <c r="J10" i="3"/>
  <c r="H11" i="3"/>
  <c r="J11" i="3"/>
  <c r="H12" i="3"/>
  <c r="J12" i="3"/>
  <c r="H13" i="3"/>
  <c r="J13" i="3"/>
  <c r="H14" i="3"/>
  <c r="J14" i="3"/>
  <c r="H15" i="3"/>
  <c r="J15" i="3"/>
  <c r="H16" i="3"/>
  <c r="J16" i="3"/>
  <c r="H17" i="3"/>
  <c r="J17" i="3"/>
  <c r="H18" i="3"/>
  <c r="J18" i="3"/>
  <c r="H19" i="3"/>
  <c r="J19" i="3"/>
  <c r="J20" i="3"/>
  <c r="I20" i="3"/>
  <c r="L3" i="3"/>
  <c r="N3" i="3"/>
  <c r="L4" i="3"/>
  <c r="N4" i="3"/>
  <c r="L5" i="3"/>
  <c r="N5" i="3"/>
  <c r="L6" i="3"/>
  <c r="N6" i="3"/>
  <c r="L7" i="3"/>
  <c r="N7" i="3"/>
  <c r="L8" i="3"/>
  <c r="N8" i="3"/>
  <c r="L9" i="3"/>
  <c r="N9" i="3"/>
  <c r="L10" i="3"/>
  <c r="N10" i="3"/>
  <c r="L11" i="3"/>
  <c r="N11" i="3"/>
  <c r="L12" i="3"/>
  <c r="N12" i="3"/>
  <c r="L13" i="3"/>
  <c r="N13" i="3"/>
  <c r="L14" i="3"/>
  <c r="N14" i="3"/>
  <c r="L15" i="3"/>
  <c r="N15" i="3"/>
  <c r="L16" i="3"/>
  <c r="N16" i="3"/>
  <c r="L17" i="3"/>
  <c r="N17" i="3"/>
  <c r="L18" i="3"/>
  <c r="N18" i="3"/>
  <c r="L19" i="3"/>
  <c r="N19" i="3"/>
  <c r="N20" i="3"/>
  <c r="M2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L3" i="1"/>
  <c r="N3" i="1"/>
  <c r="O3" i="1"/>
  <c r="L4" i="1"/>
  <c r="N4" i="1"/>
  <c r="O4" i="1"/>
  <c r="L5" i="1"/>
  <c r="N5" i="1"/>
  <c r="O5" i="1"/>
  <c r="L6" i="1"/>
  <c r="N6" i="1"/>
  <c r="O6" i="1"/>
  <c r="L8" i="1"/>
  <c r="N8" i="1"/>
  <c r="O8" i="1"/>
  <c r="L9" i="1"/>
  <c r="N9" i="1"/>
  <c r="O9" i="1"/>
  <c r="L12" i="1"/>
  <c r="N12" i="1"/>
  <c r="O12" i="1"/>
  <c r="L17" i="1"/>
  <c r="N17" i="1"/>
  <c r="O17" i="1"/>
  <c r="L18" i="1"/>
  <c r="N18" i="1"/>
  <c r="O18" i="1"/>
  <c r="L19" i="1"/>
  <c r="N19" i="1"/>
  <c r="O19" i="1"/>
  <c r="L23" i="1"/>
  <c r="N23" i="1"/>
  <c r="O23" i="1"/>
  <c r="L25" i="1"/>
  <c r="N25" i="1"/>
  <c r="O25" i="1"/>
  <c r="L26" i="1"/>
  <c r="N26" i="1"/>
  <c r="O26" i="1"/>
  <c r="L27" i="1"/>
  <c r="N27" i="1"/>
  <c r="O27" i="1"/>
  <c r="L28" i="1"/>
  <c r="N28" i="1"/>
  <c r="O28" i="1"/>
  <c r="L29" i="1"/>
  <c r="N29" i="1"/>
  <c r="O29" i="1"/>
  <c r="L30" i="1"/>
  <c r="N30" i="1"/>
  <c r="O30" i="1"/>
  <c r="L31" i="1"/>
  <c r="N31" i="1"/>
  <c r="O31" i="1"/>
  <c r="L32" i="1"/>
  <c r="N32" i="1"/>
  <c r="O32" i="1"/>
  <c r="L33" i="1"/>
  <c r="N33" i="1"/>
  <c r="O33" i="1"/>
  <c r="O34" i="1"/>
  <c r="H3" i="1"/>
  <c r="J3" i="1"/>
  <c r="K3" i="1"/>
  <c r="H4" i="1"/>
  <c r="J4" i="1"/>
  <c r="K4" i="1"/>
  <c r="H5" i="1"/>
  <c r="J5" i="1"/>
  <c r="K5" i="1"/>
  <c r="H6" i="1"/>
  <c r="J6" i="1"/>
  <c r="K6" i="1"/>
  <c r="H8" i="1"/>
  <c r="J8" i="1"/>
  <c r="K8" i="1"/>
  <c r="H9" i="1"/>
  <c r="J9" i="1"/>
  <c r="K9" i="1"/>
  <c r="H12" i="1"/>
  <c r="J12" i="1"/>
  <c r="K12" i="1"/>
  <c r="H17" i="1"/>
  <c r="J17" i="1"/>
  <c r="K17" i="1"/>
  <c r="H18" i="1"/>
  <c r="J18" i="1"/>
  <c r="K18" i="1"/>
  <c r="H19" i="1"/>
  <c r="J19" i="1"/>
  <c r="K19" i="1"/>
  <c r="H23" i="1"/>
  <c r="J23" i="1"/>
  <c r="K23" i="1"/>
  <c r="H25" i="1"/>
  <c r="J25" i="1"/>
  <c r="K25" i="1"/>
  <c r="H26" i="1"/>
  <c r="J26" i="1"/>
  <c r="K26" i="1"/>
  <c r="H27" i="1"/>
  <c r="J27" i="1"/>
  <c r="K27" i="1"/>
  <c r="H28" i="1"/>
  <c r="J28" i="1"/>
  <c r="K28" i="1"/>
  <c r="H29" i="1"/>
  <c r="J29" i="1"/>
  <c r="K29" i="1"/>
  <c r="H30" i="1"/>
  <c r="J30" i="1"/>
  <c r="K30" i="1"/>
  <c r="H31" i="1"/>
  <c r="J31" i="1"/>
  <c r="K31" i="1"/>
  <c r="H32" i="1"/>
  <c r="J32" i="1"/>
  <c r="K32" i="1"/>
  <c r="H33" i="1"/>
  <c r="J33" i="1"/>
  <c r="K33" i="1"/>
  <c r="K34" i="1"/>
  <c r="H7" i="1"/>
  <c r="J7" i="1"/>
  <c r="H10" i="1"/>
  <c r="J10" i="1"/>
  <c r="H11" i="1"/>
  <c r="J11" i="1"/>
  <c r="H13" i="1"/>
  <c r="J13" i="1"/>
  <c r="H14" i="1"/>
  <c r="J14" i="1"/>
  <c r="H15" i="1"/>
  <c r="J15" i="1"/>
  <c r="H16" i="1"/>
  <c r="J16" i="1"/>
  <c r="H20" i="1"/>
  <c r="J20" i="1"/>
  <c r="H21" i="1"/>
  <c r="J21" i="1"/>
  <c r="H22" i="1"/>
  <c r="J22" i="1"/>
  <c r="H24" i="1"/>
  <c r="J24" i="1"/>
  <c r="P34" i="1"/>
  <c r="J34" i="1"/>
  <c r="I34" i="1"/>
  <c r="L10" i="1"/>
  <c r="N10" i="1"/>
  <c r="L11" i="1"/>
  <c r="N11" i="1"/>
  <c r="L13" i="1"/>
  <c r="N13" i="1"/>
  <c r="L14" i="1"/>
  <c r="N14" i="1"/>
  <c r="L15" i="1"/>
  <c r="N15" i="1"/>
  <c r="L16" i="1"/>
  <c r="N16" i="1"/>
  <c r="L7" i="1"/>
  <c r="N7" i="1"/>
  <c r="L20" i="1"/>
  <c r="N20" i="1"/>
  <c r="L21" i="1"/>
  <c r="N21" i="1"/>
  <c r="L22" i="1"/>
  <c r="N22" i="1"/>
  <c r="L24" i="1"/>
  <c r="N24" i="1"/>
  <c r="N34" i="1"/>
  <c r="M3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</calcChain>
</file>

<file path=xl/connections.xml><?xml version="1.0" encoding="utf-8"?>
<connections xmlns="http://schemas.openxmlformats.org/spreadsheetml/2006/main">
  <connection id="1" name="BOM.csv" type="6" refreshedVersion="0" background="1" saveData="1">
    <textPr fileType="mac" sourceFile="Macintosh HD:Users:cem:xeniC:AnySense:Hardware:Pro:BOM.csv" decimal="," thousands=".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OM.csv1" type="6" refreshedVersion="0" background="1" saveData="1">
    <textPr fileType="mac" sourceFile="Macintosh HD:Users:cem:xeniC:AnySense:Hardware:Pro:BOM.csv" decimal="," thousands=".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<sst xmlns="http://schemas.openxmlformats.org/spreadsheetml/2006/main" count="494" uniqueCount="211">
  <si>
    <t>Qty</t>
  </si>
  <si>
    <t>Value</t>
  </si>
  <si>
    <t>Device</t>
  </si>
  <si>
    <t>Package</t>
  </si>
  <si>
    <t>Parts</t>
  </si>
  <si>
    <t>Description</t>
  </si>
  <si>
    <t>LEDCHIP-LED0603</t>
  </si>
  <si>
    <t>CHIP-LED0603</t>
  </si>
  <si>
    <t>P</t>
  </si>
  <si>
    <t>2468791RL</t>
  </si>
  <si>
    <t>E</t>
  </si>
  <si>
    <t>2468792RL</t>
  </si>
  <si>
    <t>A</t>
  </si>
  <si>
    <t>2468793RL</t>
  </si>
  <si>
    <t>100nF</t>
  </si>
  <si>
    <t>C-EUC0402K</t>
  </si>
  <si>
    <t>C0402K</t>
  </si>
  <si>
    <t>C4, C5, C8, C12, C14, C15, C16, C23, C27, C29, C30, C31</t>
  </si>
  <si>
    <t>1759380RL</t>
  </si>
  <si>
    <t>100pF</t>
  </si>
  <si>
    <t>C3, C24</t>
  </si>
  <si>
    <t>2320762RL</t>
  </si>
  <si>
    <t>10K</t>
  </si>
  <si>
    <t>R-EU_R0402</t>
  </si>
  <si>
    <t>R0402</t>
  </si>
  <si>
    <t>R1, R3, R4, R5, R9, R10</t>
  </si>
  <si>
    <t>2302739RL</t>
  </si>
  <si>
    <t>10nF</t>
  </si>
  <si>
    <t>C6, C11</t>
  </si>
  <si>
    <t>1758924RL</t>
  </si>
  <si>
    <t>150nF</t>
  </si>
  <si>
    <t>C25</t>
  </si>
  <si>
    <t>2470467RL</t>
  </si>
  <si>
    <t>15pF</t>
  </si>
  <si>
    <t>C17, C19</t>
  </si>
  <si>
    <t>1758945RL</t>
  </si>
  <si>
    <t>18pF</t>
  </si>
  <si>
    <t>C9, C10</t>
  </si>
  <si>
    <t>1758947RL</t>
  </si>
  <si>
    <t>1M</t>
  </si>
  <si>
    <t>R2</t>
  </si>
  <si>
    <t>2302957RL</t>
  </si>
  <si>
    <t>1uF</t>
  </si>
  <si>
    <t>C1, C2, C7, C22, C26, C28</t>
  </si>
  <si>
    <t>2362093RL</t>
  </si>
  <si>
    <t>22pF</t>
  </si>
  <si>
    <t>C20, C21</t>
  </si>
  <si>
    <t>1758951RL</t>
  </si>
  <si>
    <t>2450AT18A100</t>
  </si>
  <si>
    <t>2450AT18A100E</t>
  </si>
  <si>
    <t>A1</t>
  </si>
  <si>
    <t>JOHANSON TECHNOLOGY  2450AT18A100E  ANTENNE, KERAMIK, 2.45GHZ</t>
  </si>
  <si>
    <t>1885496RL</t>
  </si>
  <si>
    <t>4.7uF</t>
  </si>
  <si>
    <t>C13, C18</t>
  </si>
  <si>
    <t>2426952RL</t>
  </si>
  <si>
    <t>R6, R7, R8</t>
  </si>
  <si>
    <t>2302628RL</t>
  </si>
  <si>
    <t>ABM3B</t>
  </si>
  <si>
    <t>ABM3B-8.000MHZ-B2-T</t>
  </si>
  <si>
    <t>5X3.2MM</t>
  </si>
  <si>
    <t>Y1</t>
  </si>
  <si>
    <t>2467818RL</t>
  </si>
  <si>
    <t>ABM8</t>
  </si>
  <si>
    <t>ABM8-16.000MHZ-10-1-U-T</t>
  </si>
  <si>
    <t>3.2X2.5MM</t>
  </si>
  <si>
    <t>Y2</t>
  </si>
  <si>
    <t>2467830RL</t>
  </si>
  <si>
    <t>ABS07</t>
  </si>
  <si>
    <t>ABS.ABS07</t>
  </si>
  <si>
    <t>Y3</t>
  </si>
  <si>
    <t>2467865RL</t>
  </si>
  <si>
    <t>BALF-NRG-01D3</t>
  </si>
  <si>
    <t>U5</t>
  </si>
  <si>
    <t>2454731RL</t>
  </si>
  <si>
    <t>BAT721C</t>
  </si>
  <si>
    <t>SOT23</t>
  </si>
  <si>
    <t>D1, D2</t>
  </si>
  <si>
    <t>1081199RL</t>
  </si>
  <si>
    <t>BLUENRGQTR</t>
  </si>
  <si>
    <t>QFN32</t>
  </si>
  <si>
    <t>U2</t>
  </si>
  <si>
    <t>2460183RL</t>
  </si>
  <si>
    <t>LP2992IM5-3.3</t>
  </si>
  <si>
    <t>SOT-23</t>
  </si>
  <si>
    <t>U1</t>
  </si>
  <si>
    <t>1469141RL</t>
  </si>
  <si>
    <t>M25P16VMN6P</t>
  </si>
  <si>
    <t>M25P16</t>
  </si>
  <si>
    <t>U6</t>
  </si>
  <si>
    <t>MEM2051-00-195-00-A</t>
  </si>
  <si>
    <t>MEM2051</t>
  </si>
  <si>
    <t>X6</t>
  </si>
  <si>
    <t>SM4B-ZR</t>
  </si>
  <si>
    <t>S4B-ZR-SM4</t>
  </si>
  <si>
    <t>OSD, SENSOR, TELEMETRY</t>
  </si>
  <si>
    <t>SN65HVD232D</t>
  </si>
  <si>
    <t>SOIC127P600X175-8N</t>
  </si>
  <si>
    <t>U3</t>
  </si>
  <si>
    <t>STM32F303RET6</t>
  </si>
  <si>
    <t>LQFP64</t>
  </si>
  <si>
    <t>U4</t>
  </si>
  <si>
    <t>TC2030-IDC-NL</t>
  </si>
  <si>
    <t>TC2030-IDC</t>
  </si>
  <si>
    <t>X7</t>
  </si>
  <si>
    <t>X8B-ZR-SM4</t>
  </si>
  <si>
    <t>S8B-ZR-SM4</t>
  </si>
  <si>
    <t>FC</t>
  </si>
  <si>
    <t>ZX62R-B-5PA(11)</t>
  </si>
  <si>
    <t>USB</t>
  </si>
  <si>
    <t>Farnell</t>
  </si>
  <si>
    <t>Menge</t>
  </si>
  <si>
    <t>Positionspreis</t>
  </si>
  <si>
    <t>Menge2</t>
  </si>
  <si>
    <t>Positionspreis2</t>
  </si>
  <si>
    <t>ab</t>
  </si>
  <si>
    <t>Stück</t>
  </si>
  <si>
    <t>Ergebnis</t>
  </si>
  <si>
    <t>Link</t>
  </si>
  <si>
    <t>Einzelpreis</t>
  </si>
  <si>
    <t>Einzelpreis2</t>
  </si>
  <si>
    <t>ohne BLE</t>
  </si>
  <si>
    <t>LED, GRÜN, 3MCD, 570NM, SMD</t>
  </si>
  <si>
    <t>LED, ROT, 22MCD, 630NM, SMD</t>
  </si>
  <si>
    <t>LED, GELB, 10MCD, 590NM, SMD</t>
  </si>
  <si>
    <t>Keramikvielschichtkondensator, SMD, Baureihe MC, 0.1 µF, ± 10%, X5R, 10 V</t>
  </si>
  <si>
    <t>Keramikvielschichtkondensator, SMD, Baureihe MC, 100 pF, ± 10%, C0G / NP0, 50 V</t>
  </si>
  <si>
    <t>Dickschichtwiderstand, Oberflächenmont., Baureihe AEC-Q200 ERJ, 10 kohm, 100 mW, ± 1%, 50 V</t>
  </si>
  <si>
    <t>Keramikvielschichtkondensator, SMD, Baureihe MC, 0.01 µF, ± 10%, X7R, 25 V</t>
  </si>
  <si>
    <t>Keramikvielschichtkondensator, SMD, Baureihe GRM, 0.15 µF, ± 10%, X7R, 16 V</t>
  </si>
  <si>
    <t>Keramikvielschichtkondensator, SMD, Baureihe MC, 15 pF, ± 5%, C0G / NP0, 50 V</t>
  </si>
  <si>
    <t>Keramikvielschichtkondensator, SMD, Baureihe MC, 18 pF, ± 5%, C0G / NP0, 50 V</t>
  </si>
  <si>
    <t>Dickschichtwiderstand, Oberflächenmont., Baureihe AEC-Q200 ERJ, 1 Mohm, 100 mW, ± 1%, 50 V</t>
  </si>
  <si>
    <t>Keramikvielschichtkondensator, SMD, Baureihe GRM, 1 µF, ± 10%, X5R, 16 V, 0402</t>
  </si>
  <si>
    <t>Keramikvielschichtkondensator, SMD, Baureihe MC, 22 pF, ± 5%, C0G / NP0, 50 V</t>
  </si>
  <si>
    <t>Keramikvielschichtkondensator, SMD, Baureihe GRM, 4.7 µF, ± 20%, X5R, 6.3 V</t>
  </si>
  <si>
    <t>Dickschichtwiderstand, Oberflächenmont., Baureihe AEC-Q200 ERJ, 820 ohm, 100 mW, ± 1%, 50 V</t>
  </si>
  <si>
    <t>CRYSTAL, 8MHZ, 18PF, 5 X 3.2MM</t>
  </si>
  <si>
    <t>QUARZ, 16MHZ, 10PF, 3.2 X 2.5MM</t>
  </si>
  <si>
    <t>QUARZ, 32.768KHZ, 12.5PF, 3.2 X 1.5MM</t>
  </si>
  <si>
    <t>FILTER, MATCH, BLUETOOTH, 2.4GHZ-2.5GHZ</t>
  </si>
  <si>
    <t>Kleinsignal-Schottky-Diode, Zweifach, gemeinsame Kathode, 40 V, 200 mA, 300 mV, 1 A, 125 °C</t>
  </si>
  <si>
    <t>HF-TRANSCEIVER, 2.4835GHZ-2.4GHZ, QFN-32</t>
  </si>
  <si>
    <t>SPANNUNGSREGLER,LINEAR, 3.3V,SMD</t>
  </si>
  <si>
    <t>SPEICHER, FLASH, SERIAL, 16MBIT, 8NSOIC</t>
  </si>
  <si>
    <t>STECKPLATZ, MICRO-SD, 8POS, SMT</t>
  </si>
  <si>
    <t>STECKER,ZH,SIDE,4KONT,1.5MM,SMT</t>
  </si>
  <si>
    <t>CAN-Bus, Transceiver, CAN, 1, 1, 3 V, 3.6 V, SOIC</t>
  </si>
  <si>
    <t>MCU, 32BIT, CORTEX-M4, 72MHZ, LQFP-64</t>
  </si>
  <si>
    <t>STECKER,ZH,SIDE,8KONT,1.5MM,SMT</t>
  </si>
  <si>
    <t>MICRO USB 2.0 BUCHSE, TYP B, SMD</t>
  </si>
  <si>
    <t>ohne BLE2</t>
  </si>
  <si>
    <t>1.5K</t>
  </si>
  <si>
    <t>R4</t>
  </si>
  <si>
    <t>C8, C12, C14, C15, C16, C30, C31</t>
  </si>
  <si>
    <t>R3, R5, R9, R10, R12</t>
  </si>
  <si>
    <t>15K</t>
  </si>
  <si>
    <t>R13</t>
  </si>
  <si>
    <t>C7</t>
  </si>
  <si>
    <t xml:space="preserve">2320776RL </t>
  </si>
  <si>
    <t>C-EUC0603K</t>
  </si>
  <si>
    <t>C0603K</t>
  </si>
  <si>
    <t>C1</t>
  </si>
  <si>
    <t>1759409RL</t>
  </si>
  <si>
    <t>22R</t>
  </si>
  <si>
    <t>R1, R11</t>
  </si>
  <si>
    <t>2320818RL</t>
  </si>
  <si>
    <t>OSD, SENSOR, TELEM</t>
  </si>
  <si>
    <t>Ab</t>
  </si>
  <si>
    <t>Anzahl</t>
  </si>
  <si>
    <t>EP</t>
  </si>
  <si>
    <t>Summe</t>
  </si>
  <si>
    <t>LED Green</t>
  </si>
  <si>
    <t>LED Red</t>
  </si>
  <si>
    <t>LED Orange</t>
  </si>
  <si>
    <t>Keramikvielschichtkondensator, SMD, Baureihe MC, 4.7 µF, ± 10%, X5R, 10 V</t>
  </si>
  <si>
    <t>Keramikvielschichtkondensator, SMD, Baureihe MC, 1 µF, ± 10%, X5R, 25 V</t>
  </si>
  <si>
    <t>Keramikvielschichtkondensator, SMD, Baureihe MC, 1 µF, ± 10%, X5R, 10 V</t>
  </si>
  <si>
    <t>2302656RL</t>
  </si>
  <si>
    <t>Dickschichtwiderstand, Oberflächenmont., Baureihe AEC-Q200 ERJ, 1.5 kohm, 100 mW, ± 1%, 50 V</t>
  </si>
  <si>
    <t>Dickschichtwiderstand, Oberflächenmont., Baureihe AEC-Q200 ERJ, 15 kohm, 100 mW, ± 1%, 50 V</t>
  </si>
  <si>
    <t>2302754RL</t>
  </si>
  <si>
    <t>2302453RL</t>
  </si>
  <si>
    <t>Dickschichtwiderstand, Oberflächenmont., Baureihe AEC-Q200 ERJ, 22 ohm, 100 mW, ± 1%, 50 V</t>
  </si>
  <si>
    <t>820R</t>
  </si>
  <si>
    <t>Spalte1</t>
  </si>
  <si>
    <t>Spalte2</t>
  </si>
  <si>
    <t>Spalte3</t>
  </si>
  <si>
    <t>Spalte4</t>
  </si>
  <si>
    <t>Spalte5</t>
  </si>
  <si>
    <t>Spalte6</t>
  </si>
  <si>
    <t>Anzahl2</t>
  </si>
  <si>
    <t>EP2</t>
  </si>
  <si>
    <t>Summe2</t>
  </si>
  <si>
    <t>Kleinteile</t>
  </si>
  <si>
    <t>IC's</t>
  </si>
  <si>
    <t>USB Kabel</t>
  </si>
  <si>
    <t>Platinen</t>
  </si>
  <si>
    <t>USB MicroSD Leser</t>
  </si>
  <si>
    <t>Verpackung</t>
  </si>
  <si>
    <t>Gehäuse</t>
  </si>
  <si>
    <t>Bestückung</t>
  </si>
  <si>
    <t>Total</t>
  </si>
  <si>
    <t>Telemetry Kabel</t>
  </si>
  <si>
    <t>Bestückung Einmalig</t>
  </si>
  <si>
    <t>Bestückung pro Abruf</t>
  </si>
  <si>
    <t>CAN Bus Kabel</t>
  </si>
  <si>
    <t>Bauteile</t>
  </si>
  <si>
    <t>Offen</t>
  </si>
  <si>
    <t>Offen2</t>
  </si>
  <si>
    <t>MicroSD Karte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</si>
</sst>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* #,##0.0000\ &quot;€&quot;_-;\-* #,##0.0000\ &quot;€&quot;_-;_-* &quot;-&quot;??\ &quot;€&quot;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  <font>
      <b/>
      <sz val="2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5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right"/>
    </xf>
    <xf numFmtId="0" fontId="3" fillId="2" borderId="2" xfId="5" applyFont="1" applyFill="1" applyBorder="1" applyAlignment="1">
      <alignment horizontal="left"/>
    </xf>
    <xf numFmtId="0" fontId="3" fillId="3" borderId="2" xfId="5" applyFont="1" applyFill="1" applyBorder="1" applyAlignment="1">
      <alignment horizontal="left"/>
    </xf>
    <xf numFmtId="0" fontId="0" fillId="0" borderId="0" xfId="0" applyNumberFormat="1"/>
    <xf numFmtId="44" fontId="0" fillId="0" borderId="0" xfId="6" applyFont="1"/>
    <xf numFmtId="44" fontId="0" fillId="0" borderId="0" xfId="6" applyNumberFormat="1" applyFont="1"/>
    <xf numFmtId="164" fontId="0" fillId="0" borderId="0" xfId="6" applyNumberFormat="1" applyFont="1"/>
    <xf numFmtId="44" fontId="0" fillId="0" borderId="0" xfId="0" applyNumberFormat="1"/>
    <xf numFmtId="0" fontId="6" fillId="0" borderId="1" xfId="7" applyFont="1" applyAlignment="1"/>
    <xf numFmtId="0" fontId="3" fillId="0" borderId="0" xfId="5"/>
    <xf numFmtId="0" fontId="8" fillId="0" borderId="4" xfId="0" applyFont="1" applyFill="1" applyBorder="1"/>
    <xf numFmtId="0" fontId="8" fillId="0" borderId="3" xfId="0" applyFont="1" applyFill="1" applyBorder="1"/>
    <xf numFmtId="0" fontId="8" fillId="0" borderId="5" xfId="0" applyFont="1" applyFill="1" applyBorder="1"/>
    <xf numFmtId="0" fontId="8" fillId="0" borderId="6" xfId="0" applyFont="1" applyFill="1" applyBorder="1"/>
    <xf numFmtId="0" fontId="8" fillId="0" borderId="7" xfId="0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8" fillId="0" borderId="10" xfId="0" applyFont="1" applyFill="1" applyBorder="1"/>
    <xf numFmtId="0" fontId="8" fillId="0" borderId="11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3" fillId="0" borderId="15" xfId="0" applyFont="1" applyFill="1" applyBorder="1"/>
    <xf numFmtId="164" fontId="0" fillId="0" borderId="15" xfId="0" applyNumberFormat="1" applyFont="1" applyFill="1" applyBorder="1"/>
    <xf numFmtId="44" fontId="0" fillId="0" borderId="15" xfId="0" applyNumberFormat="1" applyFont="1" applyFill="1" applyBorder="1"/>
    <xf numFmtId="0" fontId="0" fillId="0" borderId="12" xfId="0" applyFont="1" applyFill="1" applyBorder="1"/>
    <xf numFmtId="0" fontId="0" fillId="0" borderId="2" xfId="0" applyFont="1" applyFill="1" applyBorder="1"/>
    <xf numFmtId="164" fontId="0" fillId="0" borderId="2" xfId="6" applyNumberFormat="1" applyFont="1" applyFill="1" applyBorder="1"/>
    <xf numFmtId="44" fontId="0" fillId="0" borderId="2" xfId="6" applyNumberFormat="1" applyFont="1" applyFill="1" applyBorder="1"/>
    <xf numFmtId="44" fontId="0" fillId="0" borderId="13" xfId="6" applyNumberFormat="1" applyFont="1" applyFill="1" applyBorder="1"/>
    <xf numFmtId="0" fontId="0" fillId="0" borderId="17" xfId="0" applyFont="1" applyFill="1" applyBorder="1"/>
    <xf numFmtId="0" fontId="0" fillId="0" borderId="18" xfId="0" applyFont="1" applyFill="1" applyBorder="1"/>
    <xf numFmtId="0" fontId="3" fillId="0" borderId="18" xfId="0" applyFont="1" applyFill="1" applyBorder="1"/>
    <xf numFmtId="0" fontId="0" fillId="0" borderId="18" xfId="0" applyNumberFormat="1" applyFont="1" applyFill="1" applyBorder="1"/>
    <xf numFmtId="44" fontId="0" fillId="0" borderId="18" xfId="0" applyNumberFormat="1" applyFont="1" applyFill="1" applyBorder="1"/>
    <xf numFmtId="0" fontId="0" fillId="0" borderId="19" xfId="0" applyNumberFormat="1" applyFont="1" applyFill="1" applyBorder="1"/>
    <xf numFmtId="0" fontId="9" fillId="0" borderId="0" xfId="0" applyFont="1"/>
    <xf numFmtId="0" fontId="3" fillId="0" borderId="2" xfId="5" applyFill="1" applyBorder="1"/>
    <xf numFmtId="0" fontId="0" fillId="0" borderId="21" xfId="0" applyFont="1" applyFill="1" applyBorder="1"/>
    <xf numFmtId="0" fontId="0" fillId="0" borderId="22" xfId="0" applyFont="1" applyFill="1" applyBorder="1"/>
    <xf numFmtId="0" fontId="3" fillId="0" borderId="22" xfId="0" applyFont="1" applyFill="1" applyBorder="1"/>
    <xf numFmtId="0" fontId="0" fillId="0" borderId="22" xfId="0" applyNumberFormat="1" applyFont="1" applyFill="1" applyBorder="1"/>
    <xf numFmtId="44" fontId="0" fillId="0" borderId="22" xfId="0" applyNumberFormat="1" applyFont="1" applyFill="1" applyBorder="1"/>
    <xf numFmtId="0" fontId="3" fillId="0" borderId="2" xfId="5" applyBorder="1"/>
    <xf numFmtId="164" fontId="1" fillId="0" borderId="2" xfId="6" applyNumberFormat="1" applyFont="1" applyBorder="1"/>
    <xf numFmtId="44" fontId="1" fillId="0" borderId="2" xfId="6" applyFont="1" applyBorder="1"/>
    <xf numFmtId="44" fontId="1" fillId="0" borderId="15" xfId="6" applyFont="1" applyBorder="1"/>
    <xf numFmtId="0" fontId="0" fillId="0" borderId="2" xfId="0" applyNumberFormat="1" applyFont="1" applyFill="1" applyBorder="1"/>
    <xf numFmtId="44" fontId="1" fillId="0" borderId="13" xfId="6" applyFont="1" applyBorder="1"/>
    <xf numFmtId="1" fontId="9" fillId="0" borderId="0" xfId="0" applyNumberFormat="1" applyFont="1"/>
    <xf numFmtId="1" fontId="0" fillId="0" borderId="0" xfId="0" applyNumberFormat="1"/>
    <xf numFmtId="1" fontId="0" fillId="0" borderId="15" xfId="0" applyNumberFormat="1" applyFont="1" applyFill="1" applyBorder="1"/>
    <xf numFmtId="1" fontId="0" fillId="0" borderId="0" xfId="0" applyNumberFormat="1" applyFill="1"/>
    <xf numFmtId="1" fontId="1" fillId="0" borderId="2" xfId="6" applyNumberFormat="1" applyFont="1" applyBorder="1"/>
    <xf numFmtId="1" fontId="0" fillId="0" borderId="18" xfId="0" applyNumberFormat="1" applyFont="1" applyFill="1" applyBorder="1"/>
    <xf numFmtId="44" fontId="0" fillId="0" borderId="23" xfId="0" applyNumberFormat="1" applyFont="1" applyFill="1" applyBorder="1"/>
    <xf numFmtId="44" fontId="0" fillId="0" borderId="16" xfId="0" applyNumberFormat="1" applyFont="1" applyFill="1" applyBorder="1"/>
    <xf numFmtId="44" fontId="0" fillId="0" borderId="0" xfId="6" applyNumberFormat="1" applyFont="1" applyFill="1" applyBorder="1"/>
    <xf numFmtId="44" fontId="1" fillId="0" borderId="0" xfId="6" applyFont="1" applyBorder="1"/>
    <xf numFmtId="0" fontId="9" fillId="0" borderId="0" xfId="0" applyFont="1" applyAlignment="1">
      <alignment horizontal="center"/>
    </xf>
    <xf numFmtId="0" fontId="9" fillId="0" borderId="20" xfId="0" applyFont="1" applyBorder="1" applyAlignment="1">
      <alignment horizontal="center"/>
    </xf>
  </cellXfs>
  <cellStyles count="16">
    <cellStyle name="Besuchter Link" xfId="2" builtinId="9" hidden="1"/>
    <cellStyle name="Besuchter Link" xfId="4" builtinId="9" hidden="1"/>
    <cellStyle name="Besuchter Link" xfId="8" builtinId="9" hidden="1"/>
    <cellStyle name="Besuchter Link" xfId="9" builtinId="9" hidden="1"/>
    <cellStyle name="Besuchter Link" xfId="10" builtinId="9" hidden="1"/>
    <cellStyle name="Besuchter Link" xfId="11" builtinId="9" hidden="1"/>
    <cellStyle name="Besuchter Link" xfId="12" builtinId="9" hidden="1"/>
    <cellStyle name="Besuchter Link" xfId="13" builtinId="9" hidden="1"/>
    <cellStyle name="Besuchter Link" xfId="14" builtinId="9" hidden="1"/>
    <cellStyle name="Besuchter Link" xfId="15" builtinId="9" hidden="1"/>
    <cellStyle name="Link" xfId="1" builtinId="8" hidden="1"/>
    <cellStyle name="Link" xfId="3" builtinId="8" hidden="1"/>
    <cellStyle name="Link" xfId="5" builtinId="8"/>
    <cellStyle name="Standard" xfId="0" builtinId="0"/>
    <cellStyle name="Überschrift 1" xfId="7" builtinId="16"/>
    <cellStyle name="Währung" xfId="6" builtinId="4"/>
  </cellStyles>
  <dxfs count="1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top style="thin">
          <color rgb="FFFFFFFF"/>
        </top>
      </border>
    </dxf>
    <dxf>
      <border outline="0">
        <left style="thin">
          <color auto="1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.0000\ &quot;€&quot;_-;\-* #,##0.0000\ &quot;€&quot;_-;_-* &quot;-&quot;??\ &quot;€&quot;_-;_-@_-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.0000\ &quot;€&quot;_-;\-* #,##0.0000\ &quot;€&quot;_-;_-* &quot;-&quot;??\ &quot;€&quot;_-;_-@_-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.0000\ &quot;€&quot;_-;\-* #,##0.0000\ &quot;€&quot;_-;_-* &quot;-&quot;??\ &quot;€&quot;_-;_-@_-"/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.0000\ &quot;€&quot;_-;\-* #,##0.0000\ &quot;€&quot;_-;_-* &quot;-&quot;??\ &quot;€&quot;_-;_-@_-"/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numFmt numFmtId="0" formatCode="General"/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fill>
        <patternFill patternType="none"/>
      </fill>
    </dxf>
    <dxf>
      <border outline="0"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theme="4" tint="0.79998168889431442"/>
          <bgColor theme="4" tint="0.79998168889431442"/>
        </patternFill>
      </fill>
    </dxf>
    <dxf>
      <border outline="0">
        <bottom style="thin">
          <color theme="0"/>
        </bottom>
      </border>
    </dxf>
    <dxf>
      <fill>
        <patternFill patternType="none"/>
      </fill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" formatCode="0"/>
    </dxf>
    <dxf>
      <numFmt numFmtId="1" formatCode="0"/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34" formatCode="_-* #,##0.00\ &quot;€&quot;_-;\-* #,##0.00\ &quot;€&quot;_-;_-* &quot;-&quot;??\ &quot;€&quot;_-;_-@_-"/>
    </dxf>
    <dxf>
      <numFmt numFmtId="164" formatCode="_-* #,##0.0000\ &quot;€&quot;_-;\-* #,##0.0000\ &quot;€&quot;_-;_-* &quot;-&quot;??\ &quot;€&quot;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0" formatCode="General"/>
    </dxf>
    <dxf>
      <numFmt numFmtId="164" formatCode="_-* #,##0.0000\ &quot;€&quot;_-;\-* #,##0.0000\ &quot;€&quot;_-;_-* &quot;-&quot;??\ &quot;€&quot;_-;_-@_-"/>
    </dxf>
    <dxf>
      <numFmt numFmtId="0" formatCode="General"/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0" formatCode="General"/>
    </dxf>
    <dxf>
      <numFmt numFmtId="164" formatCode="_-* #,##0.0000\ &quot;€&quot;_-;\-* #,##0.0000\ &quot;€&quot;_-;_-* &quot;-&quot;??\ &quot;€&quot;_-;_-@_-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BOM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OM" connectionId="2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elle2" displayName="Tabelle2" ref="A2:P34" totalsRowCount="1">
  <autoFilter ref="A2:P33"/>
  <tableColumns count="16">
    <tableColumn id="1" name="Qty" totalsRowLabel="Ergebnis"/>
    <tableColumn id="9" name="Farnell" dataDxfId="106" totalsRowDxfId="105"/>
    <tableColumn id="2" name="Value"/>
    <tableColumn id="3" name="Device"/>
    <tableColumn id="4" name="Package"/>
    <tableColumn id="5" name="Parts"/>
    <tableColumn id="6" name="Description"/>
    <tableColumn id="10" name="Menge" dataDxfId="104">
      <calculatedColumnFormula>$I$1*Tabelle2[[#This Row],[Qty]]</calculatedColumnFormula>
    </tableColumn>
    <tableColumn id="11" name="Einzelpreis" totalsRowFunction="custom" dataDxfId="103" totalsRowDxfId="102" dataCellStyle="Währung">
      <totalsRowFormula>Tabelle2[[#Totals],[Positionspreis]]/I1</totalsRowFormula>
    </tableColumn>
    <tableColumn id="12" name="Positionspreis" totalsRowFunction="sum" dataDxfId="101" totalsRowDxfId="100" dataCellStyle="Währung">
      <calculatedColumnFormula>Tabelle2[[#This Row],[Menge]]*Tabelle2[[#This Row],[Einzelpreis]]</calculatedColumnFormula>
    </tableColumn>
    <tableColumn id="19" name="ohne BLE" totalsRowFunction="custom" dataDxfId="99" totalsRowDxfId="98" dataCellStyle="Währung">
      <totalsRowFormula>SUBTOTAL(109,Tabelle2[ohne BLE]) / I1</totalsRowFormula>
    </tableColumn>
    <tableColumn id="13" name="Menge2" dataDxfId="97">
      <calculatedColumnFormula>$M$1*Tabelle2[[#This Row],[Qty]]</calculatedColumnFormula>
    </tableColumn>
    <tableColumn id="14" name="Einzelpreis2" totalsRowFunction="custom" dataDxfId="96" totalsRowDxfId="95" dataCellStyle="Währung">
      <totalsRowFormula>Tabelle2[[#Totals],[Positionspreis2]]/M1</totalsRowFormula>
    </tableColumn>
    <tableColumn id="15" name="Positionspreis2" totalsRowFunction="sum" totalsRowDxfId="94" dataCellStyle="Währung">
      <calculatedColumnFormula>Tabelle2[[#This Row],[Menge2]]*Tabelle2[[#This Row],[Einzelpreis2]]</calculatedColumnFormula>
    </tableColumn>
    <tableColumn id="17" name="ohne BLE2" totalsRowFunction="custom" dataDxfId="93" totalsRowDxfId="92" dataCellStyle="Währung">
      <calculatedColumnFormula>Tabelle2[[#This Row],[Positionspreis2]]</calculatedColumnFormula>
      <totalsRowFormula>SUBTOTAL(109,Tabelle2[ohne BLE2])/M1</totalsRowFormula>
    </tableColumn>
    <tableColumn id="18" name="Link" totalsRowFunction="custom" dataDxfId="91" dataCellStyle="Link">
      <calculatedColumnFormula>HYPERLINK(CONCATENATE("http://de.farnell.com/a/b/c/dp/",Tabelle2[[#This Row],[Farnell]]), "Details")</calculatedColumnFormula>
      <totalsRowFormula>Tabelle2[[#Totals],[ohne BLE2]]/I1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A2:O20" totalsRowCount="1">
  <autoFilter ref="A2:O19"/>
  <tableColumns count="15">
    <tableColumn id="1" name="Qty"/>
    <tableColumn id="2" name="Farnell"/>
    <tableColumn id="3" name="Value"/>
    <tableColumn id="5" name="Package"/>
    <tableColumn id="6" name="Parts"/>
    <tableColumn id="7" name="Description"/>
    <tableColumn id="11" name="Link" dataDxfId="90">
      <calculatedColumnFormula>HYPERLINK(CONCATENATE("http://de.farnell.com/a/b/c/dp/",Tabelle1[[#This Row],[Farnell]]), "Details")</calculatedColumnFormula>
    </tableColumn>
    <tableColumn id="8" name="Anzahl" dataDxfId="89">
      <calculatedColumnFormula>$I$1*Tabelle1[[#This Row],[Qty]]</calculatedColumnFormula>
    </tableColumn>
    <tableColumn id="9" name="EP" totalsRowFunction="custom" dataDxfId="88" dataCellStyle="Währung">
      <totalsRowFormula>Tabelle1[[#Totals],[Summe]]/I1</totalsRowFormula>
    </tableColumn>
    <tableColumn id="10" name="Summe" totalsRowFunction="sum" totalsRowDxfId="87" dataCellStyle="Währung">
      <calculatedColumnFormula>Tabelle1[[#This Row],[Anzahl]]*Tabelle1[[#This Row],[EP]]</calculatedColumnFormula>
    </tableColumn>
    <tableColumn id="4" name="Offen" dataDxfId="86" totalsRowDxfId="85" dataCellStyle="Währung"/>
    <tableColumn id="13" name="Anzahl2" dataDxfId="84" totalsRowDxfId="83" dataCellStyle="Währung">
      <calculatedColumnFormula>Tabelle1[[#This Row],[Summe]]</calculatedColumnFormula>
    </tableColumn>
    <tableColumn id="12" name="EP2" totalsRowFunction="custom" totalsRowDxfId="82" dataCellStyle="Währung">
      <calculatedColumnFormula>Tabelle1[[#This Row],[Summe]]</calculatedColumnFormula>
      <totalsRowFormula>Tabelle1[[#Totals],[Summe2]]/L1</totalsRowFormula>
    </tableColumn>
    <tableColumn id="14" name="Summe2" totalsRowFunction="sum" dataDxfId="81" totalsRowDxfId="80" dataCellStyle="Währung">
      <calculatedColumnFormula>Tabelle1[[#This Row],[Anzahl2]]*Tabelle1[[#This Row],[EP2]]</calculatedColumnFormula>
    </tableColumn>
    <tableColumn id="15" name="Offen2" dataCellStyle="Währung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elle4" displayName="Tabelle4" ref="A22:O31" totalsRowCount="1" headerRowDxfId="79" dataDxfId="77" totalsRowDxfId="75" headerRowBorderDxfId="78" tableBorderDxfId="76" totalsRowBorderDxfId="74" dataCellStyle="Währung">
  <autoFilter ref="A22:O30"/>
  <tableColumns count="15">
    <tableColumn id="1" name="Qty" totalsRowLabel="Ergebnis" dataDxfId="73" totalsRowDxfId="72"/>
    <tableColumn id="2" name="Farnell" dataDxfId="71" totalsRowDxfId="70"/>
    <tableColumn id="3" name="Value" dataDxfId="69" totalsRowDxfId="68"/>
    <tableColumn id="4" name="Package" dataDxfId="67" totalsRowDxfId="66"/>
    <tableColumn id="5" name="Parts" dataDxfId="65" totalsRowDxfId="64"/>
    <tableColumn id="6" name="Description" dataDxfId="63" totalsRowDxfId="62"/>
    <tableColumn id="7" name="Link" dataDxfId="61" totalsRowDxfId="60" dataCellStyle="Link">
      <calculatedColumnFormula>HYPERLINK(CONCATENATE("http://de.farnell.com/a/b/c/dp/",Tabelle2[[#This Row],[Farnell]]), "Details")</calculatedColumnFormula>
    </tableColumn>
    <tableColumn id="8" name="Anzahl" dataDxfId="59" totalsRowDxfId="58">
      <calculatedColumnFormula>$I$1*Tabelle4[[#This Row],[Qty]]</calculatedColumnFormula>
    </tableColumn>
    <tableColumn id="9" name="EP" totalsRowFunction="custom" dataDxfId="57" totalsRowDxfId="56" dataCellStyle="Währung">
      <totalsRowFormula>Tabelle4[[#Totals],[Summe]]/$I$1</totalsRowFormula>
    </tableColumn>
    <tableColumn id="10" name="Summe" totalsRowFunction="sum" dataDxfId="55" totalsRowDxfId="54" dataCellStyle="Währung">
      <calculatedColumnFormula>Tabelle4[[#This Row],[Anzahl]]*Tabelle4[[#This Row],[EP]]</calculatedColumnFormula>
    </tableColumn>
    <tableColumn id="15" name="Offen" totalsRowFunction="sum" dataDxfId="53" totalsRowDxfId="52" dataCellStyle="Währung">
      <calculatedColumnFormula>Tabelle4[[#This Row],[EP]]*44</calculatedColumnFormula>
    </tableColumn>
    <tableColumn id="11" name="Anzahl2" dataDxfId="51" totalsRowDxfId="50" dataCellStyle="Währung">
      <calculatedColumnFormula>$L$1*Tabelle4[[#This Row],[Qty]]</calculatedColumnFormula>
    </tableColumn>
    <tableColumn id="12" name="EP2" totalsRowFunction="custom" dataDxfId="49" totalsRowDxfId="48" dataCellStyle="Währung">
      <totalsRowFormula>Tabelle4[[#Totals],[Summe2]]/$L$1</totalsRowFormula>
    </tableColumn>
    <tableColumn id="13" name="Summe2" totalsRowFunction="sum" dataDxfId="47" totalsRowDxfId="46" dataCellStyle="Währung">
      <calculatedColumnFormula>Tabelle4[[#This Row],[Anzahl2]]*Tabelle4[[#This Row],[EP2]]</calculatedColumnFormula>
    </tableColumn>
    <tableColumn id="14" name="Offen2" dataDxfId="45" totalsRowDxfId="44" dataCellStyle="Währung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elle5" displayName="Tabelle5" ref="A34:O47" totalsRowCount="1" headerRowDxfId="43" dataDxfId="41" headerRowBorderDxfId="42" dataCellStyle="Währung">
  <autoFilter ref="A34:O46"/>
  <tableColumns count="15">
    <tableColumn id="1" name="Qty" totalsRowLabel="Ergebnis" dataDxfId="40" totalsRowDxfId="39"/>
    <tableColumn id="2" name="Farnell" dataDxfId="38" totalsRowDxfId="37"/>
    <tableColumn id="3" name="Value" dataDxfId="36" totalsRowDxfId="35"/>
    <tableColumn id="4" name="Package" dataDxfId="34" totalsRowDxfId="33"/>
    <tableColumn id="5" name="Parts" dataDxfId="32" totalsRowDxfId="31"/>
    <tableColumn id="6" name="Description" dataDxfId="30" totalsRowDxfId="29"/>
    <tableColumn id="7" name="Link" dataDxfId="28" totalsRowDxfId="27" dataCellStyle="Link"/>
    <tableColumn id="8" name="Anzahl" dataDxfId="26" totalsRowDxfId="25">
      <calculatedColumnFormula>Tabelle5[[#This Row],[Qty]]*$I$1</calculatedColumnFormula>
    </tableColumn>
    <tableColumn id="9" name="EP" totalsRowFunction="custom" dataDxfId="24" totalsRowDxfId="23" dataCellStyle="Währung">
      <totalsRowFormula>Tabelle5[[#Totals],[Summe]]/I1</totalsRowFormula>
    </tableColumn>
    <tableColumn id="10" name="Summe" totalsRowFunction="sum" dataDxfId="22" totalsRowDxfId="21" dataCellStyle="Währung"/>
    <tableColumn id="15" name="Offen" totalsRowFunction="sum" dataDxfId="20" totalsRowDxfId="19" dataCellStyle="Währung">
      <calculatedColumnFormula>Tabelle5[[#This Row],[Summe]]</calculatedColumnFormula>
    </tableColumn>
    <tableColumn id="11" name="Anzahl2" dataDxfId="18" totalsRowDxfId="17">
      <calculatedColumnFormula>$L$1*Tabelle5[[#This Row],[Qty]]</calculatedColumnFormula>
    </tableColumn>
    <tableColumn id="12" name="EP2" totalsRowFunction="custom" dataDxfId="16" totalsRowDxfId="15" dataCellStyle="Währung">
      <totalsRowFormula>Tabelle5[[#Totals],[Summe2]]/L1</totalsRowFormula>
    </tableColumn>
    <tableColumn id="13" name="Summe2" totalsRowFunction="sum" dataDxfId="14" totalsRowDxfId="13" dataCellStyle="Währung"/>
    <tableColumn id="14" name="Offen2" totalsRowFunction="sum" dataDxfId="12" totalsRowDxfId="11" dataCellStyle="Währung">
      <calculatedColumnFormula>Tabelle5[[#This Row],[Summe2]]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elle3" displayName="Tabelle3" ref="A1:F26" totalsRowShown="0" headerRowDxfId="10" dataDxfId="8" headerRowBorderDxfId="9" tableBorderDxfId="7" totalsRowBorderDxfId="6">
  <autoFilter ref="A1:F26"/>
  <tableColumns count="6">
    <tableColumn id="1" name="Spalte1" dataDxfId="5"/>
    <tableColumn id="2" name="Spalte2" dataDxfId="4"/>
    <tableColumn id="3" name="Spalte3" dataDxfId="3"/>
    <tableColumn id="4" name="Spalte4" dataDxfId="2"/>
    <tableColumn id="5" name="Spalte5" dataDxfId="1"/>
    <tableColumn id="6" name="Spalte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queryTable" Target="../queryTables/queryTable2.xml"/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A8" sqref="A8"/>
    </sheetView>
  </sheetViews>
  <sheetFormatPr baseColWidth="10" defaultRowHeight="15" x14ac:dyDescent="0"/>
  <cols>
    <col min="1" max="1" width="6.6640625" customWidth="1"/>
    <col min="2" max="2" width="10.33203125" bestFit="1" customWidth="1"/>
    <col min="3" max="3" width="18.5" customWidth="1"/>
    <col min="4" max="4" width="13.5" customWidth="1"/>
    <col min="5" max="5" width="6.6640625" customWidth="1"/>
    <col min="6" max="6" width="15.6640625" customWidth="1"/>
    <col min="7" max="7" width="33.5" customWidth="1"/>
    <col min="9" max="9" width="12.83203125" bestFit="1" customWidth="1"/>
    <col min="10" max="10" width="15.5" bestFit="1" customWidth="1"/>
    <col min="11" max="11" width="11.5" bestFit="1" customWidth="1"/>
    <col min="12" max="12" width="10.6640625" bestFit="1" customWidth="1"/>
    <col min="14" max="14" width="16.5" bestFit="1" customWidth="1"/>
    <col min="15" max="15" width="12.1640625" bestFit="1" customWidth="1"/>
  </cols>
  <sheetData>
    <row r="1" spans="1:16" ht="24" thickBot="1">
      <c r="H1" s="9" t="s">
        <v>115</v>
      </c>
      <c r="I1" s="9">
        <v>200</v>
      </c>
      <c r="J1" s="9" t="s">
        <v>116</v>
      </c>
      <c r="K1" s="9"/>
      <c r="L1" s="9" t="s">
        <v>115</v>
      </c>
      <c r="M1" s="9">
        <v>500</v>
      </c>
      <c r="N1" s="9" t="s">
        <v>116</v>
      </c>
    </row>
    <row r="2" spans="1:16" ht="16" thickTop="1">
      <c r="A2" t="s">
        <v>0</v>
      </c>
      <c r="B2" t="s">
        <v>110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111</v>
      </c>
      <c r="I2" t="s">
        <v>119</v>
      </c>
      <c r="J2" t="s">
        <v>112</v>
      </c>
      <c r="K2" t="s">
        <v>121</v>
      </c>
      <c r="L2" t="s">
        <v>113</v>
      </c>
      <c r="M2" t="s">
        <v>120</v>
      </c>
      <c r="N2" t="s">
        <v>114</v>
      </c>
      <c r="O2" t="s">
        <v>151</v>
      </c>
      <c r="P2" t="s">
        <v>118</v>
      </c>
    </row>
    <row r="3" spans="1:16">
      <c r="A3">
        <v>1</v>
      </c>
      <c r="B3" s="1" t="s">
        <v>9</v>
      </c>
      <c r="D3" t="s">
        <v>6</v>
      </c>
      <c r="E3" t="s">
        <v>7</v>
      </c>
      <c r="F3" t="s">
        <v>8</v>
      </c>
      <c r="G3" t="s">
        <v>122</v>
      </c>
      <c r="H3">
        <f>$I$1*Tabelle2[[#This Row],[Qty]]</f>
        <v>200</v>
      </c>
      <c r="I3" s="7">
        <v>7.6399999999999996E-2</v>
      </c>
      <c r="J3" s="6">
        <f>Tabelle2[[#This Row],[Menge]]*Tabelle2[[#This Row],[Einzelpreis]]</f>
        <v>15.28</v>
      </c>
      <c r="K3" s="5">
        <f>Tabelle2[[#This Row],[Positionspreis]]</f>
        <v>15.28</v>
      </c>
      <c r="L3">
        <f>$M$1*Tabelle2[[#This Row],[Qty]]</f>
        <v>500</v>
      </c>
      <c r="M3" s="7">
        <v>6.3399999999999998E-2</v>
      </c>
      <c r="N3" s="5">
        <f>Tabelle2[[#This Row],[Menge2]]*Tabelle2[[#This Row],[Einzelpreis2]]</f>
        <v>31.7</v>
      </c>
      <c r="O3" s="5">
        <f>Tabelle2[[#This Row],[Positionspreis2]]</f>
        <v>31.7</v>
      </c>
      <c r="P3" s="2" t="str">
        <f>HYPERLINK(CONCATENATE("http://de.farnell.com/a/b/c/dp/",Tabelle2[[#This Row],[Farnell]]), "Details")</f>
        <v>Details</v>
      </c>
    </row>
    <row r="4" spans="1:16">
      <c r="A4">
        <v>1</v>
      </c>
      <c r="B4" s="1" t="s">
        <v>11</v>
      </c>
      <c r="D4" t="s">
        <v>6</v>
      </c>
      <c r="E4" t="s">
        <v>7</v>
      </c>
      <c r="F4" t="s">
        <v>10</v>
      </c>
      <c r="G4" t="s">
        <v>123</v>
      </c>
      <c r="H4">
        <f>$I$1*Tabelle2[[#This Row],[Qty]]</f>
        <v>200</v>
      </c>
      <c r="I4" s="7">
        <v>7.1199999999999999E-2</v>
      </c>
      <c r="J4" s="6">
        <f>Tabelle2[[#This Row],[Menge]]*Tabelle2[[#This Row],[Einzelpreis]]</f>
        <v>14.24</v>
      </c>
      <c r="K4" s="5">
        <f>Tabelle2[[#This Row],[Positionspreis]]</f>
        <v>14.24</v>
      </c>
      <c r="L4">
        <f>$M$1*Tabelle2[[#This Row],[Qty]]</f>
        <v>500</v>
      </c>
      <c r="M4" s="7">
        <v>5.8500000000000003E-2</v>
      </c>
      <c r="N4" s="5">
        <f>Tabelle2[[#This Row],[Menge2]]*Tabelle2[[#This Row],[Einzelpreis2]]</f>
        <v>29.25</v>
      </c>
      <c r="O4" s="5">
        <f>Tabelle2[[#This Row],[Positionspreis2]]</f>
        <v>29.25</v>
      </c>
      <c r="P4" s="3" t="str">
        <f>HYPERLINK(CONCATENATE("http://de.farnell.com/a/b/c/dp/",Tabelle2[[#This Row],[Farnell]]), "Details")</f>
        <v>Details</v>
      </c>
    </row>
    <row r="5" spans="1:16">
      <c r="A5">
        <v>1</v>
      </c>
      <c r="B5" s="1" t="s">
        <v>13</v>
      </c>
      <c r="D5" t="s">
        <v>6</v>
      </c>
      <c r="E5" t="s">
        <v>7</v>
      </c>
      <c r="F5" t="s">
        <v>12</v>
      </c>
      <c r="G5" t="s">
        <v>124</v>
      </c>
      <c r="H5">
        <f>$I$1*Tabelle2[[#This Row],[Qty]]</f>
        <v>200</v>
      </c>
      <c r="I5" s="7">
        <v>7.1199999999999999E-2</v>
      </c>
      <c r="J5" s="6">
        <f>Tabelle2[[#This Row],[Menge]]*Tabelle2[[#This Row],[Einzelpreis]]</f>
        <v>14.24</v>
      </c>
      <c r="K5" s="5">
        <f>Tabelle2[[#This Row],[Positionspreis]]</f>
        <v>14.24</v>
      </c>
      <c r="L5">
        <f>$M$1*Tabelle2[[#This Row],[Qty]]</f>
        <v>500</v>
      </c>
      <c r="M5" s="7">
        <v>5.8500000000000003E-2</v>
      </c>
      <c r="N5" s="5">
        <f>Tabelle2[[#This Row],[Menge2]]*Tabelle2[[#This Row],[Einzelpreis2]]</f>
        <v>29.25</v>
      </c>
      <c r="O5" s="5">
        <f>Tabelle2[[#This Row],[Positionspreis2]]</f>
        <v>29.25</v>
      </c>
      <c r="P5" s="2" t="str">
        <f>HYPERLINK(CONCATENATE("http://de.farnell.com/a/b/c/dp/",Tabelle2[[#This Row],[Farnell]]), "Details")</f>
        <v>Details</v>
      </c>
    </row>
    <row r="6" spans="1:16">
      <c r="A6">
        <v>12</v>
      </c>
      <c r="B6" s="1" t="s">
        <v>18</v>
      </c>
      <c r="C6" t="s">
        <v>14</v>
      </c>
      <c r="D6" t="s">
        <v>15</v>
      </c>
      <c r="E6" t="s">
        <v>16</v>
      </c>
      <c r="F6" t="s">
        <v>17</v>
      </c>
      <c r="G6" t="s">
        <v>125</v>
      </c>
      <c r="H6">
        <f>$I$1*Tabelle2[[#This Row],[Qty]]</f>
        <v>2400</v>
      </c>
      <c r="I6" s="7">
        <v>5.0000000000000001E-3</v>
      </c>
      <c r="J6" s="6">
        <f>Tabelle2[[#This Row],[Menge]]*Tabelle2[[#This Row],[Einzelpreis]]</f>
        <v>12</v>
      </c>
      <c r="K6" s="5">
        <f>Tabelle2[[#This Row],[Positionspreis]]</f>
        <v>12</v>
      </c>
      <c r="L6">
        <f>$M$1*Tabelle2[[#This Row],[Qty]]</f>
        <v>6000</v>
      </c>
      <c r="M6" s="7">
        <v>2E-3</v>
      </c>
      <c r="N6" s="5">
        <f>Tabelle2[[#This Row],[Menge2]]*Tabelle2[[#This Row],[Einzelpreis2]]</f>
        <v>12</v>
      </c>
      <c r="O6" s="5">
        <f>Tabelle2[[#This Row],[Positionspreis2]]</f>
        <v>12</v>
      </c>
      <c r="P6" s="3" t="str">
        <f>HYPERLINK(CONCATENATE("http://de.farnell.com/a/b/c/dp/",Tabelle2[[#This Row],[Farnell]]), "Details")</f>
        <v>Details</v>
      </c>
    </row>
    <row r="7" spans="1:16">
      <c r="A7">
        <v>2</v>
      </c>
      <c r="B7" s="1" t="s">
        <v>21</v>
      </c>
      <c r="C7" t="s">
        <v>19</v>
      </c>
      <c r="D7" t="s">
        <v>15</v>
      </c>
      <c r="E7" t="s">
        <v>16</v>
      </c>
      <c r="F7" t="s">
        <v>20</v>
      </c>
      <c r="G7" t="s">
        <v>126</v>
      </c>
      <c r="H7">
        <f>$I$1*Tabelle2[[#This Row],[Qty]]</f>
        <v>400</v>
      </c>
      <c r="I7" s="7">
        <v>6.0000000000000001E-3</v>
      </c>
      <c r="J7" s="6">
        <f>Tabelle2[[#This Row],[Menge]]*Tabelle2[[#This Row],[Einzelpreis]]</f>
        <v>2.4</v>
      </c>
      <c r="K7" s="5"/>
      <c r="L7">
        <f>$M$1*Tabelle2[[#This Row],[Qty]]</f>
        <v>1000</v>
      </c>
      <c r="M7" s="7">
        <v>5.0000000000000001E-3</v>
      </c>
      <c r="N7" s="5">
        <f>Tabelle2[[#This Row],[Menge2]]*Tabelle2[[#This Row],[Einzelpreis2]]</f>
        <v>5</v>
      </c>
      <c r="O7" s="5"/>
      <c r="P7" s="2" t="str">
        <f>HYPERLINK(CONCATENATE("http://de.farnell.com/a/b/c/dp/",Tabelle2[[#This Row],[Farnell]]), "Details")</f>
        <v>Details</v>
      </c>
    </row>
    <row r="8" spans="1:16">
      <c r="A8">
        <v>6</v>
      </c>
      <c r="B8" s="1" t="s">
        <v>26</v>
      </c>
      <c r="C8" t="s">
        <v>22</v>
      </c>
      <c r="D8" t="s">
        <v>23</v>
      </c>
      <c r="E8" t="s">
        <v>24</v>
      </c>
      <c r="F8" t="s">
        <v>25</v>
      </c>
      <c r="G8" t="s">
        <v>127</v>
      </c>
      <c r="H8">
        <f>$I$1*Tabelle2[[#This Row],[Qty]]</f>
        <v>1200</v>
      </c>
      <c r="I8" s="7">
        <v>6.8999999999999999E-3</v>
      </c>
      <c r="J8" s="6">
        <f>Tabelle2[[#This Row],[Menge]]*Tabelle2[[#This Row],[Einzelpreis]]</f>
        <v>8.2799999999999994</v>
      </c>
      <c r="K8" s="5">
        <f>Tabelle2[[#This Row],[Positionspreis]]</f>
        <v>8.2799999999999994</v>
      </c>
      <c r="L8">
        <f>$M$1*Tabelle2[[#This Row],[Qty]]</f>
        <v>3000</v>
      </c>
      <c r="M8" s="7">
        <v>5.8999999999999999E-3</v>
      </c>
      <c r="N8" s="5">
        <f>Tabelle2[[#This Row],[Menge2]]*Tabelle2[[#This Row],[Einzelpreis2]]</f>
        <v>17.7</v>
      </c>
      <c r="O8" s="5">
        <f>Tabelle2[[#This Row],[Positionspreis2]]</f>
        <v>17.7</v>
      </c>
      <c r="P8" s="3" t="str">
        <f>HYPERLINK(CONCATENATE("http://de.farnell.com/a/b/c/dp/",Tabelle2[[#This Row],[Farnell]]), "Details")</f>
        <v>Details</v>
      </c>
    </row>
    <row r="9" spans="1:16">
      <c r="A9">
        <v>2</v>
      </c>
      <c r="B9" s="1" t="s">
        <v>29</v>
      </c>
      <c r="C9" t="s">
        <v>27</v>
      </c>
      <c r="D9" t="s">
        <v>15</v>
      </c>
      <c r="E9" t="s">
        <v>16</v>
      </c>
      <c r="F9" t="s">
        <v>28</v>
      </c>
      <c r="G9" t="s">
        <v>128</v>
      </c>
      <c r="H9">
        <f>$I$1*Tabelle2[[#This Row],[Qty]]</f>
        <v>400</v>
      </c>
      <c r="I9" s="7">
        <v>7.0000000000000001E-3</v>
      </c>
      <c r="J9" s="6">
        <f>Tabelle2[[#This Row],[Menge]]*Tabelle2[[#This Row],[Einzelpreis]]</f>
        <v>2.8000000000000003</v>
      </c>
      <c r="K9" s="5">
        <f>Tabelle2[[#This Row],[Positionspreis]]</f>
        <v>2.8000000000000003</v>
      </c>
      <c r="L9">
        <f>$M$1*Tabelle2[[#This Row],[Qty]]</f>
        <v>1000</v>
      </c>
      <c r="M9" s="7">
        <v>6.0000000000000001E-3</v>
      </c>
      <c r="N9" s="5">
        <f>Tabelle2[[#This Row],[Menge2]]*Tabelle2[[#This Row],[Einzelpreis2]]</f>
        <v>6</v>
      </c>
      <c r="O9" s="5">
        <f>Tabelle2[[#This Row],[Positionspreis2]]</f>
        <v>6</v>
      </c>
      <c r="P9" s="2" t="str">
        <f>HYPERLINK(CONCATENATE("http://de.farnell.com/a/b/c/dp/",Tabelle2[[#This Row],[Farnell]]), "Details")</f>
        <v>Details</v>
      </c>
    </row>
    <row r="10" spans="1:16">
      <c r="A10">
        <v>1</v>
      </c>
      <c r="B10" s="1" t="s">
        <v>32</v>
      </c>
      <c r="C10" t="s">
        <v>30</v>
      </c>
      <c r="D10" t="s">
        <v>15</v>
      </c>
      <c r="E10" t="s">
        <v>16</v>
      </c>
      <c r="F10" t="s">
        <v>31</v>
      </c>
      <c r="G10" t="s">
        <v>129</v>
      </c>
      <c r="H10">
        <f>$I$1*Tabelle2[[#This Row],[Qty]]</f>
        <v>200</v>
      </c>
      <c r="I10" s="7">
        <v>2.7799999999999998E-2</v>
      </c>
      <c r="J10" s="6">
        <f>Tabelle2[[#This Row],[Menge]]*Tabelle2[[#This Row],[Einzelpreis]]</f>
        <v>5.56</v>
      </c>
      <c r="K10" s="5"/>
      <c r="L10">
        <f>$M$1*Tabelle2[[#This Row],[Qty]]</f>
        <v>500</v>
      </c>
      <c r="M10" s="7">
        <v>1.8100000000000002E-2</v>
      </c>
      <c r="N10" s="5">
        <f>Tabelle2[[#This Row],[Menge2]]*Tabelle2[[#This Row],[Einzelpreis2]]</f>
        <v>9.0500000000000007</v>
      </c>
      <c r="O10" s="5"/>
      <c r="P10" s="3" t="str">
        <f>HYPERLINK(CONCATENATE("http://de.farnell.com/a/b/c/dp/",Tabelle2[[#This Row],[Farnell]]), "Details")</f>
        <v>Details</v>
      </c>
    </row>
    <row r="11" spans="1:16">
      <c r="A11">
        <v>2</v>
      </c>
      <c r="B11" s="1" t="s">
        <v>35</v>
      </c>
      <c r="C11" t="s">
        <v>33</v>
      </c>
      <c r="D11" t="s">
        <v>15</v>
      </c>
      <c r="E11" t="s">
        <v>16</v>
      </c>
      <c r="F11" t="s">
        <v>34</v>
      </c>
      <c r="G11" t="s">
        <v>130</v>
      </c>
      <c r="H11">
        <f>$I$1*Tabelle2[[#This Row],[Qty]]</f>
        <v>400</v>
      </c>
      <c r="I11" s="7">
        <v>6.0000000000000001E-3</v>
      </c>
      <c r="J11" s="6">
        <f>Tabelle2[[#This Row],[Menge]]*Tabelle2[[#This Row],[Einzelpreis]]</f>
        <v>2.4</v>
      </c>
      <c r="K11" s="5"/>
      <c r="L11">
        <f>$M$1*Tabelle2[[#This Row],[Qty]]</f>
        <v>1000</v>
      </c>
      <c r="M11" s="7">
        <v>5.0000000000000001E-3</v>
      </c>
      <c r="N11" s="5">
        <f>Tabelle2[[#This Row],[Menge2]]*Tabelle2[[#This Row],[Einzelpreis2]]</f>
        <v>5</v>
      </c>
      <c r="O11" s="5"/>
      <c r="P11" s="2" t="str">
        <f>HYPERLINK(CONCATENATE("http://de.farnell.com/a/b/c/dp/",Tabelle2[[#This Row],[Farnell]]), "Details")</f>
        <v>Details</v>
      </c>
    </row>
    <row r="12" spans="1:16">
      <c r="A12">
        <v>2</v>
      </c>
      <c r="B12" s="1" t="s">
        <v>38</v>
      </c>
      <c r="C12" t="s">
        <v>36</v>
      </c>
      <c r="D12" t="s">
        <v>15</v>
      </c>
      <c r="E12" t="s">
        <v>16</v>
      </c>
      <c r="F12" t="s">
        <v>37</v>
      </c>
      <c r="G12" t="s">
        <v>131</v>
      </c>
      <c r="H12">
        <f>$I$1*Tabelle2[[#This Row],[Qty]]</f>
        <v>400</v>
      </c>
      <c r="I12" s="7">
        <v>6.0000000000000001E-3</v>
      </c>
      <c r="J12" s="6">
        <f>Tabelle2[[#This Row],[Menge]]*Tabelle2[[#This Row],[Einzelpreis]]</f>
        <v>2.4</v>
      </c>
      <c r="K12" s="5">
        <f>Tabelle2[[#This Row],[Positionspreis]]</f>
        <v>2.4</v>
      </c>
      <c r="L12">
        <f>$M$1*Tabelle2[[#This Row],[Qty]]</f>
        <v>1000</v>
      </c>
      <c r="M12" s="7">
        <v>5.0000000000000001E-3</v>
      </c>
      <c r="N12" s="5">
        <f>Tabelle2[[#This Row],[Menge2]]*Tabelle2[[#This Row],[Einzelpreis2]]</f>
        <v>5</v>
      </c>
      <c r="O12" s="5">
        <f>Tabelle2[[#This Row],[Positionspreis2]]</f>
        <v>5</v>
      </c>
      <c r="P12" s="3" t="str">
        <f>HYPERLINK(CONCATENATE("http://de.farnell.com/a/b/c/dp/",Tabelle2[[#This Row],[Farnell]]), "Details")</f>
        <v>Details</v>
      </c>
    </row>
    <row r="13" spans="1:16">
      <c r="A13">
        <v>1</v>
      </c>
      <c r="B13" s="1" t="s">
        <v>41</v>
      </c>
      <c r="C13" t="s">
        <v>39</v>
      </c>
      <c r="D13" t="s">
        <v>23</v>
      </c>
      <c r="E13" t="s">
        <v>24</v>
      </c>
      <c r="F13" t="s">
        <v>40</v>
      </c>
      <c r="G13" t="s">
        <v>132</v>
      </c>
      <c r="H13">
        <f>$I$1*Tabelle2[[#This Row],[Qty]]</f>
        <v>200</v>
      </c>
      <c r="I13" s="7">
        <v>1.04E-2</v>
      </c>
      <c r="J13" s="6">
        <f>Tabelle2[[#This Row],[Menge]]*Tabelle2[[#This Row],[Einzelpreis]]</f>
        <v>2.08</v>
      </c>
      <c r="K13" s="5"/>
      <c r="L13">
        <f>$M$1*Tabelle2[[#This Row],[Qty]]</f>
        <v>500</v>
      </c>
      <c r="M13" s="7">
        <v>6.8999999999999999E-3</v>
      </c>
      <c r="N13" s="5">
        <f>Tabelle2[[#This Row],[Menge2]]*Tabelle2[[#This Row],[Einzelpreis2]]</f>
        <v>3.4499999999999997</v>
      </c>
      <c r="O13" s="5"/>
      <c r="P13" s="2" t="str">
        <f>HYPERLINK(CONCATENATE("http://de.farnell.com/a/b/c/dp/",Tabelle2[[#This Row],[Farnell]]), "Details")</f>
        <v>Details</v>
      </c>
    </row>
    <row r="14" spans="1:16">
      <c r="A14">
        <v>6</v>
      </c>
      <c r="B14" s="1" t="s">
        <v>44</v>
      </c>
      <c r="C14" t="s">
        <v>42</v>
      </c>
      <c r="D14" t="s">
        <v>15</v>
      </c>
      <c r="E14" t="s">
        <v>16</v>
      </c>
      <c r="F14" t="s">
        <v>43</v>
      </c>
      <c r="G14" t="s">
        <v>133</v>
      </c>
      <c r="H14">
        <f>$I$1*Tabelle2[[#This Row],[Qty]]</f>
        <v>1200</v>
      </c>
      <c r="I14" s="7">
        <v>2.12E-2</v>
      </c>
      <c r="J14" s="6">
        <f>Tabelle2[[#This Row],[Menge]]*Tabelle2[[#This Row],[Einzelpreis]]</f>
        <v>25.44</v>
      </c>
      <c r="K14" s="5"/>
      <c r="L14">
        <f>$M$1*Tabelle2[[#This Row],[Qty]]</f>
        <v>3000</v>
      </c>
      <c r="M14" s="7">
        <v>1.49E-2</v>
      </c>
      <c r="N14" s="5">
        <f>Tabelle2[[#This Row],[Menge2]]*Tabelle2[[#This Row],[Einzelpreis2]]</f>
        <v>44.7</v>
      </c>
      <c r="O14" s="5"/>
      <c r="P14" s="3" t="str">
        <f>HYPERLINK(CONCATENATE("http://de.farnell.com/a/b/c/dp/",Tabelle2[[#This Row],[Farnell]]), "Details")</f>
        <v>Details</v>
      </c>
    </row>
    <row r="15" spans="1:16">
      <c r="A15">
        <v>2</v>
      </c>
      <c r="B15" s="1" t="s">
        <v>47</v>
      </c>
      <c r="C15" t="s">
        <v>45</v>
      </c>
      <c r="D15" t="s">
        <v>15</v>
      </c>
      <c r="E15" t="s">
        <v>16</v>
      </c>
      <c r="F15" t="s">
        <v>46</v>
      </c>
      <c r="G15" t="s">
        <v>134</v>
      </c>
      <c r="H15">
        <f>$I$1*Tabelle2[[#This Row],[Qty]]</f>
        <v>400</v>
      </c>
      <c r="I15" s="7">
        <v>6.0000000000000001E-3</v>
      </c>
      <c r="J15" s="6">
        <f>Tabelle2[[#This Row],[Menge]]*Tabelle2[[#This Row],[Einzelpreis]]</f>
        <v>2.4</v>
      </c>
      <c r="K15" s="5"/>
      <c r="L15">
        <f>$M$1*Tabelle2[[#This Row],[Qty]]</f>
        <v>1000</v>
      </c>
      <c r="M15" s="7">
        <v>5.0000000000000001E-3</v>
      </c>
      <c r="N15" s="5">
        <f>Tabelle2[[#This Row],[Menge2]]*Tabelle2[[#This Row],[Einzelpreis2]]</f>
        <v>5</v>
      </c>
      <c r="O15" s="5"/>
      <c r="P15" s="2" t="str">
        <f>HYPERLINK(CONCATENATE("http://de.farnell.com/a/b/c/dp/",Tabelle2[[#This Row],[Farnell]]), "Details")</f>
        <v>Details</v>
      </c>
    </row>
    <row r="16" spans="1:16">
      <c r="A16">
        <v>1</v>
      </c>
      <c r="B16" s="1" t="s">
        <v>52</v>
      </c>
      <c r="C16" t="s">
        <v>48</v>
      </c>
      <c r="D16" t="s">
        <v>48</v>
      </c>
      <c r="E16" t="s">
        <v>49</v>
      </c>
      <c r="F16" t="s">
        <v>50</v>
      </c>
      <c r="G16" t="s">
        <v>51</v>
      </c>
      <c r="H16">
        <f>$I$1*Tabelle2[[#This Row],[Qty]]</f>
        <v>200</v>
      </c>
      <c r="I16" s="7">
        <v>0.31900000000000001</v>
      </c>
      <c r="J16" s="6">
        <f>Tabelle2[[#This Row],[Menge]]*Tabelle2[[#This Row],[Einzelpreis]]</f>
        <v>63.800000000000004</v>
      </c>
      <c r="K16" s="5"/>
      <c r="L16">
        <f>$M$1*Tabelle2[[#This Row],[Qty]]</f>
        <v>500</v>
      </c>
      <c r="M16" s="7">
        <v>0.28499999999999998</v>
      </c>
      <c r="N16" s="5">
        <f>Tabelle2[[#This Row],[Menge2]]*Tabelle2[[#This Row],[Einzelpreis2]]</f>
        <v>142.5</v>
      </c>
      <c r="O16" s="5"/>
      <c r="P16" s="3" t="str">
        <f>HYPERLINK(CONCATENATE("http://de.farnell.com/a/b/c/dp/",Tabelle2[[#This Row],[Farnell]]), "Details")</f>
        <v>Details</v>
      </c>
    </row>
    <row r="17" spans="1:16">
      <c r="A17">
        <v>2</v>
      </c>
      <c r="B17" s="1" t="s">
        <v>55</v>
      </c>
      <c r="C17" t="s">
        <v>53</v>
      </c>
      <c r="D17" t="s">
        <v>15</v>
      </c>
      <c r="E17" t="s">
        <v>16</v>
      </c>
      <c r="F17" t="s">
        <v>54</v>
      </c>
      <c r="G17" t="s">
        <v>135</v>
      </c>
      <c r="H17">
        <f>$I$1*Tabelle2[[#This Row],[Qty]]</f>
        <v>400</v>
      </c>
      <c r="I17" s="7">
        <v>8.1600000000000006E-2</v>
      </c>
      <c r="J17" s="6">
        <f>Tabelle2[[#This Row],[Menge]]*Tabelle2[[#This Row],[Einzelpreis]]</f>
        <v>32.64</v>
      </c>
      <c r="K17" s="5">
        <f>Tabelle2[[#This Row],[Positionspreis]]</f>
        <v>32.64</v>
      </c>
      <c r="L17">
        <f>$M$1*Tabelle2[[#This Row],[Qty]]</f>
        <v>1000</v>
      </c>
      <c r="M17" s="7">
        <v>5.7599999999999998E-2</v>
      </c>
      <c r="N17" s="5">
        <f>Tabelle2[[#This Row],[Menge2]]*Tabelle2[[#This Row],[Einzelpreis2]]</f>
        <v>57.6</v>
      </c>
      <c r="O17" s="5">
        <f>Tabelle2[[#This Row],[Positionspreis2]]</f>
        <v>57.6</v>
      </c>
      <c r="P17" s="2" t="str">
        <f>HYPERLINK(CONCATENATE("http://de.farnell.com/a/b/c/dp/",Tabelle2[[#This Row],[Farnell]]), "Details")</f>
        <v>Details</v>
      </c>
    </row>
    <row r="18" spans="1:16">
      <c r="A18">
        <v>3</v>
      </c>
      <c r="B18" s="1" t="s">
        <v>57</v>
      </c>
      <c r="C18">
        <v>820</v>
      </c>
      <c r="D18" t="s">
        <v>23</v>
      </c>
      <c r="E18" t="s">
        <v>24</v>
      </c>
      <c r="F18" t="s">
        <v>56</v>
      </c>
      <c r="G18" t="s">
        <v>136</v>
      </c>
      <c r="H18">
        <f>$I$1*Tabelle2[[#This Row],[Qty]]</f>
        <v>600</v>
      </c>
      <c r="I18" s="7">
        <v>6.8999999999999999E-3</v>
      </c>
      <c r="J18" s="6">
        <f>Tabelle2[[#This Row],[Menge]]*Tabelle2[[#This Row],[Einzelpreis]]</f>
        <v>4.1399999999999997</v>
      </c>
      <c r="K18" s="5">
        <f>Tabelle2[[#This Row],[Positionspreis]]</f>
        <v>4.1399999999999997</v>
      </c>
      <c r="L18">
        <f>$M$1*Tabelle2[[#This Row],[Qty]]</f>
        <v>1500</v>
      </c>
      <c r="M18" s="7">
        <v>6.8999999999999999E-3</v>
      </c>
      <c r="N18" s="5">
        <f>Tabelle2[[#This Row],[Menge2]]*Tabelle2[[#This Row],[Einzelpreis2]]</f>
        <v>10.35</v>
      </c>
      <c r="O18" s="5">
        <f>Tabelle2[[#This Row],[Positionspreis2]]</f>
        <v>10.35</v>
      </c>
      <c r="P18" s="3" t="str">
        <f>HYPERLINK(CONCATENATE("http://de.farnell.com/a/b/c/dp/",Tabelle2[[#This Row],[Farnell]]), "Details")</f>
        <v>Details</v>
      </c>
    </row>
    <row r="19" spans="1:16">
      <c r="A19">
        <v>1</v>
      </c>
      <c r="B19" s="1" t="s">
        <v>62</v>
      </c>
      <c r="C19" t="s">
        <v>58</v>
      </c>
      <c r="D19" t="s">
        <v>59</v>
      </c>
      <c r="E19" t="s">
        <v>60</v>
      </c>
      <c r="F19" t="s">
        <v>61</v>
      </c>
      <c r="G19" t="s">
        <v>137</v>
      </c>
      <c r="H19">
        <f>$I$1*Tabelle2[[#This Row],[Qty]]</f>
        <v>200</v>
      </c>
      <c r="I19" s="7">
        <v>0.67400000000000004</v>
      </c>
      <c r="J19" s="6">
        <f>Tabelle2[[#This Row],[Menge]]*Tabelle2[[#This Row],[Einzelpreis]]</f>
        <v>134.80000000000001</v>
      </c>
      <c r="K19" s="5">
        <f>Tabelle2[[#This Row],[Positionspreis]]</f>
        <v>134.80000000000001</v>
      </c>
      <c r="L19">
        <f>$M$1*Tabelle2[[#This Row],[Qty]]</f>
        <v>500</v>
      </c>
      <c r="M19" s="7">
        <v>0.59799999999999998</v>
      </c>
      <c r="N19" s="5">
        <f>Tabelle2[[#This Row],[Menge2]]*Tabelle2[[#This Row],[Einzelpreis2]]</f>
        <v>299</v>
      </c>
      <c r="O19" s="5">
        <f>Tabelle2[[#This Row],[Positionspreis2]]</f>
        <v>299</v>
      </c>
      <c r="P19" s="2" t="str">
        <f>HYPERLINK(CONCATENATE("http://de.farnell.com/a/b/c/dp/",Tabelle2[[#This Row],[Farnell]]), "Details")</f>
        <v>Details</v>
      </c>
    </row>
    <row r="20" spans="1:16">
      <c r="A20">
        <v>1</v>
      </c>
      <c r="B20" s="1" t="s">
        <v>67</v>
      </c>
      <c r="C20" t="s">
        <v>63</v>
      </c>
      <c r="D20" t="s">
        <v>64</v>
      </c>
      <c r="E20" t="s">
        <v>65</v>
      </c>
      <c r="F20" t="s">
        <v>66</v>
      </c>
      <c r="G20" t="s">
        <v>138</v>
      </c>
      <c r="H20">
        <f>$I$1*Tabelle2[[#This Row],[Qty]]</f>
        <v>200</v>
      </c>
      <c r="I20" s="7">
        <v>0.63600000000000001</v>
      </c>
      <c r="J20" s="6">
        <f>Tabelle2[[#This Row],[Menge]]*Tabelle2[[#This Row],[Einzelpreis]]</f>
        <v>127.2</v>
      </c>
      <c r="K20" s="5"/>
      <c r="L20">
        <f>$M$1*Tabelle2[[#This Row],[Qty]]</f>
        <v>500</v>
      </c>
      <c r="M20" s="7">
        <v>0.57299999999999995</v>
      </c>
      <c r="N20" s="5">
        <f>Tabelle2[[#This Row],[Menge2]]*Tabelle2[[#This Row],[Einzelpreis2]]</f>
        <v>286.5</v>
      </c>
      <c r="O20" s="5"/>
      <c r="P20" s="3" t="str">
        <f>HYPERLINK(CONCATENATE("http://de.farnell.com/a/b/c/dp/",Tabelle2[[#This Row],[Farnell]]), "Details")</f>
        <v>Details</v>
      </c>
    </row>
    <row r="21" spans="1:16">
      <c r="A21">
        <v>1</v>
      </c>
      <c r="B21" s="1" t="s">
        <v>71</v>
      </c>
      <c r="C21" t="s">
        <v>68</v>
      </c>
      <c r="D21" t="s">
        <v>69</v>
      </c>
      <c r="E21" t="s">
        <v>68</v>
      </c>
      <c r="F21" t="s">
        <v>70</v>
      </c>
      <c r="G21" t="s">
        <v>139</v>
      </c>
      <c r="H21">
        <f>$I$1*Tabelle2[[#This Row],[Qty]]</f>
        <v>200</v>
      </c>
      <c r="I21" s="7">
        <v>0.78900000000000003</v>
      </c>
      <c r="J21" s="6">
        <f>Tabelle2[[#This Row],[Menge]]*Tabelle2[[#This Row],[Einzelpreis]]</f>
        <v>157.80000000000001</v>
      </c>
      <c r="K21" s="5"/>
      <c r="L21">
        <f>$M$1*Tabelle2[[#This Row],[Qty]]</f>
        <v>500</v>
      </c>
      <c r="M21" s="7">
        <v>0.71199999999999997</v>
      </c>
      <c r="N21" s="5">
        <f>Tabelle2[[#This Row],[Menge2]]*Tabelle2[[#This Row],[Einzelpreis2]]</f>
        <v>356</v>
      </c>
      <c r="O21" s="5"/>
      <c r="P21" s="2" t="str">
        <f>HYPERLINK(CONCATENATE("http://de.farnell.com/a/b/c/dp/",Tabelle2[[#This Row],[Farnell]]), "Details")</f>
        <v>Details</v>
      </c>
    </row>
    <row r="22" spans="1:16">
      <c r="A22">
        <v>1</v>
      </c>
      <c r="B22" s="1" t="s">
        <v>74</v>
      </c>
      <c r="C22" t="s">
        <v>72</v>
      </c>
      <c r="D22" t="s">
        <v>72</v>
      </c>
      <c r="E22" t="s">
        <v>72</v>
      </c>
      <c r="F22" t="s">
        <v>73</v>
      </c>
      <c r="G22" t="s">
        <v>140</v>
      </c>
      <c r="H22">
        <f>$I$1*Tabelle2[[#This Row],[Qty]]</f>
        <v>200</v>
      </c>
      <c r="I22" s="7">
        <v>0.22</v>
      </c>
      <c r="J22" s="6">
        <f>Tabelle2[[#This Row],[Menge]]*Tabelle2[[#This Row],[Einzelpreis]]</f>
        <v>44</v>
      </c>
      <c r="K22" s="5"/>
      <c r="L22">
        <f>$M$1*Tabelle2[[#This Row],[Qty]]</f>
        <v>500</v>
      </c>
      <c r="M22" s="7">
        <v>0.17899999999999999</v>
      </c>
      <c r="N22" s="5">
        <f>Tabelle2[[#This Row],[Menge2]]*Tabelle2[[#This Row],[Einzelpreis2]]</f>
        <v>89.5</v>
      </c>
      <c r="O22" s="5"/>
      <c r="P22" s="3" t="str">
        <f>HYPERLINK(CONCATENATE("http://de.farnell.com/a/b/c/dp/",Tabelle2[[#This Row],[Farnell]]), "Details")</f>
        <v>Details</v>
      </c>
    </row>
    <row r="23" spans="1:16">
      <c r="A23">
        <v>2</v>
      </c>
      <c r="B23" s="1" t="s">
        <v>78</v>
      </c>
      <c r="C23" t="s">
        <v>75</v>
      </c>
      <c r="D23" t="s">
        <v>75</v>
      </c>
      <c r="E23" t="s">
        <v>76</v>
      </c>
      <c r="F23" t="s">
        <v>77</v>
      </c>
      <c r="G23" t="s">
        <v>141</v>
      </c>
      <c r="H23">
        <f>$I$1*Tabelle2[[#This Row],[Qty]]</f>
        <v>400</v>
      </c>
      <c r="I23" s="7">
        <v>7.7299999999999994E-2</v>
      </c>
      <c r="J23" s="6">
        <f>Tabelle2[[#This Row],[Menge]]*Tabelle2[[#This Row],[Einzelpreis]]</f>
        <v>30.919999999999998</v>
      </c>
      <c r="K23" s="5">
        <f>Tabelle2[[#This Row],[Positionspreis]]</f>
        <v>30.919999999999998</v>
      </c>
      <c r="L23">
        <f>$M$1*Tabelle2[[#This Row],[Qty]]</f>
        <v>1000</v>
      </c>
      <c r="M23" s="7">
        <v>7.51E-2</v>
      </c>
      <c r="N23" s="5">
        <f>Tabelle2[[#This Row],[Menge2]]*Tabelle2[[#This Row],[Einzelpreis2]]</f>
        <v>75.099999999999994</v>
      </c>
      <c r="O23" s="5">
        <f>Tabelle2[[#This Row],[Positionspreis2]]</f>
        <v>75.099999999999994</v>
      </c>
      <c r="P23" s="2" t="str">
        <f>HYPERLINK(CONCATENATE("http://de.farnell.com/a/b/c/dp/",Tabelle2[[#This Row],[Farnell]]), "Details")</f>
        <v>Details</v>
      </c>
    </row>
    <row r="24" spans="1:16">
      <c r="A24">
        <v>1</v>
      </c>
      <c r="B24" s="1" t="s">
        <v>82</v>
      </c>
      <c r="C24" t="s">
        <v>79</v>
      </c>
      <c r="D24" t="s">
        <v>79</v>
      </c>
      <c r="E24" t="s">
        <v>80</v>
      </c>
      <c r="F24" t="s">
        <v>81</v>
      </c>
      <c r="G24" t="s">
        <v>142</v>
      </c>
      <c r="H24">
        <f>$I$1*Tabelle2[[#This Row],[Qty]]</f>
        <v>200</v>
      </c>
      <c r="I24" s="7">
        <v>2.5099999999999998</v>
      </c>
      <c r="J24" s="6">
        <f>Tabelle2[[#This Row],[Menge]]*Tabelle2[[#This Row],[Einzelpreis]]</f>
        <v>501.99999999999994</v>
      </c>
      <c r="K24" s="5"/>
      <c r="L24">
        <f>$M$1*Tabelle2[[#This Row],[Qty]]</f>
        <v>500</v>
      </c>
      <c r="M24" s="7">
        <v>1.97</v>
      </c>
      <c r="N24" s="5">
        <f>Tabelle2[[#This Row],[Menge2]]*Tabelle2[[#This Row],[Einzelpreis2]]</f>
        <v>985</v>
      </c>
      <c r="O24" s="5"/>
      <c r="P24" s="3" t="str">
        <f>HYPERLINK(CONCATENATE("http://de.farnell.com/a/b/c/dp/",Tabelle2[[#This Row],[Farnell]]), "Details")</f>
        <v>Details</v>
      </c>
    </row>
    <row r="25" spans="1:16">
      <c r="A25">
        <v>1</v>
      </c>
      <c r="B25" s="1" t="s">
        <v>86</v>
      </c>
      <c r="C25" t="s">
        <v>83</v>
      </c>
      <c r="D25" t="s">
        <v>83</v>
      </c>
      <c r="E25" t="s">
        <v>84</v>
      </c>
      <c r="F25" t="s">
        <v>85</v>
      </c>
      <c r="G25" t="s">
        <v>143</v>
      </c>
      <c r="H25">
        <f>$I$1*Tabelle2[[#This Row],[Qty]]</f>
        <v>200</v>
      </c>
      <c r="I25" s="7">
        <v>0.58299999999999996</v>
      </c>
      <c r="J25" s="6">
        <f>Tabelle2[[#This Row],[Menge]]*Tabelle2[[#This Row],[Einzelpreis]]</f>
        <v>116.6</v>
      </c>
      <c r="K25" s="5">
        <f>Tabelle2[[#This Row],[Positionspreis]]</f>
        <v>116.6</v>
      </c>
      <c r="L25">
        <f>$M$1*Tabelle2[[#This Row],[Qty]]</f>
        <v>500</v>
      </c>
      <c r="M25" s="7">
        <v>0.48499999999999999</v>
      </c>
      <c r="N25" s="5">
        <f>Tabelle2[[#This Row],[Menge2]]*Tabelle2[[#This Row],[Einzelpreis2]]</f>
        <v>242.5</v>
      </c>
      <c r="O25" s="5">
        <f>Tabelle2[[#This Row],[Positionspreis2]]</f>
        <v>242.5</v>
      </c>
      <c r="P25" s="2" t="str">
        <f>HYPERLINK(CONCATENATE("http://de.farnell.com/a/b/c/dp/",Tabelle2[[#This Row],[Farnell]]), "Details")</f>
        <v>Details</v>
      </c>
    </row>
    <row r="26" spans="1:16">
      <c r="A26">
        <v>1</v>
      </c>
      <c r="B26" s="1">
        <v>1734973</v>
      </c>
      <c r="C26" t="s">
        <v>87</v>
      </c>
      <c r="D26" t="s">
        <v>87</v>
      </c>
      <c r="E26" t="s">
        <v>88</v>
      </c>
      <c r="F26" t="s">
        <v>89</v>
      </c>
      <c r="G26" t="s">
        <v>144</v>
      </c>
      <c r="H26">
        <f>$I$1*Tabelle2[[#This Row],[Qty]]</f>
        <v>200</v>
      </c>
      <c r="I26" s="7">
        <v>0.81499999999999995</v>
      </c>
      <c r="J26" s="6">
        <f>Tabelle2[[#This Row],[Menge]]*Tabelle2[[#This Row],[Einzelpreis]]</f>
        <v>163</v>
      </c>
      <c r="K26" s="5">
        <f>Tabelle2[[#This Row],[Positionspreis]]</f>
        <v>163</v>
      </c>
      <c r="L26">
        <f>$M$1*Tabelle2[[#This Row],[Qty]]</f>
        <v>500</v>
      </c>
      <c r="M26" s="7">
        <v>0.70199999999999996</v>
      </c>
      <c r="N26" s="5">
        <f>Tabelle2[[#This Row],[Menge2]]*Tabelle2[[#This Row],[Einzelpreis2]]</f>
        <v>351</v>
      </c>
      <c r="O26" s="5">
        <f>Tabelle2[[#This Row],[Positionspreis2]]</f>
        <v>351</v>
      </c>
      <c r="P26" s="3" t="str">
        <f>HYPERLINK(CONCATENATE("http://de.farnell.com/a/b/c/dp/",Tabelle2[[#This Row],[Farnell]]), "Details")</f>
        <v>Details</v>
      </c>
    </row>
    <row r="27" spans="1:16">
      <c r="A27">
        <v>1</v>
      </c>
      <c r="B27" s="1">
        <v>2443092</v>
      </c>
      <c r="C27" t="s">
        <v>90</v>
      </c>
      <c r="D27" t="s">
        <v>90</v>
      </c>
      <c r="E27" t="s">
        <v>91</v>
      </c>
      <c r="F27" t="s">
        <v>92</v>
      </c>
      <c r="G27" t="s">
        <v>145</v>
      </c>
      <c r="H27">
        <f>$I$1*Tabelle2[[#This Row],[Qty]]</f>
        <v>200</v>
      </c>
      <c r="I27" s="7">
        <v>0.80400000000000005</v>
      </c>
      <c r="J27" s="6">
        <f>Tabelle2[[#This Row],[Menge]]*Tabelle2[[#This Row],[Einzelpreis]]</f>
        <v>160.80000000000001</v>
      </c>
      <c r="K27" s="5">
        <f>Tabelle2[[#This Row],[Positionspreis]]</f>
        <v>160.80000000000001</v>
      </c>
      <c r="L27">
        <f>$M$1*Tabelle2[[#This Row],[Qty]]</f>
        <v>500</v>
      </c>
      <c r="M27" s="7">
        <v>0.67200000000000004</v>
      </c>
      <c r="N27" s="5">
        <f>Tabelle2[[#This Row],[Menge2]]*Tabelle2[[#This Row],[Einzelpreis2]]</f>
        <v>336</v>
      </c>
      <c r="O27" s="5">
        <f>Tabelle2[[#This Row],[Positionspreis2]]</f>
        <v>336</v>
      </c>
      <c r="P27" s="2" t="str">
        <f>HYPERLINK(CONCATENATE("http://de.farnell.com/a/b/c/dp/",Tabelle2[[#This Row],[Farnell]]), "Details")</f>
        <v>Details</v>
      </c>
    </row>
    <row r="28" spans="1:16">
      <c r="A28">
        <v>3</v>
      </c>
      <c r="B28" s="1">
        <v>1830923</v>
      </c>
      <c r="C28" t="s">
        <v>93</v>
      </c>
      <c r="D28" t="s">
        <v>93</v>
      </c>
      <c r="E28" t="s">
        <v>94</v>
      </c>
      <c r="F28" t="s">
        <v>95</v>
      </c>
      <c r="G28" t="s">
        <v>146</v>
      </c>
      <c r="H28">
        <f>$I$1*Tabelle2[[#This Row],[Qty]]</f>
        <v>600</v>
      </c>
      <c r="I28" s="7">
        <v>0.26100000000000001</v>
      </c>
      <c r="J28" s="6">
        <f>Tabelle2[[#This Row],[Menge]]*Tabelle2[[#This Row],[Einzelpreis]]</f>
        <v>156.6</v>
      </c>
      <c r="K28" s="5">
        <f>Tabelle2[[#This Row],[Positionspreis]]</f>
        <v>156.6</v>
      </c>
      <c r="L28">
        <f>$M$1*Tabelle2[[#This Row],[Qty]]</f>
        <v>1500</v>
      </c>
      <c r="M28" s="7">
        <v>0.23599999999999999</v>
      </c>
      <c r="N28" s="5">
        <f>Tabelle2[[#This Row],[Menge2]]*Tabelle2[[#This Row],[Einzelpreis2]]</f>
        <v>354</v>
      </c>
      <c r="O28" s="5">
        <f>Tabelle2[[#This Row],[Positionspreis2]]</f>
        <v>354</v>
      </c>
      <c r="P28" s="3" t="str">
        <f>HYPERLINK(CONCATENATE("http://de.farnell.com/a/b/c/dp/",Tabelle2[[#This Row],[Farnell]]), "Details")</f>
        <v>Details</v>
      </c>
    </row>
    <row r="29" spans="1:16">
      <c r="A29">
        <v>1</v>
      </c>
      <c r="B29" s="1">
        <v>1103107</v>
      </c>
      <c r="C29" t="s">
        <v>96</v>
      </c>
      <c r="D29" t="s">
        <v>96</v>
      </c>
      <c r="E29" t="s">
        <v>97</v>
      </c>
      <c r="F29" t="s">
        <v>98</v>
      </c>
      <c r="G29" t="s">
        <v>147</v>
      </c>
      <c r="H29">
        <f>$I$1*Tabelle2[[#This Row],[Qty]]</f>
        <v>200</v>
      </c>
      <c r="I29" s="7">
        <v>1.22</v>
      </c>
      <c r="J29" s="6">
        <f>Tabelle2[[#This Row],[Menge]]*Tabelle2[[#This Row],[Einzelpreis]]</f>
        <v>244</v>
      </c>
      <c r="K29" s="5">
        <f>Tabelle2[[#This Row],[Positionspreis]]</f>
        <v>244</v>
      </c>
      <c r="L29">
        <f>$M$1*Tabelle2[[#This Row],[Qty]]</f>
        <v>500</v>
      </c>
      <c r="M29" s="7">
        <v>0.86599999999999999</v>
      </c>
      <c r="N29" s="5">
        <f>Tabelle2[[#This Row],[Menge2]]*Tabelle2[[#This Row],[Einzelpreis2]]</f>
        <v>433</v>
      </c>
      <c r="O29" s="5">
        <f>Tabelle2[[#This Row],[Positionspreis2]]</f>
        <v>433</v>
      </c>
      <c r="P29" s="2" t="str">
        <f>HYPERLINK(CONCATENATE("http://de.farnell.com/a/b/c/dp/",Tabelle2[[#This Row],[Farnell]]), "Details")</f>
        <v>Details</v>
      </c>
    </row>
    <row r="30" spans="1:16">
      <c r="A30">
        <v>1</v>
      </c>
      <c r="B30" s="1">
        <v>2466939</v>
      </c>
      <c r="C30" t="s">
        <v>99</v>
      </c>
      <c r="D30" t="s">
        <v>99</v>
      </c>
      <c r="E30" t="s">
        <v>100</v>
      </c>
      <c r="F30" t="s">
        <v>101</v>
      </c>
      <c r="G30" t="s">
        <v>148</v>
      </c>
      <c r="H30">
        <f>$I$1*Tabelle2[[#This Row],[Qty]]</f>
        <v>200</v>
      </c>
      <c r="I30" s="7">
        <v>5.79</v>
      </c>
      <c r="J30" s="6">
        <f>Tabelle2[[#This Row],[Menge]]*Tabelle2[[#This Row],[Einzelpreis]]</f>
        <v>1158</v>
      </c>
      <c r="K30" s="5">
        <f>Tabelle2[[#This Row],[Positionspreis]]</f>
        <v>1158</v>
      </c>
      <c r="L30">
        <f>$M$1*Tabelle2[[#This Row],[Qty]]</f>
        <v>500</v>
      </c>
      <c r="M30" s="7">
        <v>4.87</v>
      </c>
      <c r="N30" s="5">
        <f>Tabelle2[[#This Row],[Menge2]]*Tabelle2[[#This Row],[Einzelpreis2]]</f>
        <v>2435</v>
      </c>
      <c r="O30" s="5">
        <f>Tabelle2[[#This Row],[Positionspreis2]]</f>
        <v>2435</v>
      </c>
      <c r="P30" s="3" t="str">
        <f>HYPERLINK(CONCATENATE("http://de.farnell.com/a/b/c/dp/",Tabelle2[[#This Row],[Farnell]]), "Details")</f>
        <v>Details</v>
      </c>
    </row>
    <row r="31" spans="1:16">
      <c r="A31">
        <v>1</v>
      </c>
      <c r="B31" s="1"/>
      <c r="C31" t="s">
        <v>102</v>
      </c>
      <c r="D31" t="s">
        <v>102</v>
      </c>
      <c r="E31" t="s">
        <v>103</v>
      </c>
      <c r="F31" t="s">
        <v>104</v>
      </c>
      <c r="H31">
        <f>$I$1*Tabelle2[[#This Row],[Qty]]</f>
        <v>200</v>
      </c>
      <c r="I31" s="7"/>
      <c r="J31" s="6">
        <f>Tabelle2[[#This Row],[Menge]]*Tabelle2[[#This Row],[Einzelpreis]]</f>
        <v>0</v>
      </c>
      <c r="K31" s="5">
        <f>Tabelle2[[#This Row],[Positionspreis]]</f>
        <v>0</v>
      </c>
      <c r="L31">
        <f>$M$1*Tabelle2[[#This Row],[Qty]]</f>
        <v>500</v>
      </c>
      <c r="M31" s="7"/>
      <c r="N31" s="5">
        <f>Tabelle2[[#This Row],[Menge2]]*Tabelle2[[#This Row],[Einzelpreis2]]</f>
        <v>0</v>
      </c>
      <c r="O31" s="5">
        <f>Tabelle2[[#This Row],[Positionspreis2]]</f>
        <v>0</v>
      </c>
      <c r="P31" s="2" t="str">
        <f>HYPERLINK(CONCATENATE("http://de.farnell.com/a/b/c/dp/",Tabelle2[[#This Row],[Farnell]]), "Details")</f>
        <v>Details</v>
      </c>
    </row>
    <row r="32" spans="1:16">
      <c r="A32">
        <v>1</v>
      </c>
      <c r="B32" s="1">
        <v>1830925</v>
      </c>
      <c r="C32" t="s">
        <v>105</v>
      </c>
      <c r="D32" t="s">
        <v>105</v>
      </c>
      <c r="E32" t="s">
        <v>106</v>
      </c>
      <c r="F32" t="s">
        <v>107</v>
      </c>
      <c r="G32" t="s">
        <v>149</v>
      </c>
      <c r="H32">
        <f>$I$1*Tabelle2[[#This Row],[Qty]]</f>
        <v>200</v>
      </c>
      <c r="I32" s="7">
        <v>0.73499999999999999</v>
      </c>
      <c r="J32" s="6">
        <f>Tabelle2[[#This Row],[Menge]]*Tabelle2[[#This Row],[Einzelpreis]]</f>
        <v>147</v>
      </c>
      <c r="K32" s="5">
        <f>Tabelle2[[#This Row],[Positionspreis]]</f>
        <v>147</v>
      </c>
      <c r="L32">
        <f>$M$1*Tabelle2[[#This Row],[Qty]]</f>
        <v>500</v>
      </c>
      <c r="M32" s="7">
        <v>0.48799999999999999</v>
      </c>
      <c r="N32" s="5">
        <f>Tabelle2[[#This Row],[Menge2]]*Tabelle2[[#This Row],[Einzelpreis2]]</f>
        <v>244</v>
      </c>
      <c r="O32" s="5">
        <f>Tabelle2[[#This Row],[Positionspreis2]]</f>
        <v>244</v>
      </c>
      <c r="P32" s="3" t="str">
        <f>HYPERLINK(CONCATENATE("http://de.farnell.com/a/b/c/dp/",Tabelle2[[#This Row],[Farnell]]), "Details")</f>
        <v>Details</v>
      </c>
    </row>
    <row r="33" spans="1:16">
      <c r="A33">
        <v>1</v>
      </c>
      <c r="B33" s="1">
        <v>1645325</v>
      </c>
      <c r="C33" t="s">
        <v>108</v>
      </c>
      <c r="D33" t="s">
        <v>108</v>
      </c>
      <c r="E33" t="s">
        <v>108</v>
      </c>
      <c r="F33" t="s">
        <v>109</v>
      </c>
      <c r="G33" t="s">
        <v>150</v>
      </c>
      <c r="H33">
        <f>$I$1*Tabelle2[[#This Row],[Qty]]</f>
        <v>200</v>
      </c>
      <c r="I33" s="7">
        <v>0.40600000000000003</v>
      </c>
      <c r="J33" s="6">
        <f>Tabelle2[[#This Row],[Menge]]*Tabelle2[[#This Row],[Einzelpreis]]</f>
        <v>81.2</v>
      </c>
      <c r="K33" s="5">
        <f>Tabelle2[[#This Row],[Positionspreis]]</f>
        <v>81.2</v>
      </c>
      <c r="L33">
        <f>$M$1*Tabelle2[[#This Row],[Qty]]</f>
        <v>500</v>
      </c>
      <c r="M33" s="7">
        <v>0.36199999999999999</v>
      </c>
      <c r="N33" s="5">
        <f>Tabelle2[[#This Row],[Menge2]]*Tabelle2[[#This Row],[Einzelpreis2]]</f>
        <v>181</v>
      </c>
      <c r="O33" s="5">
        <f>Tabelle2[[#This Row],[Positionspreis2]]</f>
        <v>181</v>
      </c>
      <c r="P33" s="2" t="str">
        <f>HYPERLINK(CONCATENATE("http://de.farnell.com/a/b/c/dp/",Tabelle2[[#This Row],[Farnell]]), "Details")</f>
        <v>Details</v>
      </c>
    </row>
    <row r="34" spans="1:16">
      <c r="A34" t="s">
        <v>117</v>
      </c>
      <c r="B34" s="1"/>
      <c r="I34" s="4">
        <f>Tabelle2[[#Totals],[Positionspreis]]/I1</f>
        <v>17.170099999999998</v>
      </c>
      <c r="J34" s="8">
        <f>SUBTOTAL(109,Tabelle2[Positionspreis])</f>
        <v>3434.0199999999995</v>
      </c>
      <c r="K34" s="8">
        <f>SUBTOTAL(109,Tabelle2[ohne BLE]) / I1</f>
        <v>12.4947</v>
      </c>
      <c r="M34" s="4">
        <f>Tabelle2[[#Totals],[Positionspreis2]]/M1</f>
        <v>14.1623</v>
      </c>
      <c r="N34" s="8">
        <f>SUBTOTAL(109,Tabelle2[Positionspreis2])</f>
        <v>7081.15</v>
      </c>
      <c r="O34" s="8">
        <f>SUBTOTAL(109,Tabelle2[ohne BLE2])/M1</f>
        <v>10.2989</v>
      </c>
      <c r="P34">
        <f>Tabelle2[[#Totals],[ohne BLE2]]/I1</f>
        <v>5.1494499999999999E-2</v>
      </c>
    </row>
  </sheetData>
  <phoneticPr fontId="7" type="noConversion"/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topLeftCell="A9" workbookViewId="0">
      <selection activeCell="N38" sqref="N38"/>
    </sheetView>
  </sheetViews>
  <sheetFormatPr baseColWidth="10" defaultRowHeight="15" x14ac:dyDescent="0"/>
  <cols>
    <col min="1" max="1" width="9.83203125" customWidth="1"/>
    <col min="2" max="2" width="14.1640625" customWidth="1"/>
    <col min="3" max="3" width="20.33203125" bestFit="1" customWidth="1"/>
    <col min="4" max="4" width="19.1640625" bestFit="1" customWidth="1"/>
    <col min="5" max="5" width="25.1640625" customWidth="1"/>
    <col min="6" max="6" width="41.1640625" customWidth="1"/>
    <col min="7" max="7" width="11.1640625" customWidth="1"/>
    <col min="8" max="8" width="9.83203125" customWidth="1"/>
    <col min="9" max="9" width="10.6640625" customWidth="1"/>
    <col min="10" max="10" width="11.6640625" customWidth="1"/>
    <col min="11" max="11" width="13.1640625" style="50" bestFit="1" customWidth="1"/>
    <col min="12" max="12" width="14.1640625" bestFit="1" customWidth="1"/>
    <col min="13" max="13" width="17.83203125" bestFit="1" customWidth="1"/>
    <col min="14" max="14" width="12.83203125" bestFit="1" customWidth="1"/>
  </cols>
  <sheetData>
    <row r="1" spans="1:15" s="36" customFormat="1" ht="28">
      <c r="A1" s="59" t="s">
        <v>194</v>
      </c>
      <c r="B1" s="59"/>
      <c r="C1" s="59"/>
      <c r="D1" s="59"/>
      <c r="E1" s="59"/>
      <c r="F1" s="59"/>
      <c r="H1" s="36" t="s">
        <v>168</v>
      </c>
      <c r="I1" s="36">
        <v>200</v>
      </c>
      <c r="K1" s="49" t="s">
        <v>115</v>
      </c>
      <c r="L1" s="36">
        <v>500</v>
      </c>
    </row>
    <row r="2" spans="1:15">
      <c r="A2" t="s">
        <v>0</v>
      </c>
      <c r="B2" t="s">
        <v>110</v>
      </c>
      <c r="C2" t="s">
        <v>1</v>
      </c>
      <c r="D2" t="s">
        <v>3</v>
      </c>
      <c r="E2" t="s">
        <v>4</v>
      </c>
      <c r="F2" t="s">
        <v>5</v>
      </c>
      <c r="G2" t="s">
        <v>118</v>
      </c>
      <c r="H2" t="s">
        <v>169</v>
      </c>
      <c r="I2" t="s">
        <v>170</v>
      </c>
      <c r="J2" t="s">
        <v>171</v>
      </c>
      <c r="K2" t="s">
        <v>208</v>
      </c>
      <c r="L2" s="50" t="s">
        <v>191</v>
      </c>
      <c r="M2" t="s">
        <v>192</v>
      </c>
      <c r="N2" t="s">
        <v>193</v>
      </c>
      <c r="O2" t="s">
        <v>209</v>
      </c>
    </row>
    <row r="3" spans="1:15">
      <c r="A3">
        <v>1</v>
      </c>
      <c r="B3" t="s">
        <v>9</v>
      </c>
      <c r="D3" t="s">
        <v>7</v>
      </c>
      <c r="E3" t="s">
        <v>8</v>
      </c>
      <c r="F3" t="s">
        <v>172</v>
      </c>
      <c r="G3" s="10" t="str">
        <f>HYPERLINK(CONCATENATE("http://de.farnell.com/a/b/c/dp/",Tabelle1[[#This Row],[Farnell]]), "Details")</f>
        <v>Details</v>
      </c>
      <c r="H3">
        <f>$I$1*Tabelle1[[#This Row],[Qty]]</f>
        <v>200</v>
      </c>
      <c r="I3" s="7">
        <v>6.3399999999999998E-2</v>
      </c>
      <c r="J3" s="5">
        <f>Tabelle1[[#This Row],[Anzahl]]*Tabelle1[[#This Row],[EP]]</f>
        <v>12.68</v>
      </c>
      <c r="K3" s="5"/>
      <c r="L3" s="50">
        <f>$L$1*Tabelle1[[#This Row],[Qty]]</f>
        <v>500</v>
      </c>
      <c r="M3" s="7">
        <v>6.3399999999999998E-2</v>
      </c>
      <c r="N3" s="5">
        <f>Tabelle1[[#This Row],[Anzahl2]]*Tabelle1[[#This Row],[EP2]]</f>
        <v>31.7</v>
      </c>
      <c r="O3" s="5"/>
    </row>
    <row r="4" spans="1:15">
      <c r="A4">
        <v>1</v>
      </c>
      <c r="B4" t="s">
        <v>11</v>
      </c>
      <c r="D4" t="s">
        <v>7</v>
      </c>
      <c r="E4" t="s">
        <v>10</v>
      </c>
      <c r="F4" t="s">
        <v>173</v>
      </c>
      <c r="G4" s="10" t="str">
        <f>HYPERLINK(CONCATENATE("http://de.farnell.com/a/b/c/dp/",Tabelle1[[#This Row],[Farnell]]), "Details")</f>
        <v>Details</v>
      </c>
      <c r="H4">
        <f>$I$1*Tabelle1[[#This Row],[Qty]]</f>
        <v>200</v>
      </c>
      <c r="I4" s="7">
        <v>5.8500000000000003E-2</v>
      </c>
      <c r="J4" s="5">
        <f>Tabelle1[[#This Row],[Anzahl]]*Tabelle1[[#This Row],[EP]]</f>
        <v>11.700000000000001</v>
      </c>
      <c r="K4" s="5"/>
      <c r="L4" s="50">
        <f>$L$1*Tabelle1[[#This Row],[Qty]]</f>
        <v>500</v>
      </c>
      <c r="M4" s="7">
        <v>5.8500000000000003E-2</v>
      </c>
      <c r="N4" s="5">
        <f>Tabelle1[[#This Row],[Anzahl2]]*Tabelle1[[#This Row],[EP2]]</f>
        <v>29.25</v>
      </c>
      <c r="O4" s="5"/>
    </row>
    <row r="5" spans="1:15">
      <c r="A5">
        <v>1</v>
      </c>
      <c r="B5" t="s">
        <v>13</v>
      </c>
      <c r="D5" t="s">
        <v>7</v>
      </c>
      <c r="E5" t="s">
        <v>12</v>
      </c>
      <c r="F5" t="s">
        <v>174</v>
      </c>
      <c r="G5" s="10" t="str">
        <f>HYPERLINK(CONCATENATE("http://de.farnell.com/a/b/c/dp/",Tabelle1[[#This Row],[Farnell]]), "Details")</f>
        <v>Details</v>
      </c>
      <c r="H5">
        <f>$I$1*Tabelle1[[#This Row],[Qty]]</f>
        <v>200</v>
      </c>
      <c r="I5" s="7">
        <v>5.8500000000000003E-2</v>
      </c>
      <c r="J5" s="5">
        <f>Tabelle1[[#This Row],[Anzahl]]*Tabelle1[[#This Row],[EP]]</f>
        <v>11.700000000000001</v>
      </c>
      <c r="K5" s="5"/>
      <c r="L5" s="50">
        <f>$L$1*Tabelle1[[#This Row],[Qty]]</f>
        <v>500</v>
      </c>
      <c r="M5" s="7">
        <v>5.8500000000000003E-2</v>
      </c>
      <c r="N5" s="5">
        <f>Tabelle1[[#This Row],[Anzahl2]]*Tabelle1[[#This Row],[EP2]]</f>
        <v>29.25</v>
      </c>
      <c r="O5" s="5"/>
    </row>
    <row r="6" spans="1:15">
      <c r="A6">
        <v>1</v>
      </c>
      <c r="B6" t="s">
        <v>178</v>
      </c>
      <c r="C6" t="s">
        <v>152</v>
      </c>
      <c r="D6" t="s">
        <v>24</v>
      </c>
      <c r="E6" t="s">
        <v>153</v>
      </c>
      <c r="F6" t="s">
        <v>179</v>
      </c>
      <c r="G6" s="10" t="str">
        <f>HYPERLINK(CONCATENATE("http://de.farnell.com/a/b/c/dp/",Tabelle1[[#This Row],[Farnell]]), "Details")</f>
        <v>Details</v>
      </c>
      <c r="H6">
        <f>$I$1*Tabelle1[[#This Row],[Qty]]</f>
        <v>200</v>
      </c>
      <c r="I6" s="7">
        <v>6.8999999999999999E-3</v>
      </c>
      <c r="J6" s="5">
        <f>Tabelle1[[#This Row],[Anzahl]]*Tabelle1[[#This Row],[EP]]</f>
        <v>1.38</v>
      </c>
      <c r="K6" s="5"/>
      <c r="L6" s="50">
        <f>$L$1*Tabelle1[[#This Row],[Qty]]</f>
        <v>500</v>
      </c>
      <c r="M6" s="7">
        <v>6.8999999999999999E-3</v>
      </c>
      <c r="N6" s="5">
        <f>Tabelle1[[#This Row],[Anzahl2]]*Tabelle1[[#This Row],[EP2]]</f>
        <v>3.4499999999999997</v>
      </c>
      <c r="O6" s="5"/>
    </row>
    <row r="7" spans="1:15">
      <c r="A7">
        <v>7</v>
      </c>
      <c r="B7" t="s">
        <v>18</v>
      </c>
      <c r="C7" t="s">
        <v>14</v>
      </c>
      <c r="D7" t="s">
        <v>16</v>
      </c>
      <c r="E7" t="s">
        <v>154</v>
      </c>
      <c r="F7" t="s">
        <v>125</v>
      </c>
      <c r="G7" s="10" t="str">
        <f>HYPERLINK(CONCATENATE("http://de.farnell.com/a/b/c/dp/",Tabelle1[[#This Row],[Farnell]]), "Details")</f>
        <v>Details</v>
      </c>
      <c r="H7">
        <f>$I$1*Tabelle1[[#This Row],[Qty]]</f>
        <v>1400</v>
      </c>
      <c r="I7" s="7">
        <v>2E-3</v>
      </c>
      <c r="J7" s="5">
        <f>Tabelle1[[#This Row],[Anzahl]]*Tabelle1[[#This Row],[EP]]</f>
        <v>2.8000000000000003</v>
      </c>
      <c r="K7" s="5"/>
      <c r="L7" s="50">
        <f>$L$1*Tabelle1[[#This Row],[Qty]]</f>
        <v>3500</v>
      </c>
      <c r="M7" s="7">
        <v>2E-3</v>
      </c>
      <c r="N7" s="5">
        <f>Tabelle1[[#This Row],[Anzahl2]]*Tabelle1[[#This Row],[EP2]]</f>
        <v>7</v>
      </c>
      <c r="O7" s="5"/>
    </row>
    <row r="8" spans="1:15">
      <c r="A8">
        <v>5</v>
      </c>
      <c r="B8" t="s">
        <v>26</v>
      </c>
      <c r="C8" t="s">
        <v>22</v>
      </c>
      <c r="D8" t="s">
        <v>24</v>
      </c>
      <c r="E8" t="s">
        <v>155</v>
      </c>
      <c r="F8" t="s">
        <v>127</v>
      </c>
      <c r="G8" s="10" t="str">
        <f>HYPERLINK(CONCATENATE("http://de.farnell.com/a/b/c/dp/",Tabelle1[[#This Row],[Farnell]]), "Details")</f>
        <v>Details</v>
      </c>
      <c r="H8">
        <f>$I$1*Tabelle1[[#This Row],[Qty]]</f>
        <v>1000</v>
      </c>
      <c r="I8" s="7">
        <v>5.8999999999999999E-3</v>
      </c>
      <c r="J8" s="5">
        <f>Tabelle1[[#This Row],[Anzahl]]*Tabelle1[[#This Row],[EP]]</f>
        <v>5.8999999999999995</v>
      </c>
      <c r="K8" s="5"/>
      <c r="L8" s="50">
        <f>$L$1*Tabelle1[[#This Row],[Qty]]</f>
        <v>2500</v>
      </c>
      <c r="M8" s="7">
        <v>5.8999999999999999E-3</v>
      </c>
      <c r="N8" s="5">
        <f>Tabelle1[[#This Row],[Anzahl2]]*Tabelle1[[#This Row],[EP2]]</f>
        <v>14.75</v>
      </c>
      <c r="O8" s="5"/>
    </row>
    <row r="9" spans="1:15">
      <c r="A9">
        <v>2</v>
      </c>
      <c r="B9" t="s">
        <v>29</v>
      </c>
      <c r="C9" t="s">
        <v>27</v>
      </c>
      <c r="D9" t="s">
        <v>16</v>
      </c>
      <c r="E9" t="s">
        <v>28</v>
      </c>
      <c r="F9" t="s">
        <v>128</v>
      </c>
      <c r="G9" s="10" t="str">
        <f>HYPERLINK(CONCATENATE("http://de.farnell.com/a/b/c/dp/",Tabelle1[[#This Row],[Farnell]]), "Details")</f>
        <v>Details</v>
      </c>
      <c r="H9">
        <f>$I$1*Tabelle1[[#This Row],[Qty]]</f>
        <v>400</v>
      </c>
      <c r="I9" s="7">
        <v>6.0000000000000001E-3</v>
      </c>
      <c r="J9" s="5">
        <f>Tabelle1[[#This Row],[Anzahl]]*Tabelle1[[#This Row],[EP]]</f>
        <v>2.4</v>
      </c>
      <c r="K9" s="5"/>
      <c r="L9" s="50">
        <f>$L$1*Tabelle1[[#This Row],[Qty]]</f>
        <v>1000</v>
      </c>
      <c r="M9" s="7">
        <v>6.0000000000000001E-3</v>
      </c>
      <c r="N9" s="5">
        <f>Tabelle1[[#This Row],[Anzahl2]]*Tabelle1[[#This Row],[EP2]]</f>
        <v>6</v>
      </c>
      <c r="O9" s="5"/>
    </row>
    <row r="10" spans="1:15">
      <c r="A10">
        <v>1</v>
      </c>
      <c r="B10" t="s">
        <v>181</v>
      </c>
      <c r="C10" t="s">
        <v>156</v>
      </c>
      <c r="D10" t="s">
        <v>24</v>
      </c>
      <c r="E10" t="s">
        <v>157</v>
      </c>
      <c r="F10" t="s">
        <v>180</v>
      </c>
      <c r="G10" s="10" t="str">
        <f>HYPERLINK(CONCATENATE("http://de.farnell.com/a/b/c/dp/",Tabelle1[[#This Row],[Farnell]]), "Details")</f>
        <v>Details</v>
      </c>
      <c r="H10">
        <f>$I$1*Tabelle1[[#This Row],[Qty]]</f>
        <v>200</v>
      </c>
      <c r="I10" s="7">
        <v>5.0000000000000001E-3</v>
      </c>
      <c r="J10" s="5">
        <f>Tabelle1[[#This Row],[Anzahl]]*Tabelle1[[#This Row],[EP]]</f>
        <v>1</v>
      </c>
      <c r="K10" s="5"/>
      <c r="L10" s="50">
        <f>$L$1*Tabelle1[[#This Row],[Qty]]</f>
        <v>500</v>
      </c>
      <c r="M10" s="7">
        <v>5.0000000000000001E-3</v>
      </c>
      <c r="N10" s="5">
        <f>Tabelle1[[#This Row],[Anzahl2]]*Tabelle1[[#This Row],[EP2]]</f>
        <v>2.5</v>
      </c>
      <c r="O10" s="5"/>
    </row>
    <row r="11" spans="1:15">
      <c r="A11">
        <v>2</v>
      </c>
      <c r="B11" t="s">
        <v>38</v>
      </c>
      <c r="C11" t="s">
        <v>36</v>
      </c>
      <c r="D11" t="s">
        <v>16</v>
      </c>
      <c r="E11" t="s">
        <v>37</v>
      </c>
      <c r="F11" t="s">
        <v>131</v>
      </c>
      <c r="G11" s="10" t="str">
        <f>HYPERLINK(CONCATENATE("http://de.farnell.com/a/b/c/dp/",Tabelle1[[#This Row],[Farnell]]), "Details")</f>
        <v>Details</v>
      </c>
      <c r="H11">
        <f>$I$1*Tabelle1[[#This Row],[Qty]]</f>
        <v>400</v>
      </c>
      <c r="I11" s="7">
        <v>5.0000000000000001E-3</v>
      </c>
      <c r="J11" s="5">
        <f>Tabelle1[[#This Row],[Anzahl]]*Tabelle1[[#This Row],[EP]]</f>
        <v>2</v>
      </c>
      <c r="K11" s="5"/>
      <c r="L11" s="50">
        <f>$L$1*Tabelle1[[#This Row],[Qty]]</f>
        <v>1000</v>
      </c>
      <c r="M11" s="7">
        <v>5.0000000000000001E-3</v>
      </c>
      <c r="N11" s="5">
        <f>Tabelle1[[#This Row],[Anzahl2]]*Tabelle1[[#This Row],[EP2]]</f>
        <v>5</v>
      </c>
      <c r="O11" s="5"/>
    </row>
    <row r="12" spans="1:15">
      <c r="A12">
        <v>1</v>
      </c>
      <c r="B12" t="s">
        <v>41</v>
      </c>
      <c r="C12" t="s">
        <v>39</v>
      </c>
      <c r="D12" t="s">
        <v>24</v>
      </c>
      <c r="E12" t="s">
        <v>40</v>
      </c>
      <c r="F12" t="s">
        <v>132</v>
      </c>
      <c r="G12" s="10" t="str">
        <f>HYPERLINK(CONCATENATE("http://de.farnell.com/a/b/c/dp/",Tabelle1[[#This Row],[Farnell]]), "Details")</f>
        <v>Details</v>
      </c>
      <c r="H12">
        <f>$I$1*Tabelle1[[#This Row],[Qty]]</f>
        <v>200</v>
      </c>
      <c r="I12" s="7">
        <v>6.8999999999999999E-3</v>
      </c>
      <c r="J12" s="5">
        <f>Tabelle1[[#This Row],[Anzahl]]*Tabelle1[[#This Row],[EP]]</f>
        <v>1.38</v>
      </c>
      <c r="K12" s="5"/>
      <c r="L12" s="50">
        <f>$L$1*Tabelle1[[#This Row],[Qty]]</f>
        <v>500</v>
      </c>
      <c r="M12" s="7">
        <v>6.8999999999999999E-3</v>
      </c>
      <c r="N12" s="5">
        <f>Tabelle1[[#This Row],[Anzahl2]]*Tabelle1[[#This Row],[EP2]]</f>
        <v>3.4499999999999997</v>
      </c>
      <c r="O12" s="5"/>
    </row>
    <row r="13" spans="1:15">
      <c r="A13">
        <v>1</v>
      </c>
      <c r="B13" t="s">
        <v>159</v>
      </c>
      <c r="C13" t="s">
        <v>42</v>
      </c>
      <c r="D13" t="s">
        <v>16</v>
      </c>
      <c r="E13" t="s">
        <v>158</v>
      </c>
      <c r="F13" t="s">
        <v>177</v>
      </c>
      <c r="G13" s="10" t="str">
        <f>HYPERLINK(CONCATENATE("http://de.farnell.com/a/b/c/dp/",Tabelle1[[#This Row],[Farnell]]), "Details")</f>
        <v>Details</v>
      </c>
      <c r="H13">
        <f>$I$1*Tabelle1[[#This Row],[Qty]]</f>
        <v>200</v>
      </c>
      <c r="I13" s="7">
        <v>1.4E-2</v>
      </c>
      <c r="J13" s="5">
        <f>Tabelle1[[#This Row],[Anzahl]]*Tabelle1[[#This Row],[EP]]</f>
        <v>2.8000000000000003</v>
      </c>
      <c r="K13" s="5"/>
      <c r="L13" s="50">
        <f>$L$1*Tabelle1[[#This Row],[Qty]]</f>
        <v>500</v>
      </c>
      <c r="M13" s="7">
        <v>1.4E-2</v>
      </c>
      <c r="N13" s="5">
        <f>Tabelle1[[#This Row],[Anzahl2]]*Tabelle1[[#This Row],[EP2]]</f>
        <v>7</v>
      </c>
      <c r="O13" s="5"/>
    </row>
    <row r="14" spans="1:15">
      <c r="A14">
        <v>1</v>
      </c>
      <c r="B14" t="s">
        <v>163</v>
      </c>
      <c r="C14" t="s">
        <v>42</v>
      </c>
      <c r="D14" t="s">
        <v>161</v>
      </c>
      <c r="E14" t="s">
        <v>162</v>
      </c>
      <c r="F14" t="s">
        <v>176</v>
      </c>
      <c r="G14" s="10" t="str">
        <f>HYPERLINK(CONCATENATE("http://de.farnell.com/a/b/c/dp/",Tabelle1[[#This Row],[Farnell]]), "Details")</f>
        <v>Details</v>
      </c>
      <c r="H14">
        <f>$I$1*Tabelle1[[#This Row],[Qty]]</f>
        <v>200</v>
      </c>
      <c r="I14" s="7">
        <v>1.7000000000000001E-2</v>
      </c>
      <c r="J14" s="5">
        <f>Tabelle1[[#This Row],[Anzahl]]*Tabelle1[[#This Row],[EP]]</f>
        <v>3.4000000000000004</v>
      </c>
      <c r="K14" s="5"/>
      <c r="L14" s="50">
        <f>$L$1*Tabelle1[[#This Row],[Qty]]</f>
        <v>500</v>
      </c>
      <c r="M14" s="7">
        <v>1.7000000000000001E-2</v>
      </c>
      <c r="N14" s="5">
        <f>Tabelle1[[#This Row],[Anzahl2]]*Tabelle1[[#This Row],[EP2]]</f>
        <v>8.5</v>
      </c>
      <c r="O14" s="5"/>
    </row>
    <row r="15" spans="1:15">
      <c r="A15">
        <v>2</v>
      </c>
      <c r="B15" t="s">
        <v>182</v>
      </c>
      <c r="C15" t="s">
        <v>164</v>
      </c>
      <c r="D15" t="s">
        <v>24</v>
      </c>
      <c r="E15" t="s">
        <v>165</v>
      </c>
      <c r="F15" t="s">
        <v>183</v>
      </c>
      <c r="G15" s="10" t="str">
        <f>HYPERLINK(CONCATENATE("http://de.farnell.com/a/b/c/dp/",Tabelle1[[#This Row],[Farnell]]), "Details")</f>
        <v>Details</v>
      </c>
      <c r="H15">
        <f>$I$1*Tabelle1[[#This Row],[Qty]]</f>
        <v>400</v>
      </c>
      <c r="I15" s="7">
        <v>6.8999999999999999E-3</v>
      </c>
      <c r="J15" s="5">
        <f>Tabelle1[[#This Row],[Anzahl]]*Tabelle1[[#This Row],[EP]]</f>
        <v>2.76</v>
      </c>
      <c r="K15" s="5"/>
      <c r="L15" s="50">
        <f>$L$1*Tabelle1[[#This Row],[Qty]]</f>
        <v>1000</v>
      </c>
      <c r="M15" s="7">
        <v>6.8999999999999999E-3</v>
      </c>
      <c r="N15" s="5">
        <f>Tabelle1[[#This Row],[Anzahl2]]*Tabelle1[[#This Row],[EP2]]</f>
        <v>6.8999999999999995</v>
      </c>
      <c r="O15" s="5"/>
    </row>
    <row r="16" spans="1:15">
      <c r="A16">
        <v>2</v>
      </c>
      <c r="B16" t="s">
        <v>166</v>
      </c>
      <c r="C16" t="s">
        <v>53</v>
      </c>
      <c r="D16" t="s">
        <v>161</v>
      </c>
      <c r="E16" t="s">
        <v>54</v>
      </c>
      <c r="F16" t="s">
        <v>175</v>
      </c>
      <c r="G16" s="10" t="str">
        <f>HYPERLINK(CONCATENATE("http://de.farnell.com/a/b/c/dp/",Tabelle1[[#This Row],[Farnell]]), "Details")</f>
        <v>Details</v>
      </c>
      <c r="H16">
        <f>$I$1*Tabelle1[[#This Row],[Qty]]</f>
        <v>400</v>
      </c>
      <c r="I16" s="7">
        <v>4.3999999999999997E-2</v>
      </c>
      <c r="J16" s="5">
        <f>Tabelle1[[#This Row],[Anzahl]]*Tabelle1[[#This Row],[EP]]</f>
        <v>17.599999999999998</v>
      </c>
      <c r="K16" s="5"/>
      <c r="L16" s="50">
        <f>$L$1*Tabelle1[[#This Row],[Qty]]</f>
        <v>1000</v>
      </c>
      <c r="M16" s="7">
        <v>4.3999999999999997E-2</v>
      </c>
      <c r="N16" s="5">
        <f>Tabelle1[[#This Row],[Anzahl2]]*Tabelle1[[#This Row],[EP2]]</f>
        <v>44</v>
      </c>
      <c r="O16" s="5"/>
    </row>
    <row r="17" spans="1:15">
      <c r="A17">
        <v>3</v>
      </c>
      <c r="B17" t="s">
        <v>57</v>
      </c>
      <c r="C17" t="s">
        <v>184</v>
      </c>
      <c r="D17" t="s">
        <v>24</v>
      </c>
      <c r="E17" t="s">
        <v>56</v>
      </c>
      <c r="F17" t="s">
        <v>136</v>
      </c>
      <c r="G17" s="10" t="str">
        <f>HYPERLINK(CONCATENATE("http://de.farnell.com/a/b/c/dp/",Tabelle1[[#This Row],[Farnell]]), "Details")</f>
        <v>Details</v>
      </c>
      <c r="H17">
        <f>$I$1*Tabelle1[[#This Row],[Qty]]</f>
        <v>600</v>
      </c>
      <c r="I17" s="7">
        <v>6.8999999999999999E-3</v>
      </c>
      <c r="J17" s="5">
        <f>Tabelle1[[#This Row],[Anzahl]]*Tabelle1[[#This Row],[EP]]</f>
        <v>4.1399999999999997</v>
      </c>
      <c r="K17" s="5"/>
      <c r="L17" s="50">
        <f>$L$1*Tabelle1[[#This Row],[Qty]]</f>
        <v>1500</v>
      </c>
      <c r="M17" s="7">
        <v>6.8999999999999999E-3</v>
      </c>
      <c r="N17" s="5">
        <f>Tabelle1[[#This Row],[Anzahl2]]*Tabelle1[[#This Row],[EP2]]</f>
        <v>10.35</v>
      </c>
      <c r="O17" s="5"/>
    </row>
    <row r="18" spans="1:15">
      <c r="A18">
        <v>1</v>
      </c>
      <c r="B18" t="s">
        <v>62</v>
      </c>
      <c r="C18" t="s">
        <v>58</v>
      </c>
      <c r="D18" t="s">
        <v>60</v>
      </c>
      <c r="E18" t="s">
        <v>61</v>
      </c>
      <c r="F18" t="s">
        <v>137</v>
      </c>
      <c r="G18" s="10" t="str">
        <f>HYPERLINK(CONCATENATE("http://de.farnell.com/a/b/c/dp/",Tabelle1[[#This Row],[Farnell]]), "Details")</f>
        <v>Details</v>
      </c>
      <c r="H18">
        <f>$I$1*Tabelle1[[#This Row],[Qty]]</f>
        <v>200</v>
      </c>
      <c r="I18" s="7">
        <v>0.59799999999999998</v>
      </c>
      <c r="J18" s="5">
        <f>Tabelle1[[#This Row],[Anzahl]]*Tabelle1[[#This Row],[EP]]</f>
        <v>119.6</v>
      </c>
      <c r="K18" s="5"/>
      <c r="L18" s="50">
        <f>$L$1*Tabelle1[[#This Row],[Qty]]</f>
        <v>500</v>
      </c>
      <c r="M18" s="7">
        <v>0.59799999999999998</v>
      </c>
      <c r="N18" s="5">
        <f>Tabelle1[[#This Row],[Anzahl2]]*Tabelle1[[#This Row],[EP2]]</f>
        <v>299</v>
      </c>
      <c r="O18" s="5"/>
    </row>
    <row r="19" spans="1:15">
      <c r="A19">
        <v>2</v>
      </c>
      <c r="B19" t="s">
        <v>78</v>
      </c>
      <c r="C19" t="s">
        <v>75</v>
      </c>
      <c r="D19" t="s">
        <v>76</v>
      </c>
      <c r="E19" t="s">
        <v>77</v>
      </c>
      <c r="F19" t="s">
        <v>141</v>
      </c>
      <c r="G19" s="10" t="str">
        <f>HYPERLINK(CONCATENATE("http://de.farnell.com/a/b/c/dp/",Tabelle1[[#This Row],[Farnell]]), "Details")</f>
        <v>Details</v>
      </c>
      <c r="H19">
        <f>$I$1*Tabelle1[[#This Row],[Qty]]</f>
        <v>400</v>
      </c>
      <c r="I19" s="7">
        <v>7.51E-2</v>
      </c>
      <c r="J19" s="5">
        <f>Tabelle1[[#This Row],[Anzahl]]*Tabelle1[[#This Row],[EP]]</f>
        <v>30.04</v>
      </c>
      <c r="K19" s="5"/>
      <c r="L19" s="50">
        <f>$L$1*Tabelle1[[#This Row],[Qty]]</f>
        <v>1000</v>
      </c>
      <c r="M19" s="7">
        <v>7.51E-2</v>
      </c>
      <c r="N19" s="5">
        <f>Tabelle1[[#This Row],[Anzahl2]]*Tabelle1[[#This Row],[EP2]]</f>
        <v>75.099999999999994</v>
      </c>
      <c r="O19" s="5"/>
    </row>
    <row r="20" spans="1:15">
      <c r="I20">
        <f>Tabelle1[[#Totals],[Summe]]/I1</f>
        <v>1.1664000000000001</v>
      </c>
      <c r="J20" s="8">
        <f>SUBTOTAL(109,Tabelle1[Summe])</f>
        <v>233.28</v>
      </c>
      <c r="K20" s="8"/>
      <c r="L20" s="50"/>
      <c r="M20" s="8">
        <f>Tabelle1[[#Totals],[Summe2]]/L1</f>
        <v>1.1664000000000001</v>
      </c>
      <c r="N20" s="8">
        <f>SUBTOTAL(109,Tabelle1[Summe2])</f>
        <v>583.20000000000005</v>
      </c>
    </row>
    <row r="21" spans="1:15" ht="28">
      <c r="A21" s="59" t="s">
        <v>207</v>
      </c>
      <c r="B21" s="59"/>
      <c r="C21" s="59"/>
      <c r="D21" s="59"/>
      <c r="E21" s="59"/>
      <c r="F21" s="59"/>
    </row>
    <row r="22" spans="1:15">
      <c r="A22" s="20" t="s">
        <v>0</v>
      </c>
      <c r="B22" s="21" t="s">
        <v>110</v>
      </c>
      <c r="C22" s="21" t="s">
        <v>1</v>
      </c>
      <c r="D22" s="21" t="s">
        <v>3</v>
      </c>
      <c r="E22" s="21" t="s">
        <v>4</v>
      </c>
      <c r="F22" s="21" t="s">
        <v>5</v>
      </c>
      <c r="G22" s="22" t="s">
        <v>118</v>
      </c>
      <c r="H22" s="21" t="s">
        <v>169</v>
      </c>
      <c r="I22" s="23" t="s">
        <v>170</v>
      </c>
      <c r="J22" s="24" t="s">
        <v>171</v>
      </c>
      <c r="K22" s="24" t="s">
        <v>208</v>
      </c>
      <c r="L22" s="51" t="s">
        <v>191</v>
      </c>
      <c r="M22" s="24" t="s">
        <v>192</v>
      </c>
      <c r="N22" s="24" t="s">
        <v>193</v>
      </c>
      <c r="O22" s="56" t="s">
        <v>209</v>
      </c>
    </row>
    <row r="23" spans="1:15">
      <c r="A23" s="25">
        <v>1</v>
      </c>
      <c r="B23" s="26" t="s">
        <v>86</v>
      </c>
      <c r="C23" s="26" t="s">
        <v>83</v>
      </c>
      <c r="D23" s="26" t="s">
        <v>84</v>
      </c>
      <c r="E23" s="26" t="s">
        <v>85</v>
      </c>
      <c r="F23" s="26" t="s">
        <v>143</v>
      </c>
      <c r="G23" s="37" t="str">
        <f>HYPERLINK(CONCATENATE("http://de.farnell.com/a/b/c/dp/",Tabelle2[[#This Row],[Farnell]]), "Details")</f>
        <v>Details</v>
      </c>
      <c r="H23" s="26">
        <f>$I$1*Tabelle4[[#This Row],[Qty]]</f>
        <v>200</v>
      </c>
      <c r="I23" s="27">
        <v>0.48499999999999999</v>
      </c>
      <c r="J23" s="28">
        <f>Tabelle4[[#This Row],[Anzahl]]*Tabelle4[[#This Row],[EP]]</f>
        <v>97</v>
      </c>
      <c r="K23" s="57"/>
      <c r="L23" s="52">
        <f>$L$1*Tabelle4[[#This Row],[Qty]]</f>
        <v>500</v>
      </c>
      <c r="M23" s="27">
        <v>0.48499999999999999</v>
      </c>
      <c r="N23" s="28">
        <f>Tabelle4[[#This Row],[Anzahl2]]*Tabelle4[[#This Row],[EP2]]</f>
        <v>242.5</v>
      </c>
      <c r="O23" s="29"/>
    </row>
    <row r="24" spans="1:15">
      <c r="A24" s="25">
        <v>1</v>
      </c>
      <c r="B24" s="26">
        <v>1734973</v>
      </c>
      <c r="C24" s="26" t="s">
        <v>87</v>
      </c>
      <c r="D24" s="26" t="s">
        <v>88</v>
      </c>
      <c r="E24" s="26" t="s">
        <v>89</v>
      </c>
      <c r="F24" s="26" t="s">
        <v>144</v>
      </c>
      <c r="G24" s="37" t="str">
        <f>HYPERLINK(CONCATENATE("http://de.farnell.com/a/b/c/dp/",Tabelle2[[#This Row],[Farnell]]), "Details")</f>
        <v>Details</v>
      </c>
      <c r="H24" s="26">
        <f>$I$1*Tabelle4[[#This Row],[Qty]]</f>
        <v>200</v>
      </c>
      <c r="I24" s="27">
        <v>0.70199999999999996</v>
      </c>
      <c r="J24" s="28">
        <f>Tabelle4[[#This Row],[Anzahl]]*Tabelle4[[#This Row],[EP]]</f>
        <v>140.39999999999998</v>
      </c>
      <c r="K24" s="57"/>
      <c r="L24" s="52">
        <f>$L$1*Tabelle4[[#This Row],[Qty]]</f>
        <v>500</v>
      </c>
      <c r="M24" s="27">
        <v>0.70199999999999996</v>
      </c>
      <c r="N24" s="28">
        <f>Tabelle4[[#This Row],[Anzahl2]]*Tabelle4[[#This Row],[EP2]]</f>
        <v>351</v>
      </c>
      <c r="O24" s="29"/>
    </row>
    <row r="25" spans="1:15">
      <c r="A25" s="25">
        <v>1</v>
      </c>
      <c r="B25" s="26">
        <v>2443092</v>
      </c>
      <c r="C25" s="26" t="s">
        <v>90</v>
      </c>
      <c r="D25" s="26" t="s">
        <v>91</v>
      </c>
      <c r="E25" s="26" t="s">
        <v>92</v>
      </c>
      <c r="F25" s="26" t="s">
        <v>145</v>
      </c>
      <c r="G25" s="37" t="str">
        <f>HYPERLINK(CONCATENATE("http://de.farnell.com/a/b/c/dp/",Tabelle2[[#This Row],[Farnell]]), "Details")</f>
        <v>Details</v>
      </c>
      <c r="H25" s="26">
        <f>$I$1*Tabelle4[[#This Row],[Qty]]</f>
        <v>200</v>
      </c>
      <c r="I25" s="27">
        <v>0.67200000000000004</v>
      </c>
      <c r="J25" s="28">
        <f>Tabelle4[[#This Row],[Anzahl]]*Tabelle4[[#This Row],[EP]]</f>
        <v>134.4</v>
      </c>
      <c r="K25" s="57"/>
      <c r="L25" s="52">
        <f>$L$1*Tabelle4[[#This Row],[Qty]]</f>
        <v>500</v>
      </c>
      <c r="M25" s="27">
        <v>0.67200000000000004</v>
      </c>
      <c r="N25" s="28">
        <f>Tabelle4[[#This Row],[Anzahl2]]*Tabelle4[[#This Row],[EP2]]</f>
        <v>336</v>
      </c>
      <c r="O25" s="29"/>
    </row>
    <row r="26" spans="1:15">
      <c r="A26" s="25">
        <v>1</v>
      </c>
      <c r="B26" s="26">
        <v>1103107</v>
      </c>
      <c r="C26" s="26" t="s">
        <v>96</v>
      </c>
      <c r="D26" s="26" t="s">
        <v>97</v>
      </c>
      <c r="E26" s="26" t="s">
        <v>98</v>
      </c>
      <c r="F26" s="26" t="s">
        <v>147</v>
      </c>
      <c r="G26" s="37" t="str">
        <f>HYPERLINK(CONCATENATE("http://de.farnell.com/a/b/c/dp/",Tabelle2[[#This Row],[Farnell]]), "Details")</f>
        <v>Details</v>
      </c>
      <c r="H26" s="26">
        <f>$I$1*Tabelle4[[#This Row],[Qty]]</f>
        <v>200</v>
      </c>
      <c r="I26" s="27">
        <v>0.86599999999999999</v>
      </c>
      <c r="J26" s="28">
        <f>Tabelle4[[#This Row],[Anzahl]]*Tabelle4[[#This Row],[EP]]</f>
        <v>173.2</v>
      </c>
      <c r="K26" s="57"/>
      <c r="L26" s="52">
        <f>$L$1*Tabelle4[[#This Row],[Qty]]</f>
        <v>500</v>
      </c>
      <c r="M26" s="27">
        <v>0.86599999999999999</v>
      </c>
      <c r="N26" s="28">
        <f>Tabelle4[[#This Row],[Anzahl2]]*Tabelle4[[#This Row],[EP2]]</f>
        <v>433</v>
      </c>
      <c r="O26" s="29"/>
    </row>
    <row r="27" spans="1:15">
      <c r="A27" s="25">
        <v>1</v>
      </c>
      <c r="B27" s="26">
        <v>2466939</v>
      </c>
      <c r="C27" s="26" t="s">
        <v>99</v>
      </c>
      <c r="D27" s="26" t="s">
        <v>100</v>
      </c>
      <c r="E27" s="26" t="s">
        <v>101</v>
      </c>
      <c r="F27" s="26" t="s">
        <v>148</v>
      </c>
      <c r="G27" s="37" t="str">
        <f>HYPERLINK(CONCATENATE("http://de.farnell.com/a/b/c/dp/",Tabelle2[[#This Row],[Farnell]]), "Details")</f>
        <v>Details</v>
      </c>
      <c r="H27" s="26">
        <f>$I$1*Tabelle4[[#This Row],[Qty]]</f>
        <v>200</v>
      </c>
      <c r="I27" s="27">
        <v>4.87</v>
      </c>
      <c r="J27" s="28">
        <f>Tabelle4[[#This Row],[Anzahl]]*Tabelle4[[#This Row],[EP]]</f>
        <v>974</v>
      </c>
      <c r="K27" s="57">
        <f>Tabelle4[[#This Row],[EP]]*44</f>
        <v>214.28</v>
      </c>
      <c r="L27" s="52">
        <f>$L$1*Tabelle4[[#This Row],[Qty]]</f>
        <v>500</v>
      </c>
      <c r="M27" s="27">
        <v>4.87</v>
      </c>
      <c r="N27" s="28">
        <f>Tabelle4[[#This Row],[Anzahl2]]*Tabelle4[[#This Row],[EP2]]</f>
        <v>2435</v>
      </c>
      <c r="O27" s="29"/>
    </row>
    <row r="28" spans="1:15">
      <c r="A28" s="25">
        <v>1</v>
      </c>
      <c r="B28" s="26">
        <v>1645325</v>
      </c>
      <c r="C28" s="26" t="s">
        <v>108</v>
      </c>
      <c r="D28" s="26" t="s">
        <v>108</v>
      </c>
      <c r="E28" s="26" t="s">
        <v>109</v>
      </c>
      <c r="F28" s="26" t="s">
        <v>150</v>
      </c>
      <c r="G28" s="37" t="str">
        <f>HYPERLINK(CONCATENATE("http://de.farnell.com/a/b/c/dp/",Tabelle2[[#This Row],[Farnell]]), "Details")</f>
        <v>Details</v>
      </c>
      <c r="H28" s="26">
        <f>$I$1*Tabelle4[[#This Row],[Qty]]</f>
        <v>200</v>
      </c>
      <c r="I28" s="27">
        <v>0.36199999999999999</v>
      </c>
      <c r="J28" s="28">
        <f>Tabelle4[[#This Row],[Anzahl]]*Tabelle4[[#This Row],[EP]]</f>
        <v>72.399999999999991</v>
      </c>
      <c r="K28" s="57"/>
      <c r="L28" s="52">
        <f>$L$1*Tabelle4[[#This Row],[Qty]]</f>
        <v>500</v>
      </c>
      <c r="M28" s="27">
        <v>0.36199999999999999</v>
      </c>
      <c r="N28" s="28">
        <f>Tabelle4[[#This Row],[Anzahl2]]*Tabelle4[[#This Row],[EP2]]</f>
        <v>181</v>
      </c>
      <c r="O28" s="29"/>
    </row>
    <row r="29" spans="1:15">
      <c r="A29" s="25">
        <v>3</v>
      </c>
      <c r="B29" s="26"/>
      <c r="C29" s="26" t="s">
        <v>93</v>
      </c>
      <c r="D29" s="26" t="s">
        <v>94</v>
      </c>
      <c r="E29" s="26" t="s">
        <v>167</v>
      </c>
      <c r="F29" s="26" t="s">
        <v>146</v>
      </c>
      <c r="G29" s="43" t="str">
        <f>HYPERLINK(CONCATENATE("http://de.farnell.com/a/b/c/dp/",Tabelle2[[#This Row],[Farnell]]), "Details")</f>
        <v>Details</v>
      </c>
      <c r="H29" s="47">
        <f>$I$1*Tabelle4[[#This Row],[Qty]]</f>
        <v>600</v>
      </c>
      <c r="I29" s="44">
        <v>5.5E-2</v>
      </c>
      <c r="J29" s="45">
        <f>Tabelle4[[#This Row],[Anzahl]]*Tabelle4[[#This Row],[EP]]</f>
        <v>33</v>
      </c>
      <c r="K29" s="45"/>
      <c r="L29" s="53">
        <f>$L$1*Tabelle4[[#This Row],[Qty]]</f>
        <v>1500</v>
      </c>
      <c r="M29" s="44">
        <v>5.5E-2</v>
      </c>
      <c r="N29" s="45">
        <f>Tabelle4[[#This Row],[Anzahl2]]*Tabelle4[[#This Row],[EP2]]</f>
        <v>82.5</v>
      </c>
      <c r="O29" s="48"/>
    </row>
    <row r="30" spans="1:15">
      <c r="A30" s="25">
        <v>1</v>
      </c>
      <c r="B30" s="31"/>
      <c r="C30" s="31" t="s">
        <v>106</v>
      </c>
      <c r="D30" s="31" t="s">
        <v>106</v>
      </c>
      <c r="E30" s="26" t="s">
        <v>107</v>
      </c>
      <c r="F30" s="26" t="s">
        <v>149</v>
      </c>
      <c r="G30" s="43" t="str">
        <f>HYPERLINK(CONCATENATE("http://de.farnell.com/a/b/c/dp/",Tabelle2[[#This Row],[Farnell]]), "Details")</f>
        <v>Details</v>
      </c>
      <c r="H30" s="47">
        <f>$I$1*Tabelle4[[#This Row],[Qty]]</f>
        <v>200</v>
      </c>
      <c r="I30" s="44">
        <v>0.09</v>
      </c>
      <c r="J30" s="45">
        <f>Tabelle4[[#This Row],[Anzahl]]*Tabelle4[[#This Row],[EP]]</f>
        <v>18</v>
      </c>
      <c r="K30" s="45"/>
      <c r="L30" s="53">
        <f>$L$1*Tabelle4[[#This Row],[Qty]]</f>
        <v>500</v>
      </c>
      <c r="M30" s="44">
        <v>0.09</v>
      </c>
      <c r="N30" s="45">
        <f>Tabelle4[[#This Row],[Anzahl2]]*Tabelle4[[#This Row],[EP2]]</f>
        <v>45</v>
      </c>
      <c r="O30" s="48"/>
    </row>
    <row r="31" spans="1:15">
      <c r="A31" s="30" t="s">
        <v>117</v>
      </c>
      <c r="B31" s="31"/>
      <c r="C31" s="31"/>
      <c r="D31" s="31"/>
      <c r="E31" s="31"/>
      <c r="F31" s="31"/>
      <c r="G31" s="32"/>
      <c r="H31" s="31"/>
      <c r="I31" s="33">
        <f>Tabelle4[[#Totals],[Summe]]/$I$1</f>
        <v>8.2119999999999997</v>
      </c>
      <c r="J31" s="34">
        <f>SUBTOTAL(109,Tabelle4[Summe])</f>
        <v>1642.4</v>
      </c>
      <c r="K31" s="34">
        <f>SUBTOTAL(109,Tabelle4[Offen])</f>
        <v>214.28</v>
      </c>
      <c r="L31" s="54"/>
      <c r="M31" s="33">
        <f>Tabelle4[[#Totals],[Summe2]]/$L$1</f>
        <v>8.2119999999999997</v>
      </c>
      <c r="N31" s="34">
        <f>SUBTOTAL(109,Tabelle4[Summe2])</f>
        <v>4106</v>
      </c>
      <c r="O31" s="35"/>
    </row>
    <row r="33" spans="1:15" ht="28">
      <c r="A33" s="60" t="s">
        <v>202</v>
      </c>
      <c r="B33" s="60"/>
      <c r="C33" s="60"/>
      <c r="D33" s="60"/>
      <c r="E33" s="60"/>
      <c r="F33" s="60"/>
    </row>
    <row r="34" spans="1:15">
      <c r="A34" s="20" t="s">
        <v>0</v>
      </c>
      <c r="B34" s="21" t="s">
        <v>110</v>
      </c>
      <c r="C34" s="21" t="s">
        <v>1</v>
      </c>
      <c r="D34" s="21" t="s">
        <v>3</v>
      </c>
      <c r="E34" s="21" t="s">
        <v>4</v>
      </c>
      <c r="F34" s="21" t="s">
        <v>5</v>
      </c>
      <c r="G34" s="22" t="s">
        <v>118</v>
      </c>
      <c r="H34" s="21" t="s">
        <v>169</v>
      </c>
      <c r="I34" s="23" t="s">
        <v>170</v>
      </c>
      <c r="J34" s="24" t="s">
        <v>171</v>
      </c>
      <c r="K34" s="24" t="s">
        <v>208</v>
      </c>
      <c r="L34" s="51" t="s">
        <v>191</v>
      </c>
      <c r="M34" s="24" t="s">
        <v>192</v>
      </c>
      <c r="N34" s="24" t="s">
        <v>193</v>
      </c>
      <c r="O34" s="56" t="s">
        <v>209</v>
      </c>
    </row>
    <row r="35" spans="1:15">
      <c r="A35" s="25">
        <v>1</v>
      </c>
      <c r="B35" s="26"/>
      <c r="C35" s="26"/>
      <c r="D35" s="26"/>
      <c r="E35" s="26"/>
      <c r="F35" s="26" t="s">
        <v>197</v>
      </c>
      <c r="G35" s="37"/>
      <c r="H35" s="47">
        <f>Tabelle5[[#This Row],[Qty]]*$I$1</f>
        <v>200</v>
      </c>
      <c r="I35" s="44">
        <v>0.86333333329999995</v>
      </c>
      <c r="J35" s="45">
        <f>Tabelle5[[#This Row],[EP]]*Tabelle5[[#This Row],[Anzahl]]</f>
        <v>172.66666665999998</v>
      </c>
      <c r="K35" s="58">
        <f>Tabelle5[[#This Row],[Summe]]</f>
        <v>172.66666665999998</v>
      </c>
      <c r="L35" s="52">
        <f>$L$1*Tabelle5[[#This Row],[Qty]]</f>
        <v>500</v>
      </c>
      <c r="M35" s="44">
        <v>0.86333333329999995</v>
      </c>
      <c r="N35" s="45">
        <f>Tabelle5[[#This Row],[EP2]]*Tabelle5[[#This Row],[Anzahl2]]</f>
        <v>431.66666664999997</v>
      </c>
      <c r="O35" s="46">
        <f>Tabelle5[[#This Row],[Summe2]]</f>
        <v>431.66666664999997</v>
      </c>
    </row>
    <row r="36" spans="1:15">
      <c r="A36" s="25">
        <v>1</v>
      </c>
      <c r="B36" s="26"/>
      <c r="C36" s="26"/>
      <c r="D36" s="26"/>
      <c r="E36" s="26"/>
      <c r="F36" s="26" t="s">
        <v>195</v>
      </c>
      <c r="G36" s="37"/>
      <c r="H36" s="26">
        <f>Tabelle5[[#This Row],[Qty]]*$I$1</f>
        <v>200</v>
      </c>
      <c r="I36" s="44">
        <f>Tabelle4[[#Totals],[EP]]</f>
        <v>8.2119999999999997</v>
      </c>
      <c r="J36" s="45">
        <f>Tabelle5[[#This Row],[EP]]*Tabelle5[[#This Row],[Anzahl]]</f>
        <v>1642.3999999999999</v>
      </c>
      <c r="K36" s="58">
        <f>Tabelle4[[#Totals],[Offen]]</f>
        <v>214.28</v>
      </c>
      <c r="L36" s="52">
        <f>$L$1*Tabelle5[[#This Row],[Qty]]</f>
        <v>500</v>
      </c>
      <c r="M36" s="44">
        <f>Tabelle4[[#Totals],[EP2]]</f>
        <v>8.2119999999999997</v>
      </c>
      <c r="N36" s="45">
        <f>Tabelle5[[#This Row],[EP2]]*Tabelle5[[#This Row],[Anzahl2]]</f>
        <v>4106</v>
      </c>
      <c r="O36" s="46"/>
    </row>
    <row r="37" spans="1:15">
      <c r="A37" s="25">
        <v>1</v>
      </c>
      <c r="B37" s="26"/>
      <c r="C37" s="26"/>
      <c r="D37" s="26"/>
      <c r="E37" s="26"/>
      <c r="F37" s="26" t="s">
        <v>201</v>
      </c>
      <c r="G37" s="37"/>
      <c r="H37" s="47">
        <f>Tabelle5[[#This Row],[Qty]]*$I$1</f>
        <v>200</v>
      </c>
      <c r="I37" s="44">
        <v>5.4</v>
      </c>
      <c r="J37" s="45">
        <f>Tabelle5[[#This Row],[EP]]*Tabelle5[[#This Row],[Anzahl]]</f>
        <v>1080</v>
      </c>
      <c r="K37" s="58">
        <f>Tabelle5[[#This Row],[Summe]]</f>
        <v>1080</v>
      </c>
      <c r="L37" s="52">
        <f>$L$1*Tabelle5[[#This Row],[Qty]]</f>
        <v>500</v>
      </c>
      <c r="M37" s="44">
        <v>4.75</v>
      </c>
      <c r="N37" s="45">
        <f>Tabelle5[[#This Row],[EP2]]*Tabelle5[[#This Row],[Anzahl2]]</f>
        <v>2375</v>
      </c>
      <c r="O37" s="46">
        <f>Tabelle5[[#This Row],[Summe2]]</f>
        <v>2375</v>
      </c>
    </row>
    <row r="38" spans="1:15">
      <c r="A38" s="25">
        <v>1</v>
      </c>
      <c r="B38" s="26"/>
      <c r="C38" s="26"/>
      <c r="D38" s="26"/>
      <c r="E38" s="26"/>
      <c r="F38" s="26" t="s">
        <v>204</v>
      </c>
      <c r="G38" s="43"/>
      <c r="H38" s="47">
        <f>Tabelle5[[#This Row],[Qty]]*$I$1</f>
        <v>200</v>
      </c>
      <c r="I38" s="44">
        <f>Tabelle5[[#This Row],[Summe]]/Tabelle5[[#This Row],[Anzahl]]</f>
        <v>1.375</v>
      </c>
      <c r="J38" s="45">
        <v>275</v>
      </c>
      <c r="K38" s="58">
        <f>Tabelle5[[#This Row],[Summe]]</f>
        <v>275</v>
      </c>
      <c r="L38" s="52">
        <f>$L$1*Tabelle5[[#This Row],[Qty]]</f>
        <v>500</v>
      </c>
      <c r="M38" s="44">
        <f>Tabelle5[[#This Row],[Summe2]]/Tabelle5[[#This Row],[Anzahl2]]</f>
        <v>0.55000000000000004</v>
      </c>
      <c r="N38" s="45">
        <v>275</v>
      </c>
      <c r="O38" s="46">
        <f>Tabelle5[[#This Row],[Summe2]]</f>
        <v>275</v>
      </c>
    </row>
    <row r="39" spans="1:15">
      <c r="A39" s="25">
        <v>1</v>
      </c>
      <c r="B39" s="26"/>
      <c r="C39" s="26"/>
      <c r="D39" s="26"/>
      <c r="E39" s="26"/>
      <c r="F39" s="26" t="s">
        <v>205</v>
      </c>
      <c r="G39" s="43"/>
      <c r="H39" s="47">
        <f>Tabelle5[[#This Row],[Qty]]*$I$1</f>
        <v>200</v>
      </c>
      <c r="I39" s="44">
        <f>Tabelle5[[#This Row],[Summe]]/Tabelle5[[#This Row],[Anzahl]]</f>
        <v>0.47499999999999998</v>
      </c>
      <c r="J39" s="45">
        <v>95</v>
      </c>
      <c r="K39" s="58">
        <f>Tabelle5[[#This Row],[Summe]]</f>
        <v>95</v>
      </c>
      <c r="L39" s="52">
        <f>$L$1*Tabelle5[[#This Row],[Qty]]</f>
        <v>500</v>
      </c>
      <c r="M39" s="44">
        <f>Tabelle5[[#This Row],[Summe2]]/Tabelle5[[#This Row],[Anzahl2]]</f>
        <v>0.19</v>
      </c>
      <c r="N39" s="45">
        <v>95</v>
      </c>
      <c r="O39" s="46">
        <f>Tabelle5[[#This Row],[Summe2]]</f>
        <v>95</v>
      </c>
    </row>
    <row r="40" spans="1:15">
      <c r="A40" s="25">
        <v>1</v>
      </c>
      <c r="B40" s="26"/>
      <c r="C40" s="26"/>
      <c r="D40" s="26"/>
      <c r="E40" s="26"/>
      <c r="F40" s="26" t="s">
        <v>210</v>
      </c>
      <c r="G40" s="43"/>
      <c r="H40" s="47">
        <f>Tabelle5[[#This Row],[Qty]]*$I$1</f>
        <v>200</v>
      </c>
      <c r="I40" s="44">
        <v>2.95</v>
      </c>
      <c r="J40" s="45">
        <f>Tabelle5[[#This Row],[EP]]*Tabelle5[[#This Row],[Anzahl]]</f>
        <v>590</v>
      </c>
      <c r="K40" s="58">
        <f>Tabelle5[[#This Row],[Summe]]</f>
        <v>590</v>
      </c>
      <c r="L40" s="52">
        <f>$L$1*Tabelle5[[#This Row],[Qty]]</f>
        <v>500</v>
      </c>
      <c r="M40" s="44">
        <v>2.95</v>
      </c>
      <c r="N40" s="45">
        <f>Tabelle5[[#This Row],[EP2]]*Tabelle5[[#This Row],[Anzahl2]]</f>
        <v>1475</v>
      </c>
      <c r="O40" s="46">
        <f>Tabelle5[[#This Row],[Summe2]]</f>
        <v>1475</v>
      </c>
    </row>
    <row r="41" spans="1:15">
      <c r="A41" s="25">
        <v>1</v>
      </c>
      <c r="B41" s="26"/>
      <c r="C41" s="26"/>
      <c r="D41" s="26"/>
      <c r="E41" s="26"/>
      <c r="F41" s="26" t="s">
        <v>200</v>
      </c>
      <c r="G41" s="37"/>
      <c r="H41" s="47">
        <f>Tabelle5[[#This Row],[Qty]]*$I$1</f>
        <v>200</v>
      </c>
      <c r="I41" s="44">
        <v>1.5</v>
      </c>
      <c r="J41" s="45">
        <f>Tabelle5[[#This Row],[EP]]*Tabelle5[[#This Row],[Anzahl]]</f>
        <v>300</v>
      </c>
      <c r="K41" s="58">
        <f>Tabelle5[[#This Row],[Summe]]</f>
        <v>300</v>
      </c>
      <c r="L41" s="52">
        <f>$L$1*Tabelle5[[#This Row],[Qty]]</f>
        <v>500</v>
      </c>
      <c r="M41" s="44">
        <v>1.5</v>
      </c>
      <c r="N41" s="45">
        <f>Tabelle5[[#This Row],[EP2]]*Tabelle5[[#This Row],[Anzahl2]]</f>
        <v>750</v>
      </c>
      <c r="O41" s="46">
        <f>Tabelle5[[#This Row],[Summe2]]</f>
        <v>750</v>
      </c>
    </row>
    <row r="42" spans="1:15">
      <c r="A42" s="25">
        <v>1</v>
      </c>
      <c r="B42" s="26"/>
      <c r="C42" s="26"/>
      <c r="D42" s="26"/>
      <c r="E42" s="26"/>
      <c r="F42" s="26" t="s">
        <v>196</v>
      </c>
      <c r="G42" s="37"/>
      <c r="H42" s="47">
        <f>Tabelle5[[#This Row],[Qty]]*$I$1</f>
        <v>200</v>
      </c>
      <c r="I42" s="44">
        <v>0.28999999999999998</v>
      </c>
      <c r="J42" s="45">
        <f>Tabelle5[[#This Row],[EP]]*Tabelle5[[#This Row],[Anzahl]]</f>
        <v>57.999999999999993</v>
      </c>
      <c r="K42" s="58"/>
      <c r="L42" s="52">
        <f>$L$1*Tabelle5[[#This Row],[Qty]]</f>
        <v>500</v>
      </c>
      <c r="M42" s="44">
        <v>0.28999999999999998</v>
      </c>
      <c r="N42" s="45">
        <f>Tabelle5[[#This Row],[EP2]]*Tabelle5[[#This Row],[Anzahl2]]</f>
        <v>145</v>
      </c>
      <c r="O42" s="46"/>
    </row>
    <row r="43" spans="1:15">
      <c r="A43" s="25">
        <v>1</v>
      </c>
      <c r="B43" s="26"/>
      <c r="C43" s="26"/>
      <c r="D43" s="26"/>
      <c r="E43" s="26"/>
      <c r="F43" s="26" t="s">
        <v>198</v>
      </c>
      <c r="G43" s="37"/>
      <c r="H43" s="26">
        <f>Tabelle5[[#This Row],[Qty]]*$I$1</f>
        <v>200</v>
      </c>
      <c r="I43" s="44">
        <v>0.19400000000000001</v>
      </c>
      <c r="J43" s="45">
        <f>Tabelle5[[#This Row],[EP]]*Tabelle5[[#This Row],[Anzahl]]</f>
        <v>38.800000000000004</v>
      </c>
      <c r="K43" s="58"/>
      <c r="L43" s="52">
        <f>$L$1*Tabelle5[[#This Row],[Qty]]</f>
        <v>500</v>
      </c>
      <c r="M43" s="44">
        <v>0.19400000000000001</v>
      </c>
      <c r="N43" s="45">
        <f>Tabelle5[[#This Row],[EP2]]*Tabelle5[[#This Row],[Anzahl2]]</f>
        <v>97</v>
      </c>
      <c r="O43" s="46"/>
    </row>
    <row r="44" spans="1:15">
      <c r="A44" s="25">
        <v>1</v>
      </c>
      <c r="B44" s="26"/>
      <c r="C44" s="26"/>
      <c r="D44" s="26"/>
      <c r="E44" s="26"/>
      <c r="F44" s="26" t="s">
        <v>203</v>
      </c>
      <c r="G44" s="43"/>
      <c r="H44" s="47">
        <f>Tabelle5[[#This Row],[Qty]]*$I$1</f>
        <v>200</v>
      </c>
      <c r="I44" s="44">
        <v>0.18</v>
      </c>
      <c r="J44" s="45">
        <f>Tabelle5[[#This Row],[EP]]*Tabelle5[[#This Row],[Anzahl]]</f>
        <v>36</v>
      </c>
      <c r="K44" s="58"/>
      <c r="L44" s="52">
        <f>$L$1*Tabelle5[[#This Row],[Qty]]</f>
        <v>500</v>
      </c>
      <c r="M44" s="44">
        <v>0.18</v>
      </c>
      <c r="N44" s="45">
        <f>Tabelle5[[#This Row],[EP2]]*Tabelle5[[#This Row],[Anzahl2]]</f>
        <v>90</v>
      </c>
      <c r="O44" s="46"/>
    </row>
    <row r="45" spans="1:15">
      <c r="A45" s="25">
        <v>1</v>
      </c>
      <c r="B45" s="26"/>
      <c r="C45" s="26"/>
      <c r="D45" s="26"/>
      <c r="E45" s="26"/>
      <c r="F45" s="26" t="s">
        <v>206</v>
      </c>
      <c r="G45" s="43"/>
      <c r="H45" s="47">
        <f>Tabelle5[[#This Row],[Qty]]*$I$1</f>
        <v>200</v>
      </c>
      <c r="I45" s="44">
        <v>0.23</v>
      </c>
      <c r="J45" s="45">
        <f>Tabelle5[[#This Row],[EP]]*Tabelle5[[#This Row],[Anzahl]]</f>
        <v>46</v>
      </c>
      <c r="K45" s="58"/>
      <c r="L45" s="52">
        <f>$L$1*Tabelle5[[#This Row],[Qty]]</f>
        <v>500</v>
      </c>
      <c r="M45" s="44">
        <v>0.23</v>
      </c>
      <c r="N45" s="45">
        <f>Tabelle5[[#This Row],[EP2]]*Tabelle5[[#This Row],[Anzahl2]]</f>
        <v>115</v>
      </c>
      <c r="O45" s="46">
        <f>Tabelle5[[#This Row],[Summe2]]</f>
        <v>115</v>
      </c>
    </row>
    <row r="46" spans="1:15">
      <c r="A46" s="25">
        <v>1</v>
      </c>
      <c r="B46" s="26"/>
      <c r="C46" s="26"/>
      <c r="D46" s="26"/>
      <c r="E46" s="26"/>
      <c r="F46" s="26" t="s">
        <v>199</v>
      </c>
      <c r="G46" s="37"/>
      <c r="H46" s="47">
        <f>Tabelle5[[#This Row],[Qty]]*$I$1</f>
        <v>200</v>
      </c>
      <c r="I46" s="44">
        <v>0.75</v>
      </c>
      <c r="J46" s="45">
        <f>Tabelle5[[#This Row],[EP]]*Tabelle5[[#This Row],[Anzahl]]</f>
        <v>150</v>
      </c>
      <c r="K46" s="58">
        <f>Tabelle5[[#This Row],[Summe]]</f>
        <v>150</v>
      </c>
      <c r="L46" s="52">
        <f>$L$1*Tabelle5[[#This Row],[Qty]]</f>
        <v>500</v>
      </c>
      <c r="M46" s="44">
        <v>0.75</v>
      </c>
      <c r="N46" s="45">
        <f>Tabelle5[[#This Row],[EP2]]*Tabelle5[[#This Row],[Anzahl2]]</f>
        <v>375</v>
      </c>
      <c r="O46" s="46">
        <f>Tabelle5[[#This Row],[Summe2]]</f>
        <v>375</v>
      </c>
    </row>
    <row r="47" spans="1:15">
      <c r="A47" s="38" t="s">
        <v>117</v>
      </c>
      <c r="B47" s="39"/>
      <c r="C47" s="39"/>
      <c r="D47" s="39"/>
      <c r="E47" s="39"/>
      <c r="F47" s="39"/>
      <c r="G47" s="40"/>
      <c r="H47" s="39"/>
      <c r="I47" s="41">
        <f>Tabelle5[[#Totals],[Summe]]/I1</f>
        <v>22.419333333300003</v>
      </c>
      <c r="J47" s="42">
        <f>SUBTOTAL(109,Tabelle5[Summe])</f>
        <v>4483.8666666600002</v>
      </c>
      <c r="K47" s="42">
        <f>SUBTOTAL(109,Tabelle5[Offen])</f>
        <v>2876.9466666600001</v>
      </c>
      <c r="L47" s="52"/>
      <c r="M47" s="41">
        <f>Tabelle5[[#Totals],[Summe2]]/L1</f>
        <v>20.659333333299998</v>
      </c>
      <c r="N47" s="42">
        <f>SUBTOTAL(109,Tabelle5[Summe2])</f>
        <v>10329.666666649999</v>
      </c>
      <c r="O47" s="55">
        <f>SUBTOTAL(109,Tabelle5[Offen2])</f>
        <v>5891.6666666500005</v>
      </c>
    </row>
  </sheetData>
  <mergeCells count="3">
    <mergeCell ref="A1:F1"/>
    <mergeCell ref="A21:F21"/>
    <mergeCell ref="A33:F33"/>
  </mergeCells>
  <phoneticPr fontId="7" type="noConversion"/>
  <pageMargins left="0.75" right="0.75" top="1" bottom="1" header="0.5" footer="0.5"/>
  <pageSetup paperSize="9" orientation="portrait" horizontalDpi="4294967292" verticalDpi="4294967292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6"/>
  <sheetViews>
    <sheetView workbookViewId="0">
      <selection activeCell="F50" sqref="F50"/>
    </sheetView>
  </sheetViews>
  <sheetFormatPr baseColWidth="10" defaultRowHeight="15" x14ac:dyDescent="0"/>
  <cols>
    <col min="2" max="2" width="10.6640625" bestFit="1" customWidth="1"/>
    <col min="3" max="3" width="27.5" bestFit="1" customWidth="1"/>
    <col min="4" max="4" width="20.33203125" bestFit="1" customWidth="1"/>
    <col min="5" max="5" width="20.6640625" bestFit="1" customWidth="1"/>
    <col min="6" max="6" width="81.1640625" bestFit="1" customWidth="1"/>
  </cols>
  <sheetData>
    <row r="1" spans="1:6">
      <c r="A1" s="14" t="s">
        <v>185</v>
      </c>
      <c r="B1" s="15" t="s">
        <v>186</v>
      </c>
      <c r="C1" s="15" t="s">
        <v>187</v>
      </c>
      <c r="D1" s="15" t="s">
        <v>188</v>
      </c>
      <c r="E1" s="15" t="s">
        <v>189</v>
      </c>
      <c r="F1" s="16" t="s">
        <v>190</v>
      </c>
    </row>
    <row r="2" spans="1:6">
      <c r="A2" s="12">
        <v>1</v>
      </c>
      <c r="B2" s="11" t="s">
        <v>9</v>
      </c>
      <c r="C2" s="11" t="s">
        <v>8</v>
      </c>
      <c r="D2" s="11"/>
      <c r="E2" s="11" t="s">
        <v>6</v>
      </c>
      <c r="F2" s="13" t="s">
        <v>172</v>
      </c>
    </row>
    <row r="3" spans="1:6">
      <c r="A3" s="12">
        <v>1</v>
      </c>
      <c r="B3" s="11" t="s">
        <v>11</v>
      </c>
      <c r="C3" s="11" t="s">
        <v>10</v>
      </c>
      <c r="D3" s="11"/>
      <c r="E3" s="11" t="s">
        <v>6</v>
      </c>
      <c r="F3" s="13" t="s">
        <v>173</v>
      </c>
    </row>
    <row r="4" spans="1:6">
      <c r="A4" s="12">
        <v>1</v>
      </c>
      <c r="B4" s="11" t="s">
        <v>13</v>
      </c>
      <c r="C4" s="11" t="s">
        <v>12</v>
      </c>
      <c r="D4" s="11"/>
      <c r="E4" s="11" t="s">
        <v>6</v>
      </c>
      <c r="F4" s="13" t="s">
        <v>174</v>
      </c>
    </row>
    <row r="5" spans="1:6">
      <c r="A5" s="12">
        <v>1</v>
      </c>
      <c r="B5" s="11" t="s">
        <v>178</v>
      </c>
      <c r="C5" s="11" t="s">
        <v>153</v>
      </c>
      <c r="D5" s="11" t="s">
        <v>152</v>
      </c>
      <c r="E5" s="11" t="s">
        <v>23</v>
      </c>
      <c r="F5" s="13" t="s">
        <v>179</v>
      </c>
    </row>
    <row r="6" spans="1:6">
      <c r="A6" s="12">
        <v>7</v>
      </c>
      <c r="B6" s="11" t="s">
        <v>18</v>
      </c>
      <c r="C6" s="11" t="s">
        <v>154</v>
      </c>
      <c r="D6" s="11" t="s">
        <v>14</v>
      </c>
      <c r="E6" s="11" t="s">
        <v>15</v>
      </c>
      <c r="F6" s="13" t="s">
        <v>125</v>
      </c>
    </row>
    <row r="7" spans="1:6">
      <c r="A7" s="12">
        <v>5</v>
      </c>
      <c r="B7" s="11" t="s">
        <v>26</v>
      </c>
      <c r="C7" s="11" t="s">
        <v>155</v>
      </c>
      <c r="D7" s="11" t="s">
        <v>22</v>
      </c>
      <c r="E7" s="11" t="s">
        <v>23</v>
      </c>
      <c r="F7" s="13" t="s">
        <v>127</v>
      </c>
    </row>
    <row r="8" spans="1:6">
      <c r="A8" s="12">
        <v>2</v>
      </c>
      <c r="B8" s="11" t="s">
        <v>29</v>
      </c>
      <c r="C8" s="11" t="s">
        <v>28</v>
      </c>
      <c r="D8" s="11" t="s">
        <v>27</v>
      </c>
      <c r="E8" s="11" t="s">
        <v>15</v>
      </c>
      <c r="F8" s="13" t="s">
        <v>128</v>
      </c>
    </row>
    <row r="9" spans="1:6">
      <c r="A9" s="12">
        <v>1</v>
      </c>
      <c r="B9" s="11" t="s">
        <v>181</v>
      </c>
      <c r="C9" s="11" t="s">
        <v>157</v>
      </c>
      <c r="D9" s="11" t="s">
        <v>156</v>
      </c>
      <c r="E9" s="11" t="s">
        <v>23</v>
      </c>
      <c r="F9" s="13" t="s">
        <v>180</v>
      </c>
    </row>
    <row r="10" spans="1:6">
      <c r="A10" s="12">
        <v>2</v>
      </c>
      <c r="B10" s="11" t="s">
        <v>38</v>
      </c>
      <c r="C10" s="11" t="s">
        <v>37</v>
      </c>
      <c r="D10" s="11" t="s">
        <v>36</v>
      </c>
      <c r="E10" s="11" t="s">
        <v>15</v>
      </c>
      <c r="F10" s="13" t="s">
        <v>131</v>
      </c>
    </row>
    <row r="11" spans="1:6">
      <c r="A11" s="12">
        <v>1</v>
      </c>
      <c r="B11" s="11" t="s">
        <v>41</v>
      </c>
      <c r="C11" s="11" t="s">
        <v>40</v>
      </c>
      <c r="D11" s="11" t="s">
        <v>39</v>
      </c>
      <c r="E11" s="11" t="s">
        <v>23</v>
      </c>
      <c r="F11" s="13" t="s">
        <v>132</v>
      </c>
    </row>
    <row r="12" spans="1:6">
      <c r="A12" s="12">
        <v>1</v>
      </c>
      <c r="B12" s="11" t="s">
        <v>159</v>
      </c>
      <c r="C12" s="11" t="s">
        <v>158</v>
      </c>
      <c r="D12" s="11" t="s">
        <v>42</v>
      </c>
      <c r="E12" s="11" t="s">
        <v>15</v>
      </c>
      <c r="F12" s="13" t="s">
        <v>177</v>
      </c>
    </row>
    <row r="13" spans="1:6">
      <c r="A13" s="12">
        <v>1</v>
      </c>
      <c r="B13" s="11" t="s">
        <v>163</v>
      </c>
      <c r="C13" s="11" t="s">
        <v>162</v>
      </c>
      <c r="D13" s="11" t="s">
        <v>42</v>
      </c>
      <c r="E13" s="11" t="s">
        <v>160</v>
      </c>
      <c r="F13" s="13" t="s">
        <v>176</v>
      </c>
    </row>
    <row r="14" spans="1:6">
      <c r="A14" s="12">
        <v>2</v>
      </c>
      <c r="B14" s="11" t="s">
        <v>182</v>
      </c>
      <c r="C14" s="11" t="s">
        <v>165</v>
      </c>
      <c r="D14" s="11" t="s">
        <v>164</v>
      </c>
      <c r="E14" s="11" t="s">
        <v>23</v>
      </c>
      <c r="F14" s="13" t="s">
        <v>183</v>
      </c>
    </row>
    <row r="15" spans="1:6">
      <c r="A15" s="12">
        <v>2</v>
      </c>
      <c r="B15" s="11" t="s">
        <v>166</v>
      </c>
      <c r="C15" s="11" t="s">
        <v>54</v>
      </c>
      <c r="D15" s="11" t="s">
        <v>53</v>
      </c>
      <c r="E15" s="11" t="s">
        <v>160</v>
      </c>
      <c r="F15" s="13" t="s">
        <v>175</v>
      </c>
    </row>
    <row r="16" spans="1:6">
      <c r="A16" s="12">
        <v>3</v>
      </c>
      <c r="B16" s="11" t="s">
        <v>57</v>
      </c>
      <c r="C16" s="11" t="s">
        <v>56</v>
      </c>
      <c r="D16" s="11" t="s">
        <v>184</v>
      </c>
      <c r="E16" s="11" t="s">
        <v>23</v>
      </c>
      <c r="F16" s="13" t="s">
        <v>136</v>
      </c>
    </row>
    <row r="17" spans="1:6">
      <c r="A17" s="12">
        <v>1</v>
      </c>
      <c r="B17" s="11" t="s">
        <v>62</v>
      </c>
      <c r="C17" s="11" t="s">
        <v>61</v>
      </c>
      <c r="D17" s="11" t="s">
        <v>58</v>
      </c>
      <c r="E17" s="11" t="s">
        <v>59</v>
      </c>
      <c r="F17" s="13" t="s">
        <v>137</v>
      </c>
    </row>
    <row r="18" spans="1:6">
      <c r="A18" s="12">
        <v>2</v>
      </c>
      <c r="B18" s="11" t="s">
        <v>78</v>
      </c>
      <c r="C18" s="11" t="s">
        <v>77</v>
      </c>
      <c r="D18" s="11" t="s">
        <v>75</v>
      </c>
      <c r="E18" s="11" t="s">
        <v>75</v>
      </c>
      <c r="F18" s="13" t="s">
        <v>141</v>
      </c>
    </row>
    <row r="19" spans="1:6">
      <c r="A19" s="12">
        <v>1</v>
      </c>
      <c r="B19" s="11" t="s">
        <v>86</v>
      </c>
      <c r="C19" s="11" t="s">
        <v>85</v>
      </c>
      <c r="D19" s="11" t="s">
        <v>83</v>
      </c>
      <c r="E19" s="11" t="s">
        <v>83</v>
      </c>
      <c r="F19" s="13" t="s">
        <v>143</v>
      </c>
    </row>
    <row r="20" spans="1:6">
      <c r="A20" s="12">
        <v>1</v>
      </c>
      <c r="B20" s="11">
        <v>1734973</v>
      </c>
      <c r="C20" s="11" t="s">
        <v>89</v>
      </c>
      <c r="D20" s="11" t="s">
        <v>87</v>
      </c>
      <c r="E20" s="11" t="s">
        <v>87</v>
      </c>
      <c r="F20" s="13" t="s">
        <v>144</v>
      </c>
    </row>
    <row r="21" spans="1:6">
      <c r="A21" s="12">
        <v>1</v>
      </c>
      <c r="B21" s="11">
        <v>2443092</v>
      </c>
      <c r="C21" s="11" t="s">
        <v>92</v>
      </c>
      <c r="D21" s="11" t="s">
        <v>90</v>
      </c>
      <c r="E21" s="11" t="s">
        <v>90</v>
      </c>
      <c r="F21" s="13" t="s">
        <v>145</v>
      </c>
    </row>
    <row r="22" spans="1:6">
      <c r="A22" s="12">
        <v>3</v>
      </c>
      <c r="B22" s="11">
        <v>1830923</v>
      </c>
      <c r="C22" s="11" t="s">
        <v>167</v>
      </c>
      <c r="D22" s="11" t="s">
        <v>93</v>
      </c>
      <c r="E22" s="11" t="s">
        <v>93</v>
      </c>
      <c r="F22" s="13" t="s">
        <v>146</v>
      </c>
    </row>
    <row r="23" spans="1:6">
      <c r="A23" s="12">
        <v>1</v>
      </c>
      <c r="B23" s="11">
        <v>1103107</v>
      </c>
      <c r="C23" s="11" t="s">
        <v>98</v>
      </c>
      <c r="D23" s="11" t="s">
        <v>96</v>
      </c>
      <c r="E23" s="11" t="s">
        <v>96</v>
      </c>
      <c r="F23" s="13" t="s">
        <v>147</v>
      </c>
    </row>
    <row r="24" spans="1:6">
      <c r="A24" s="12">
        <v>1</v>
      </c>
      <c r="B24" s="11">
        <v>2466939</v>
      </c>
      <c r="C24" s="11" t="s">
        <v>101</v>
      </c>
      <c r="D24" s="11" t="s">
        <v>99</v>
      </c>
      <c r="E24" s="11" t="s">
        <v>99</v>
      </c>
      <c r="F24" s="13" t="s">
        <v>148</v>
      </c>
    </row>
    <row r="25" spans="1:6">
      <c r="A25" s="12">
        <v>1</v>
      </c>
      <c r="B25" s="11">
        <v>1830925</v>
      </c>
      <c r="C25" s="11" t="s">
        <v>107</v>
      </c>
      <c r="D25" s="11" t="s">
        <v>105</v>
      </c>
      <c r="E25" s="11" t="s">
        <v>105</v>
      </c>
      <c r="F25" s="13" t="s">
        <v>149</v>
      </c>
    </row>
    <row r="26" spans="1:6">
      <c r="A26" s="17">
        <v>1</v>
      </c>
      <c r="B26" s="18">
        <v>1645325</v>
      </c>
      <c r="C26" s="18" t="s">
        <v>109</v>
      </c>
      <c r="D26" s="18" t="s">
        <v>108</v>
      </c>
      <c r="E26" s="18" t="s">
        <v>108</v>
      </c>
      <c r="F26" s="19" t="s">
        <v>150</v>
      </c>
    </row>
  </sheetData>
  <phoneticPr fontId="7" type="noConversion"/>
  <pageMargins left="0.75000000000000011" right="0.75000000000000011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Stückliste Proto</vt:lpstr>
      <vt:lpstr>Stückliste Proto2</vt:lpstr>
      <vt:lpstr>Bestücken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 Basoglu</dc:creator>
  <cp:lastModifiedBy>Cem Basoglu</cp:lastModifiedBy>
  <cp:lastPrinted>2015-10-09T17:23:12Z</cp:lastPrinted>
  <dcterms:created xsi:type="dcterms:W3CDTF">2015-09-03T20:13:58Z</dcterms:created>
  <dcterms:modified xsi:type="dcterms:W3CDTF">2015-10-25T09:25:09Z</dcterms:modified>
</cp:coreProperties>
</file>