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Generic NonLIHTC\Gaps\"/>
    </mc:Choice>
  </mc:AlternateContent>
  <xr:revisionPtr revIDLastSave="0" documentId="13_ncr:1_{DAF8CDA3-76FC-4FB1-9E17-C5A397182319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 iterateCount="32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0" l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06" i="1"/>
  <c r="X183" i="1"/>
  <c r="X166" i="1"/>
  <c r="X231" i="1"/>
  <c r="X128" i="1"/>
  <c r="X106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183" i="1"/>
  <c r="Z166" i="1"/>
  <c r="Z110" i="1"/>
  <c r="Z68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X39" i="4"/>
  <c r="F21" i="1"/>
  <c r="G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 l="1"/>
  <c r="AF42" i="5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<sst xmlns="http://schemas.openxmlformats.org/spreadsheetml/2006/main" count="1981" uniqueCount="1091">
  <si>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</si>
  <si>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</si>
  <si>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</si>
  <si>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</si>
  <si>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</si>
  <si>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</si>
  <si>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</si>
  <si>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</si>
  <si>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</si>
  <si>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</si>
  <si>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</si>
  <si>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</si>
  <si>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</si>
  <si>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</si>
  <si>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</si>
  <si>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</si>
  <si>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</si>
  <si>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</si>
  <si>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</si>
  <si>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</si>
  <si>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</si>
  <si>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</si>
  <si>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</si>
  <si>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</si>
  <si>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</si>
  <si>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</si>
  <si>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</si>
  <si>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</si>
  <si>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</si>
  <si>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</si>
  <si>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</si>
  <si>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</si>
  <si>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</si>
  <si>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</si>
  <si>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</si>
  <si>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</si>
  <si>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</si>
  <si>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</si>
  <si>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</si>
  <si>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</si>
  <si>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</si>
  <si>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</si>
  <si>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</si>
  <si>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</si>
  <si>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</si>
  <si>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</si>
  <si>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</si>
  <si>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</si>
  <si>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</si>
  <si>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</si>
  <si>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</si>
  <si>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</si>
  <si>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</si>
  <si>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</si>
  <si>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</si>
  <si>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</si>
  <si>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</si>
  <si>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</si>
  <si>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</si>
  <si>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</si>
  <si>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</si>
  <si>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</si>
  <si>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</si>
  <si>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</si>
  <si>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</si>
  <si>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</si>
  <si>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</si>
  <si>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</si>
  <si>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</si>
  <si>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</si>
  <si>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</si>
  <si>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</si>
  <si>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</si>
  <si>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</si>
  <si>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</si>
  <si>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</si>
  <si>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</si>
  <si>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</si>
  <si>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</si>
  <si>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</si>
  <si>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</si>
  <si>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</si>
  <si>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</si>
  <si>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</si>
  <si>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</si>
  <si>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</si>
  <si>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</si>
  <si>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</si>
  <si>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</si>
  <si>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</si>
  <si>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</si>
  <si>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</si>
  <si>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</si>
  <si>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</si>
  <si>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</si>
  <si>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</si>
  <si>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</si>
  <si>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</si>
  <si>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</si>
  <si>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</si>
  <si>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</si>
  <si>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</si>
  <si>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</si>
  <si>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</si>
  <si>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</si>
  <si>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</si>
  <si>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</si>
  <si>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</si>
  <si>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</si>
  <si>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</si>
  <si>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</si>
  <si>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</si>
  <si>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</si>
  <si>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</si>
  <si>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</si>
  <si>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</si>
  <si>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</si>
  <si>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</si>
  <si>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</si>
  <si>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</si>
  <si>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</si>
  <si>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</si>
  <si>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</si>
  <si>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</si>
  <si>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</si>
  <si>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</si>
  <si>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</si>
  <si>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</si>
  <si>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</si>
  <si>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</si>
  <si>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</si>
  <si>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</si>
  <si>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</si>
  <si>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</si>
  <si>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</si>
  <si>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</si>
  <si>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</si>
  <si>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</si>
  <si>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</si>
  <si>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</si>
  <si>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</si>
  <si>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</si>
  <si>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</si>
  <si>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</si>
  <si>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</si>
  <si>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</si>
  <si>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</si>
  <si>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</si>
  <si>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</si>
  <si>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</si>
  <si>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</si>
  <si>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</si>
  <si>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</si>
  <si>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</si>
  <si>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</si>
  <si>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</si>
  <si>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</si>
  <si>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</si>
  <si>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</si>
  <si>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</si>
  <si>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</si>
  <si>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</si>
  <si>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</si>
  <si>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</si>
  <si>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</si>
  <si>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</si>
  <si>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</si>
  <si>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</si>
  <si>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</si>
  <si>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</si>
  <si>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</si>
  <si>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</si>
  <si>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</si>
  <si>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</si>
  <si>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</si>
  <si>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</si>
  <si>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</si>
  <si>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</si>
  <si>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</si>
  <si>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</si>
  <si>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</si>
  <si>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</si>
  <si>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</si>
  <si>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</si>
  <si>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</si>
  <si>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</si>
  <si>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</si>
  <si>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</si>
  <si>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</si>
  <si>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</si>
  <si>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</si>
  <si>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</si>
  <si>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</si>
  <si>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</si>
  <si>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</si>
  <si>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</si>
  <si>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</si>
  <si>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</si>
  <si>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</si>
  <si>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</si>
  <si>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</si>
  <si>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</si>
  <si>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</si>
  <si>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</si>
  <si>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</si>
  <si>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</si>
  <si>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</si>
  <si>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</si>
  <si>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</si>
  <si>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</si>
  <si>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</si>
  <si>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</si>
  <si>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</si>
  <si>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</si>
  <si>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</si>
  <si>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</si>
  <si>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</si>
  <si>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</si>
  <si>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</si>
  <si>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</si>
  <si>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</si>
  <si>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</si>
  <si>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</si>
  <si>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</si>
  <si>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</si>
  <si>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</si>
  <si>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</si>
  <si>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</si>
  <si>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</si>
  <si>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</si>
  <si>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</si>
  <si>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</si>
  <si>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</si>
  <si>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</si>
  <si>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</si>
  <si>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</si>
  <si>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</si>
  <si>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</si>
  <si>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</si>
  <si>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</si>
  <si>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</si>
  <si>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</si>
  <si>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</si>
  <si>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</si>
  <si>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</si>
  <si>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</si>
  <si>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</si>
  <si>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</si>
  <si>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</si>
  <si>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</si>
  <si>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</si>
  <si>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</si>
  <si>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</si>
  <si>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</si>
  <si>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</si>
  <si>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</si>
  <si>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</si>
  <si>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</si>
  <si>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</si>
  <si>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</si>
  <si>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</si>
  <si>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</si>
  <si>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</si>
  <si>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</si>
  <si>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</si>
  <si>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</si>
  <si>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</si>
  <si>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</si>
  <si>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</si>
  <si>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</si>
  <si>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</si>
  <si>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</si>
  <si>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</si>
  <si>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</si>
  <si>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</si>
  <si>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</si>
  <si>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</si>
  <si>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</si>
  <si>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</si>
  <si>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</si>
  <si>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</si>
  <si>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</si>
  <si>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</si>
  <si>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</si>
  <si>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</si>
  <si>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</si>
  <si>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</si>
  <si>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</si>
  <si>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</si>
  <si>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</si>
  <si>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</si>
  <si>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</si>
  <si>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</si>
  <si>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</si>
  <si>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</si>
  <si>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</si>
  <si>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</si>
  <si>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</si>
  <si>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</si>
  <si>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</si>
  <si>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</si>
  <si>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</si>
  <si>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</si>
  <si>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</si>
  <si>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</si>
  <si>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</si>
  <si>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</si>
  <si>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</si>
  <si>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</si>
  <si>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</si>
  <si>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</si>
  <si>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</si>
  <si>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</si>
  <si>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</si>
  <si>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</si>
  <si>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</si>
  <si>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</si>
  <si>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</si>
  <si>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</si>
  <si>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</si>
  <si>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</si>
  <si>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</si>
  <si>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</si>
  <si>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</si>
  <si>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</si>
  <si>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</si>
  <si>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</si>
  <si>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</si>
  <si>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</si>
  <si>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</si>
  <si>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</si>
  <si>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</si>
  <si>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</si>
  <si>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</si>
  <si>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</si>
  <si>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</si>
  <si>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</si>
  <si>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</si>
  <si>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</si>
  <si>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</si>
  <si>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</si>
  <si>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</si>
  <si>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</si>
  <si>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</si>
  <si>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</si>
  <si>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</si>
  <si>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</si>
  <si>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</si>
  <si>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</si>
  <si>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</si>
  <si>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</si>
  <si>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</si>
  <si>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</si>
  <si>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</si>
  <si>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</si>
  <si>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</si>
  <si>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</si>
  <si>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</si>
  <si>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</si>
  <si>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</si>
  <si>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</si>
  <si>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</si>
  <si>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</si>
  <si>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</si>
  <si>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</si>
  <si>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</si>
  <si>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</si>
  <si>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</si>
  <si>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</si>
  <si>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</si>
  <si>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</si>
  <si>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</si>
  <si>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</si>
  <si>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</si>
  <si>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</si>
  <si>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</si>
  <si>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</si>
  <si>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</si>
  <si>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</si>
  <si>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</si>
  <si>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</si>
  <si>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</si>
  <si>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</si>
  <si>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</si>
  <si>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</si>
  <si>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</si>
  <si>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</si>
  <si>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</si>
  <si>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</si>
  <si>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</si>
  <si>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</si>
  <si>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</si>
  <si>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</si>
  <si>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</si>
  <si>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</si>
  <si>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</si>
  <si>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</si>
  <si>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</si>
  <si>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</si>
  <si>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</si>
  <si>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</si>
  <si>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</si>
  <si>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</si>
  <si>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</si>
  <si>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</si>
  <si>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</si>
  <si>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</si>
  <si>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</si>
  <si>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</si>
  <si>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</si>
  <si>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</si>
  <si>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</si>
  <si>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</si>
  <si>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</si>
  <si>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</si>
  <si>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</si>
  <si>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</si>
  <si>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</si>
  <si>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</si>
  <si>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</si>
  <si>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</si>
  <si>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</si>
  <si>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</si>
  <si>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</si>
  <si>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</si>
  <si>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</si>
  <si>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</si>
  <si>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</si>
  <si>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</si>
  <si>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</si>
  <si>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</si>
  <si>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</si>
  <si>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</si>
  <si>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</si>
  <si>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</si>
  <si>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</si>
  <si>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</si>
  <si>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</si>
  <si>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</si>
  <si>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</si>
  <si>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</si>
  <si>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</si>
  <si>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</si>
  <si>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</si>
  <si>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</si>
  <si>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</si>
  <si>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</si>
  <si>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</si>
  <si>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</si>
  <si>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</si>
  <si>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</si>
  <si>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</si>
  <si>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</si>
  <si>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</si>
  <si>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</si>
  <si>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</si>
  <si>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</si>
  <si>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</si>
  <si>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</si>
  <si>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</si>
  <si>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</si>
  <si>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</si>
  <si>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</si>
  <si>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</si>
  <si>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</si>
  <si>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</si>
  <si>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</si>
  <si>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</si>
  <si>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</si>
  <si>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</si>
  <si>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</si>
  <si>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</si>
  <si>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</si>
  <si>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</si>
  <si>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</si>
  <si>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</si>
  <si>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</si>
  <si>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</si>
  <si>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</si>
  <si>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</si>
  <si>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</si>
  <si>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</si>
  <si>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</si>
  <si>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</si>
  <si>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</si>
  <si>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</si>
  <si>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</si>
  <si>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</si>
  <si>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</si>
  <si>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</si>
  <si>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</si>
  <si>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</si>
  <si>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</si>
  <si>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</si>
  <si>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</si>
  <si>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</si>
  <si>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</si>
  <si>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</si>
  <si>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</si>
  <si>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</si>
  <si>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</si>
  <si>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</si>
  <si>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</si>
  <si>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</si>
  <si>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</si>
  <si>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</si>
  <si>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</si>
  <si>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</si>
  <si>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</si>
  <si>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</si>
  <si>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</si>
  <si>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</si>
  <si>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</si>
  <si>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</si>
  <si>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</si>
  <si>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</si>
  <si>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</si>
  <si>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</si>
  <si>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</si>
  <si>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</si>
  <si>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</si>
  <si>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</si>
  <si>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</si>
  <si>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</si>
  <si>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</si>
  <si>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</si>
  <si>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</si>
  <si>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</si>
  <si>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</si>
  <si>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</si>
  <si>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</si>
  <si>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</si>
  <si>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</si>
  <si>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</si>
  <si>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</si>
  <si>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</si>
  <si>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</si>
  <si>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</si>
  <si>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</si>
  <si>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</si>
  <si>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</si>
  <si>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</si>
  <si>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</si>
  <si>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</si>
  <si>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</si>
  <si>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</si>
  <si>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</si>
  <si>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</si>
  <si>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</si>
  <si>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</si>
  <si>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</si>
  <si>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</si>
  <si>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</si>
  <si>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</si>
  <si>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</si>
  <si>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</si>
  <si>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</si>
  <si>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</si>
  <si>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</si>
  <si>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</si>
  <si>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</si>
  <si>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</si>
  <si>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</si>
  <si>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</si>
  <si>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</si>
  <si>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</si>
  <si>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</si>
  <si>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</si>
  <si>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</si>
  <si>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</si>
  <si>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</si>
  <si>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</si>
  <si>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</si>
  <si>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</si>
  <si>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</si>
  <si>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</si>
  <si>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</si>
  <si>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</si>
  <si>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</si>
  <si>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</si>
  <si>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</si>
  <si>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</si>
  <si>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</si>
  <si>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</si>
  <si>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</si>
  <si>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</si>
  <si>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</si>
  <si>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</si>
  <si>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</si>
  <si>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</si>
  <si>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</si>
  <si>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</si>
  <si>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</si>
  <si>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</si>
  <si>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</si>
  <si>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</si>
  <si>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</si>
  <si>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</si>
  <si>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</si>
  <si>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</si>
  <si>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</si>
  <si>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</si>
  <si>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</si>
  <si>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</si>
  <si>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</si>
  <si>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</si>
  <si>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</si>
  <si>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</si>
  <si>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</si>
  <si>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</si>
  <si>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</si>
  <si>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</si>
  <si>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</si>
  <si>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</si>
  <si>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</si>
  <si>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</si>
  <si>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</si>
  <si>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</si>
  <si>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</si>
  <si>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</si>
  <si>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</si>
  <si>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</si>
  <si>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</si>
  <si>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</si>
  <si>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</si>
  <si>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</si>
  <si>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</si>
  <si>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</si>
  <si>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</si>
  <si>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</si>
  <si>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</si>
  <si>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</si>
  <si>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</si>
  <si>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</si>
  <si>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</si>
  <si>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</si>
  <si>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</si>
  <si>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</si>
  <si>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</si>
  <si>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</si>
  <si>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</si>
  <si>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</si>
  <si>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</si>
  <si>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</si>
  <si>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</si>
  <si>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</si>
  <si>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</si>
  <si>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</si>
  <si>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</si>
  <si>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</si>
  <si>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</si>
  <si>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</si>
  <si>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</si>
  <si>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</si>
  <si>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</si>
  <si>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</si>
  <si>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</si>
  <si>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</si>
  <si>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</si>
  <si>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</si>
  <si>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</si>
  <si>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</si>
  <si>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</si>
  <si>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</si>
  <si>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</si>
  <si>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</si>
  <si>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</si>
  <si>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</si>
  <si>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</si>
  <si>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</si>
  <si>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</si>
  <si>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</si>
  <si>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</si>
  <si>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</si>
  <si>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</si>
  <si>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</si>
  <si>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</si>
  <si>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</si>
  <si>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</si>
  <si>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</si>
  <si>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</si>
  <si>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</si>
  <si>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</si>
  <si>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</si>
  <si>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</si>
  <si>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</si>
  <si>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</si>
  <si>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</si>
  <si>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</si>
  <si>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</si>
  <si>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</si>
  <si>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</si>
  <si>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</si>
  <si>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</si>
  <si>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</si>
  <si>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</si>
  <si>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</si>
  <si>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</si>
  <si>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</si>
  <si>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</si>
  <si>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</si>
  <si>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</si>
  <si>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</si>
  <si>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</si>
  <si>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</si>
  <si>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</si>
  <si>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</si>
  <si>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</si>
  <si>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</si>
  <si>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</si>
  <si>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</si>
  <si>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</si>
  <si>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</si>
  <si>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</si>
  <si>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</si>
  <si>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</si>
  <si>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</si>
  <si>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</si>
  <si>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</si>
  <si>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</si>
  <si>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</si>
  <si>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</si>
  <si>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</si>
  <si>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</si>
  <si>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</si>
  <si>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</si>
  <si>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</si>
  <si>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</si>
  <si>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</si>
  <si>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</si>
  <si>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</si>
  <si>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</si>
  <si>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</si>
  <si>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</si>
  <si>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</si>
  <si>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</si>
  <si>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</si>
  <si>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</si>
  <si>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</si>
  <si>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</si>
  <si>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</si>
  <si>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</si>
  <si>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</si>
  <si>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</si>
  <si>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</si>
  <si>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</si>
  <si>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</si>
  <si>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</si>
  <si>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</si>
  <si>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</si>
  <si>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</si>
  <si>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</si>
  <si>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</si>
  <si>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</si>
  <si>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</si>
  <si>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</si>
  <si>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</si>
  <si>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</si>
  <si>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</si>
  <si>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</si>
  <si>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</si>
  <si>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</si>
  <si>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</si>
  <si>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</si>
  <si>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</si>
  <si>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</si>
  <si>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</si>
  <si>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</si>
  <si>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</si>
  <si>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</si>
  <si>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</si>
  <si>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</si>
  <si>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</si>
  <si>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</si>
  <si>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</si>
  <si>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</si>
  <si>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</si>
  <si>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</si>
  <si>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</si>
  <si>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</si>
  <si>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</si>
  <si>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</si>
  <si>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</si>
  <si>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</si>
  <si>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</si>
  <si>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</si>
  <si>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</si>
  <si>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</si>
  <si>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</si>
  <si>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</si>
  <si>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</si>
  <si>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</si>
  <si>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</si>
  <si>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</si>
  <si>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</si>
  <si>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</si>
  <si>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</si>
  <si>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</si>
  <si>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</si>
  <si>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</si>
  <si>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</si>
  <si>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</si>
  <si>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</si>
  <si>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</si>
  <si>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</si>
  <si>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</si>
  <si>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</si>
  <si>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</si>
  <si>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</si>
  <si>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</si>
  <si>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</si>
  <si>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</si>
  <si>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</si>
  <si>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</si>
  <si>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</si>
  <si>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</si>
  <si>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</si>
  <si>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</si>
  <si>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</si>
  <si>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</si>
  <si>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</si>
  <si>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</si>
  <si>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</si>
  <si>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</si>
  <si>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</si>
  <si>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</si>
  <si>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</si>
  <si>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</si>
  <si>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</si>
  <si>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</si>
  <si>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</si>
  <si>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</si>
  <si>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</si>
  <si>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</si>
  <si>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</si>
  <si>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</si>
  <si>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</si>
  <si>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</si>
  <si>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</si>
  <si>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</si>
  <si>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</si>
  <si>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</si>
  <si>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</si>
  <si>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</si>
  <si>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</si>
  <si>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</si>
  <si>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</si>
  <si>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</si>
  <si>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</si>
  <si>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</si>
  <si>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</si>
  <si>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</si>
  <si>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</si>
  <si>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</si>
  <si>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</si>
  <si>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</si>
  <si>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</si>
  <si>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</si>
  <si>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</si>
  <si>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</si>
  <si>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</si>
  <si>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</si>
  <si>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</si>
  <si>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</si>
  <si>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</si>
  <si>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</si>
  <si>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</si>
  <si>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</si>
  <si>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</si>
  <si>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</si>
  <si>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</si>
  <si>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</si>
  <si>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</si>
  <si>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</si>
  <si>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</si>
  <si>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</si>
  <si>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</si>
  <si>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</si>
  <si>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</si>
  <si>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</si>
  <si>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</si>
  <si>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</si>
  <si>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</si>
  <si>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</si>
  <si>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</si>
  <si>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</si>
  <si>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</si>
  <si>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</si>
  <si>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</si>
  <si>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</si>
  <si>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</si>
  <si>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</si>
  <si>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</si>
  <si>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</si>
  <si>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</si>
  <si>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</si>
  <si>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</si>
  <si>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</si>
  <si>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</si>
  <si>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</si>
  <si>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</si>
  <si>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</si>
  <si>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</si>
  <si>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</si>
  <si>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</si>
  <si>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</si>
  <si>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</si>
  <si>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</si>
  <si>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</si>
  <si>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</si>
  <si>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</si>
  <si>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</si>
  <si>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</si>
  <si>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</si>
  <si>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</si>
  <si>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</si>
  <si>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</si>
  <si>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</si>
  <si>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</si>
  <si>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</si>
  <si>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</si>
  <si>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</si>
  <si>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</si>
  <si>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</si>
  <si>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</si>
  <si>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</si>
  <si>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</si>
  <si>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</si>
  <si>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</si>
  <si>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</si>
  <si>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</si>
  <si>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</si>
  <si>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</si>
  <si>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</si>
  <si>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</si>
  <si>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</si>
  <si>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</si>
  <si>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</si>
  <si>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</si>
  <si>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</si>
  <si>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</si>
  <si>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</si>
  <si>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</si>
  <si>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</si>
  <si>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</si>
  <si>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</si>
  <si>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</si>
  <si>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</si>
  <si>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</si>
  <si>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</si>
  <si>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</si>
  <si>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</si>
  <si>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</si>
  <si>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</si>
  <si>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</si>
  <si>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</si>
  <si>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</si>
  <si>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</si>
  <si>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</si>
  <si>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</si>
  <si>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</si>
  <si>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</si>
  <si>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</si>
  <si>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</si>
  <si>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</si>
  <si>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</si>
  <si>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</si>
  <si>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</si>
  <si>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</si>
  <si>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</si>
  <si>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</si>
  <si>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</si>
  <si>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</si>
  <si>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</si>
  <si>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</si>
  <si>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</si>
  <si>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</si>
  <si>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</si>
  <si>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</si>
  <si>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</si>
  <si>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</si>
  <si>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</si>
  <si>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</si>
  <si>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</si>
  <si>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</si>
  <si>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</si>
  <si>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</si>
  <si>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</si>
  <si>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</si>
  <si>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</si>
  <si>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</si>
  <si>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</si>
  <si>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</si>
  <si>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</si>
  <si>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</si>
  <si>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</si>
  <si>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</si>
  <si>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</si>
  <si>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</si>
  <si>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</si>
  <si>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</si>
  <si>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</si>
  <si>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</si>
  <si>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</si>
  <si>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</si>
  <si>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</si>
  <si>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</si>
  <si>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</si>
  <si>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</si>
  <si>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</si>
  <si>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</si>
  <si>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</si>
  <si>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</si>
  <si>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</si>
  <si>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</si>
  <si>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</si>
  <si>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</si>
  <si>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</si>
  <si>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</si>
  <si>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</si>
  <si>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</si>
  <si>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</si>
  <si>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</si>
  <si>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</si>
  <si>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</si>
  <si>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</si>
  <si>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</si>
  <si>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</si>
  <si>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</si>
  <si>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</si>
  <si>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</si>
  <si>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</si>
  <si>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</si>
  <si>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</si>
  <si>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</si>
  <si>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</si>
  <si>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</si>
  <si>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</si>
  <si>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</si>
  <si>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</si>
  <si>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</si>
  <si>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</si>
  <si>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</si>
  <si>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</si>
  <si>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</si>
  <si>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</si>
  <si>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</si>
  <si>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</si>
  <si>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</si>
  <si>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</si>
  <si>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</si>
  <si>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</si>
  <si>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</si>
  <si>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</si>
  <si>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</si>
  <si>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</si>
  <si>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</si>
  <si>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</si>
  <si>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</si>
  <si>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</si>
  <si>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</si>
  <si>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</si>
  <si>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</si>
  <si>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</si>
  <si>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</si>
  <si>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</si>
  <si>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</si>
  <si>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</si>
  <si>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</si>
  <si>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</si>
  <si>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</si>
  <si>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</si>
  <si>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</si>
  <si>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</si>
  <si>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</si>
  <si>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</si>
  <si>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</si>
  <si>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</si>
  <si>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</si>
  <si>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</si>
  <si>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</si>
  <si>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</si>
  <si>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</si>
  <si>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</si>
  <si>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</si>
  <si>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</si>
  <si>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</si>
  <si>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</si>
  <si>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</si>
  <si>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40% AMI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</si>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</sst>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workbookViewId="0">
      <selection activeCell="H14" sqref="H14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968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1075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252</v>
      </c>
      <c r="E10" s="699"/>
    </row>
    <row r="11" spans="1:5">
      <c r="A11" s="690"/>
      <c r="B11" s="698" t="s">
        <v>11</v>
      </c>
      <c r="C11" s="698"/>
      <c r="D11" s="700">
        <f>D12+D13</f>
        <v>212112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212112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1079</v>
      </c>
      <c r="B14" s="1691"/>
      <c r="C14" s="1691"/>
      <c r="D14" s="1715" t="s">
        <v>1088</v>
      </c>
      <c r="E14" s="700"/>
    </row>
    <row r="15" spans="1:5">
      <c r="A15" s="1582" t="s">
        <v>1076</v>
      </c>
      <c r="B15" s="1678"/>
      <c r="C15" s="1685"/>
      <c r="D15" s="1679" cm="1">
        <f t="array" aca="1" ref="D15" ca="1">IF(D14="Year 7 Takeout", INDIRECT("GapCalc!K46"), INDIRECT("GapCalc!K58"))</f>
        <v>-0.12573751468548183</v>
      </c>
      <c r="E15" s="700"/>
    </row>
    <row r="16" spans="1:5">
      <c r="A16" s="1681" t="s">
        <v>1077</v>
      </c>
      <c r="B16" s="702"/>
      <c r="D16" s="1680" cm="1">
        <f t="array" aca="1" ref="D16" ca="1">IF(D14="Year 7 Takeout", INDIRECT("GapCalc!K51"), INDIRECT("GapCalc!K63"))</f>
        <v>-0.12573751468548183</v>
      </c>
      <c r="E16" s="700"/>
    </row>
    <row r="17" spans="1:6">
      <c r="A17" s="1686"/>
      <c r="B17" s="702"/>
      <c r="D17" s="1682"/>
      <c r="E17" s="1753" t="s">
        <v>946</v>
      </c>
    </row>
    <row r="18" spans="1:6">
      <c r="A18" s="1683" t="s">
        <v>1078</v>
      </c>
      <c r="B18" s="47"/>
      <c r="C18" s="47"/>
      <c r="D18" s="1684" cm="1">
        <f t="array" aca="1" ref="D18" ca="1">IF(D14="Year 7 Takeout", INDIRECT("GapCalc!I55"), INDIRECT("GapCalc!I67"))</f>
        <v>-106595302.73066603</v>
      </c>
      <c r="E18" s="1754">
        <f ca="1">-D18/D28</f>
        <v>0.78360590161085275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382</v>
      </c>
    </row>
    <row r="21" spans="1:6">
      <c r="A21" s="64"/>
      <c r="B21" s="63" t="s">
        <v>15</v>
      </c>
      <c r="C21" s="63"/>
      <c r="D21" s="1531">
        <f>'Development Budget'!G28</f>
        <v>16555000</v>
      </c>
      <c r="E21" s="1531">
        <f>D21/$D$10</f>
        <v>65694.444444444438</v>
      </c>
    </row>
    <row r="22" spans="1:6">
      <c r="A22" s="64"/>
      <c r="B22" s="4" t="s">
        <v>16</v>
      </c>
      <c r="C22" s="4"/>
      <c r="D22" s="1531">
        <f>'Development Budget'!G44</f>
        <v>88641661.874999985</v>
      </c>
      <c r="E22" s="1531">
        <f t="shared" ref="E22:E28" si="0">D22/$D$10</f>
        <v>351752.62648809521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2724240</v>
      </c>
      <c r="E23" s="1531">
        <f t="shared" si="0"/>
        <v>10810.476190476191</v>
      </c>
    </row>
    <row r="24" spans="1:6">
      <c r="A24" s="64"/>
      <c r="B24" s="4" t="s">
        <v>18</v>
      </c>
      <c r="C24" s="4"/>
      <c r="D24" s="1531">
        <f>'Development Budget'!G97</f>
        <v>4075786</v>
      </c>
      <c r="E24" s="1531">
        <f t="shared" si="0"/>
        <v>16173.753968253968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9147227.6730482616</v>
      </c>
      <c r="E25" s="1531">
        <f t="shared" si="0"/>
        <v>36298.522512096279</v>
      </c>
    </row>
    <row r="26" spans="1:6">
      <c r="A26" s="64"/>
      <c r="B26" s="4" t="s">
        <v>20</v>
      </c>
      <c r="C26" s="4"/>
      <c r="D26" s="1531">
        <f>'Development Budget'!G181</f>
        <v>1834282.9525756852</v>
      </c>
      <c r="E26" s="1531">
        <f t="shared" si="0"/>
        <v>7278.9006054590682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13053577.81900163</v>
      </c>
      <c r="E27" s="1532">
        <f t="shared" si="0"/>
        <v>51799.911980165198</v>
      </c>
    </row>
    <row r="28" spans="1:6" ht="16.5" thickTop="1">
      <c r="A28" s="4"/>
      <c r="B28" s="4"/>
      <c r="C28" s="150" t="s">
        <v>14</v>
      </c>
      <c r="D28" s="1533">
        <f>SUM(D21:D27)</f>
        <v>136031776.31962556</v>
      </c>
      <c r="E28" s="1531">
        <f t="shared" si="0"/>
        <v>539808.63618899032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382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89148665.503889993</v>
      </c>
      <c r="E32" s="1586">
        <f t="shared" si="1"/>
        <v>353764.54565035709</v>
      </c>
    </row>
    <row r="33" spans="1:5">
      <c r="A33" s="64"/>
      <c r="B33" s="4" t="s">
        <v>1036</v>
      </c>
      <c r="C33" s="4"/>
      <c r="D33" s="1587">
        <f>GapCalc!D29</f>
        <v>7032466.6223603357</v>
      </c>
      <c r="E33" s="1586">
        <f>D33/$D$10</f>
        <v>27906.613580794983</v>
      </c>
    </row>
    <row r="34" spans="1:5">
      <c r="A34" s="65"/>
      <c r="B34" s="4" t="s">
        <v>26</v>
      </c>
      <c r="C34" s="4"/>
      <c r="D34" s="1587">
        <f>GapCalc!D30</f>
        <v>39850644.19337523</v>
      </c>
      <c r="E34" s="1586">
        <f>D34/$D$10</f>
        <v>158137.47695783823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136031776.31962556</v>
      </c>
      <c r="E36" s="1586">
        <f>D36/$D$10</f>
        <v>539808.63618899032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382</v>
      </c>
    </row>
    <row r="39" spans="1:5">
      <c r="A39" s="60"/>
      <c r="B39" s="4" t="s">
        <v>1032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980</v>
      </c>
      <c r="C40" s="4"/>
      <c r="D40" s="1586">
        <f>GapCalc!D37</f>
        <v>20977713.181641962</v>
      </c>
      <c r="E40" s="1586">
        <f t="shared" ref="E40" si="2">D40/$D$10</f>
        <v>83244.893577944298</v>
      </c>
    </row>
    <row r="41" spans="1:5">
      <c r="A41" s="60"/>
      <c r="B41" s="4" t="s">
        <v>1036</v>
      </c>
      <c r="C41" s="4"/>
      <c r="D41" s="1591">
        <f>GapCalc!D29+GapCalc!D38</f>
        <v>17258109.470697537</v>
      </c>
      <c r="E41" s="1586">
        <f>D41/$D$10</f>
        <v>68484.561391656898</v>
      </c>
    </row>
    <row r="42" spans="1:5">
      <c r="A42" s="60"/>
      <c r="B42" s="1557" t="s">
        <v>26</v>
      </c>
      <c r="C42" s="4"/>
      <c r="D42" s="1592">
        <f>GapCalc!D30+GapCalc!D39</f>
        <v>97795953.667286053</v>
      </c>
      <c r="E42" s="1586">
        <f>D42/$D$10</f>
        <v>388079.18121938908</v>
      </c>
    </row>
    <row r="43" spans="1:5">
      <c r="A43" s="60"/>
      <c r="B43" s="1714" t="s">
        <v>1087</v>
      </c>
      <c r="C43" s="4"/>
      <c r="D43" s="1592">
        <f>IF(D32-D40&gt;0,0,D32-D40)</f>
        <v>0</v>
      </c>
      <c r="E43" s="1586">
        <f>D43/$D$10</f>
        <v>0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136031776.31962556</v>
      </c>
      <c r="E45" s="1588">
        <f>D45/$D$10</f>
        <v>539808.63618899032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6" zoomScaleNormal="100" workbookViewId="0">
      <selection activeCell="F16" sqref="F16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968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212112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212112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16555000</v>
      </c>
      <c r="E17" s="1531">
        <f>D17/$D$11</f>
        <v>65694.444444444438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88641661.874999985</v>
      </c>
      <c r="E18" s="1531">
        <f t="shared" ref="E18:E24" si="0">D18/$D$11</f>
        <v>351752.62648809521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2724240</v>
      </c>
      <c r="E19" s="1531">
        <f t="shared" si="0"/>
        <v>10810.476190476191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4075786</v>
      </c>
      <c r="E20" s="1531">
        <f t="shared" si="0"/>
        <v>16173.753968253968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9147227.6730482616</v>
      </c>
      <c r="E21" s="1531">
        <f t="shared" si="0"/>
        <v>36298.522512096279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1834282.9525756852</v>
      </c>
      <c r="E22" s="1531">
        <f t="shared" si="0"/>
        <v>7278.9006054590682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13053577.81900163</v>
      </c>
      <c r="E23" s="1532">
        <f t="shared" si="0"/>
        <v>51799.911980165198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136031776.31962556</v>
      </c>
      <c r="E24" s="1531">
        <f t="shared" si="0"/>
        <v>539808.63618899032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382</v>
      </c>
      <c r="G26" s="1515" t="s">
        <v>1035</v>
      </c>
      <c r="H26" s="1437">
        <f>SUM(D29:D30)/H34</f>
        <v>0.40748765873230358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966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89148665.503889993</v>
      </c>
      <c r="E28" s="1586">
        <f t="shared" si="1"/>
        <v>353764.54565035709</v>
      </c>
      <c r="F28" s="62"/>
      <c r="G28" s="1419" t="s">
        <v>608</v>
      </c>
      <c r="H28" s="1608">
        <f>H32/D11</f>
        <v>68484.561391656898</v>
      </c>
      <c r="I28" s="703"/>
    </row>
    <row r="29" spans="1:10" ht="15.75">
      <c r="A29" s="64"/>
      <c r="B29" s="4" t="s">
        <v>1036</v>
      </c>
      <c r="C29" s="4"/>
      <c r="D29" s="1587">
        <v>7032466.6223603357</v>
      </c>
      <c r="E29" s="1586">
        <f>D29/$D$11</f>
        <v>27906.613580794983</v>
      </c>
      <c r="F29" s="520"/>
      <c r="G29" s="1420" t="s">
        <v>956</v>
      </c>
      <c r="H29" s="1609">
        <f>H33/D11</f>
        <v>388079.18121938908</v>
      </c>
      <c r="I29" s="703"/>
    </row>
    <row r="30" spans="1:10" ht="16.5" thickBot="1">
      <c r="A30" s="65"/>
      <c r="B30" s="4" t="s">
        <v>26</v>
      </c>
      <c r="C30" s="4"/>
      <c r="D30" s="1587">
        <v>39850644.19337523</v>
      </c>
      <c r="E30" s="1586">
        <f>D30/$D$11</f>
        <v>158137.47695783823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985</v>
      </c>
      <c r="H31" s="1610"/>
      <c r="I31" s="1439"/>
      <c r="J31" s="690"/>
    </row>
    <row r="32" spans="1:10" ht="16.5" thickBot="1">
      <c r="A32" s="1433"/>
      <c r="B32" s="67" t="s">
        <v>982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608</v>
      </c>
      <c r="H32" s="1611">
        <f>D29+D38</f>
        <v>17258109.470697537</v>
      </c>
      <c r="I32" s="1346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136031776.31962556</v>
      </c>
      <c r="E33" s="1586">
        <f>D33/$D$11</f>
        <v>539808.63618899032</v>
      </c>
      <c r="F33" s="62"/>
      <c r="G33" s="1441" t="s">
        <v>956</v>
      </c>
      <c r="H33" s="1611">
        <f>D30+D39</f>
        <v>97795953.667286053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115054063.13798359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382</v>
      </c>
      <c r="F35" s="68"/>
      <c r="G35" s="1339"/>
      <c r="H35" s="1603"/>
      <c r="I35" s="1341" t="s">
        <v>946</v>
      </c>
      <c r="J35" s="690"/>
    </row>
    <row r="36" spans="1:12" ht="16.5" thickBot="1">
      <c r="A36" s="60"/>
      <c r="B36" s="4" t="s">
        <v>1032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0.84578814046835704</v>
      </c>
      <c r="J36" s="704"/>
    </row>
    <row r="37" spans="1:12" ht="16.5" thickBot="1">
      <c r="A37" s="60"/>
      <c r="B37" s="4" t="s">
        <v>980</v>
      </c>
      <c r="C37" s="4"/>
      <c r="D37" s="1586">
        <f>Data!C30</f>
        <v>20977713.181641962</v>
      </c>
      <c r="E37" s="1586">
        <f t="shared" ref="E37" si="2">D37/$D$11</f>
        <v>83244.893577944298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1036</v>
      </c>
      <c r="C38" s="4"/>
      <c r="D38" s="1591">
        <v>10225642.848337203</v>
      </c>
      <c r="E38" s="1586">
        <f>D38/$D$11</f>
        <v>40577.947810861915</v>
      </c>
      <c r="F38" s="62"/>
      <c r="G38" s="1434" t="s">
        <v>983</v>
      </c>
      <c r="H38" s="1615" t="s">
        <v>967</v>
      </c>
      <c r="I38" s="1442" t="s">
        <v>987</v>
      </c>
      <c r="J38" s="690"/>
    </row>
    <row r="39" spans="1:12" ht="15.75">
      <c r="A39" s="60"/>
      <c r="B39" s="1557" t="s">
        <v>26</v>
      </c>
      <c r="C39" s="4"/>
      <c r="D39" s="1592">
        <v>57945309.473910823</v>
      </c>
      <c r="E39" s="1586">
        <f>D39/$D$11</f>
        <v>229941.70426155088</v>
      </c>
      <c r="F39" s="62"/>
      <c r="G39" s="1435" t="s">
        <v>608</v>
      </c>
      <c r="H39" s="1616">
        <f>-D32*0.15</f>
        <v>0</v>
      </c>
      <c r="I39" s="1596">
        <f>D29+H39</f>
        <v>7032466.6223603357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956</v>
      </c>
      <c r="H40" s="1617">
        <f>-D32*0.85</f>
        <v>0</v>
      </c>
      <c r="I40" s="1597">
        <f>D30+H40</f>
        <v>39850644.19337523</v>
      </c>
      <c r="J40" s="690"/>
    </row>
    <row r="41" spans="1:12" ht="16.5" thickBot="1">
      <c r="A41" s="66"/>
      <c r="B41" s="67" t="s">
        <v>982</v>
      </c>
      <c r="C41" s="67"/>
      <c r="D41" s="1593">
        <f>SUM(D36:D39)-D28</f>
        <v>0</v>
      </c>
      <c r="E41" s="1588">
        <f>D41/$D$11</f>
        <v>0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89148665.503889993</v>
      </c>
      <c r="E42" s="1586">
        <f>D42/$D$11</f>
        <v>353764.54565035709</v>
      </c>
      <c r="G42" s="1434" t="s">
        <v>984</v>
      </c>
      <c r="H42" s="1615" t="s">
        <v>967</v>
      </c>
      <c r="I42" s="1599" t="s">
        <v>987</v>
      </c>
      <c r="J42" s="690"/>
    </row>
    <row r="43" spans="1:12" ht="15.75">
      <c r="A43" s="65"/>
      <c r="B43" s="60"/>
      <c r="C43" s="60"/>
      <c r="D43" s="61"/>
      <c r="E43" s="61"/>
      <c r="G43" s="1435" t="s">
        <v>608</v>
      </c>
      <c r="H43" s="1616">
        <f>-D41*0.15</f>
        <v>0</v>
      </c>
      <c r="I43" s="1596">
        <f>D38+H43</f>
        <v>10225642.848337203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956</v>
      </c>
      <c r="H44" s="1616">
        <f>-D41*0.85</f>
        <v>0</v>
      </c>
      <c r="I44" s="1596">
        <f>D39+H44</f>
        <v>57945309.473910823</v>
      </c>
      <c r="J44" s="690"/>
    </row>
    <row r="45" spans="1:12" ht="15.75">
      <c r="A45" s="60"/>
      <c r="D45" s="159"/>
      <c r="E45" s="159"/>
      <c r="G45" s="4"/>
      <c r="H45" s="1705" t="s">
        <v>1080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1046</v>
      </c>
      <c r="I46" s="1600">
        <f>'Cash Flow'!C66</f>
        <v>7189946.3462199243</v>
      </c>
      <c r="J46" s="1582" t="s">
        <v>1068</v>
      </c>
      <c r="K46" s="1583">
        <f>'Cash Flow'!C76</f>
        <v>-0.12573751468548183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1047</v>
      </c>
      <c r="I47" s="1601">
        <f>'Cash Flow'!C80</f>
        <v>2036838.281185189</v>
      </c>
      <c r="J47" s="1584" t="s">
        <v>1083</v>
      </c>
      <c r="K47" s="1607">
        <f>'Cash Flow'!C70</f>
        <v>11719612.544338476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1044</v>
      </c>
      <c r="I48" s="1602">
        <f>I46-H33</f>
        <v>-90606007.321066126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1055</v>
      </c>
      <c r="I51" s="1604">
        <f>'Cash Flow'!H66</f>
        <v>1268814.0610976338</v>
      </c>
      <c r="J51" s="1585" t="s">
        <v>1068</v>
      </c>
      <c r="K51" s="1618">
        <f>'Cash Flow'!H76</f>
        <v>-0.12573751468548183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1056</v>
      </c>
      <c r="I52" s="1605">
        <f>H32</f>
        <v>17258109.470697537</v>
      </c>
      <c r="J52" s="1584" t="s">
        <v>1082</v>
      </c>
      <c r="K52" s="1607">
        <f>'Cash Flow'!H70</f>
        <v>2068166.9195891428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1044</v>
      </c>
      <c r="I53" s="1606">
        <f>I51-I52</f>
        <v>-15989295.409599904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1060</v>
      </c>
      <c r="I55" s="1711">
        <f>I48+I53</f>
        <v>-106595302.73066603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1081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1046</v>
      </c>
      <c r="I58" s="1600">
        <f>'Cash Flow'!C93</f>
        <v>10423412.484809818</v>
      </c>
      <c r="J58" s="1582" t="s">
        <v>1068</v>
      </c>
      <c r="K58" s="1583">
        <f>'Cash Flow'!C103</f>
        <v>-8.2626927073033457E-2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1047</v>
      </c>
      <c r="I59" s="1601">
        <f>'Cash Flow'!C92</f>
        <v>0</v>
      </c>
      <c r="J59" s="1584" t="s">
        <v>1082</v>
      </c>
      <c r="K59" s="1607">
        <f>'Cash Flow'!C97</f>
        <v>16990162.350240003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1044</v>
      </c>
      <c r="I60" s="1602">
        <f>I58-H33</f>
        <v>-87372541.182476237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1055</v>
      </c>
      <c r="I63" s="1604">
        <f>'Cash Flow'!H93</f>
        <v>1418344.5766382667</v>
      </c>
      <c r="J63" s="1585" t="s">
        <v>1068</v>
      </c>
      <c r="K63" s="1618">
        <f>'Cash Flow'!H103</f>
        <v>-8.6603969201575981E-2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1056</v>
      </c>
      <c r="I64" s="1605">
        <f>H32</f>
        <v>17258109.470697537</v>
      </c>
      <c r="J64" s="1584" t="s">
        <v>1082</v>
      </c>
      <c r="K64" s="1607">
        <f>'Cash Flow'!H97</f>
        <v>2311901.6599203744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1044</v>
      </c>
      <c r="I65" s="1606">
        <f>I63-I64</f>
        <v>-15839764.894059271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1060</v>
      </c>
      <c r="I67" s="1701">
        <f>I60+I65</f>
        <v>-103212306.07653551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zoomScale="130" zoomScaleNormal="130" workbookViewId="0">
      <selection activeCell="N11" sqref="N11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986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1067</v>
      </c>
      <c r="N7" s="201">
        <f>E28</f>
        <v>50</v>
      </c>
      <c r="O7" s="521">
        <f t="shared" ref="O7:O18" si="0">N7/$N$18</f>
        <v>0.1984126984126984</v>
      </c>
      <c r="Q7" s="283">
        <f>O7+O8+O9</f>
        <v>0.99206349206349209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1089</v>
      </c>
      <c r="N8" s="201">
        <f>E37</f>
        <v>75</v>
      </c>
      <c r="O8" s="521">
        <f t="shared" si="0"/>
        <v>0.29761904761904762</v>
      </c>
      <c r="Q8" s="283">
        <f>SUM(O10:O15)</f>
        <v>0</v>
      </c>
      <c r="R8" s="201" t="s">
        <v>50</v>
      </c>
    </row>
    <row r="9" spans="2:19" ht="12.75" customHeight="1">
      <c r="B9" s="268"/>
      <c r="C9" s="209" t="s">
        <v>51</v>
      </c>
      <c r="D9" s="210">
        <f>SUM(E32,E41,E50,E59,E77,E68,E86,E95,E115,E105+E23)</f>
        <v>77</v>
      </c>
      <c r="E9" s="278">
        <f>IF(D9="","",D9/D$15)</f>
        <v>0.30555555555555558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42</v>
      </c>
      <c r="N9" s="298">
        <f>E46+E183</f>
        <v>125</v>
      </c>
      <c r="O9" s="332">
        <f t="shared" si="0"/>
        <v>0.49603174603174605</v>
      </c>
    </row>
    <row r="10" spans="2:19" ht="12.75" customHeight="1">
      <c r="B10" s="268"/>
      <c r="C10" s="209" t="s">
        <v>52</v>
      </c>
      <c r="D10" s="210">
        <f>SUM(E24,E33,E42,E51,E60,E78,E69,E87,E96,E116,E106)</f>
        <v>88</v>
      </c>
      <c r="E10" s="278">
        <f>IF(D10="","",D10/D$15)</f>
        <v>0.34920634920634919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53</v>
      </c>
      <c r="N10" s="201">
        <v>0</v>
      </c>
      <c r="O10" s="332">
        <f t="shared" si="0"/>
        <v>0</v>
      </c>
    </row>
    <row r="11" spans="2:19" ht="12.75" customHeight="1">
      <c r="B11" s="268"/>
      <c r="C11" s="209" t="s">
        <v>54</v>
      </c>
      <c r="D11" s="210">
        <f>SUM(E25,E34,E43,E52,E61,E79,E70,E88,E97,E117,E107)</f>
        <v>87</v>
      </c>
      <c r="E11" s="278">
        <f>IF(D11="","",D11/D$15)</f>
        <v>0.34523809523809523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55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56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57</v>
      </c>
      <c r="N13" s="201">
        <f>E55</f>
        <v>0</v>
      </c>
      <c r="O13" s="332">
        <f>N13/$N$18</f>
        <v>0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58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59</v>
      </c>
      <c r="D15" s="281">
        <f>SUM(D9:D13)</f>
        <v>252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60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971</v>
      </c>
      <c r="N16" s="201">
        <f>SUM(N7:N15)</f>
        <v>250</v>
      </c>
      <c r="O16" s="283">
        <f>SUM(O7:O15)</f>
        <v>0.99206349206349209</v>
      </c>
    </row>
    <row r="17" spans="2:21" ht="12.75" customHeight="1">
      <c r="B17" s="268"/>
      <c r="C17" s="201" t="s">
        <v>61</v>
      </c>
      <c r="E17" s="284">
        <f>SUM(J28+J37,J46,J55,J64,J82,J91,J73,J100,J120,J110)</f>
        <v>176760</v>
      </c>
      <c r="F17" s="284"/>
      <c r="G17" s="222"/>
      <c r="H17" s="228"/>
      <c r="K17" s="233"/>
      <c r="M17" s="285" t="s">
        <v>62</v>
      </c>
      <c r="N17" s="284">
        <f>E120</f>
        <v>2</v>
      </c>
      <c r="O17" s="332">
        <f t="shared" si="0"/>
        <v>7.9365079365079361E-3</v>
      </c>
      <c r="U17" s="332"/>
    </row>
    <row r="18" spans="2:21" ht="12.75" customHeight="1">
      <c r="B18" s="268"/>
      <c r="C18" s="201" t="s">
        <v>63</v>
      </c>
      <c r="E18" s="285">
        <f>SUM(K28+K37,K46,K64,K55,K82,K91,K73,K100,K120,K110)</f>
        <v>292819</v>
      </c>
      <c r="F18" s="285"/>
      <c r="H18" s="286"/>
      <c r="I18" s="287"/>
      <c r="K18" s="226"/>
      <c r="M18" s="328" t="s">
        <v>10</v>
      </c>
      <c r="N18" s="1423">
        <f>N17+N16</f>
        <v>252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970</v>
      </c>
      <c r="O19" s="283">
        <f>SUM(O7:O9)</f>
        <v>0.99206349206349209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64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65</v>
      </c>
      <c r="D21" s="236" t="s">
        <v>66</v>
      </c>
      <c r="E21" s="237" t="s">
        <v>67</v>
      </c>
      <c r="F21" s="237"/>
      <c r="G21" s="237" t="s">
        <v>68</v>
      </c>
      <c r="H21" s="237" t="s">
        <v>69</v>
      </c>
      <c r="I21" s="238" t="s">
        <v>70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71</v>
      </c>
      <c r="D22" s="812" t="s">
        <v>72</v>
      </c>
      <c r="E22" s="813" t="s">
        <v>73</v>
      </c>
      <c r="F22" s="814"/>
      <c r="G22" s="814" t="s">
        <v>74</v>
      </c>
      <c r="H22" s="814" t="s">
        <v>49</v>
      </c>
      <c r="I22" s="815" t="s">
        <v>74</v>
      </c>
      <c r="J22" s="816" t="s">
        <v>75</v>
      </c>
      <c r="K22" s="801" t="s">
        <v>76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51</v>
      </c>
      <c r="D23" s="239">
        <v>400</v>
      </c>
      <c r="E23" s="223">
        <v>16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6400</v>
      </c>
      <c r="K23" s="292">
        <f>E23*I23</f>
        <v>11648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18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12060</v>
      </c>
      <c r="K24" s="292">
        <f>E24*I24</f>
        <v>14040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16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16000</v>
      </c>
      <c r="K25" s="292">
        <f>E25*I25</f>
        <v>14976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59</v>
      </c>
      <c r="D28" s="241"/>
      <c r="E28" s="242">
        <f>SUM(E23:E27)</f>
        <v>50</v>
      </c>
      <c r="F28" s="241"/>
      <c r="G28" s="241"/>
      <c r="H28" s="243"/>
      <c r="I28" s="241"/>
      <c r="J28" s="293">
        <f>SUM(J23:J27)</f>
        <v>34460</v>
      </c>
      <c r="K28" s="294">
        <f>SUM(K23:K27)</f>
        <v>40664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0.4</v>
      </c>
      <c r="D29" s="316" t="s">
        <v>64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65</v>
      </c>
      <c r="D30" s="236" t="s">
        <v>66</v>
      </c>
      <c r="E30" s="237" t="s">
        <v>67</v>
      </c>
      <c r="F30" s="237"/>
      <c r="G30" s="237" t="s">
        <v>68</v>
      </c>
      <c r="H30" s="237" t="s">
        <v>69</v>
      </c>
      <c r="I30" s="238" t="s">
        <v>70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71</v>
      </c>
      <c r="D31" s="812" t="s">
        <v>72</v>
      </c>
      <c r="E31" s="813" t="s">
        <v>73</v>
      </c>
      <c r="F31" s="814"/>
      <c r="G31" s="814" t="s">
        <v>74</v>
      </c>
      <c r="H31" s="814" t="s">
        <v>49</v>
      </c>
      <c r="I31" s="815" t="s">
        <v>74</v>
      </c>
      <c r="J31" s="816" t="s">
        <v>75</v>
      </c>
      <c r="K31" s="801" t="s">
        <v>76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22</v>
      </c>
      <c r="F32" s="223"/>
      <c r="G32" s="308">
        <f>H9*$C$29</f>
        <v>970.40000000000009</v>
      </c>
      <c r="H32" s="308">
        <f>$K$9</f>
        <v>0</v>
      </c>
      <c r="I32" s="228">
        <f>ROUND(G32-H32,0)</f>
        <v>970</v>
      </c>
      <c r="J32" s="284">
        <f>D32*E32</f>
        <v>8800</v>
      </c>
      <c r="K32" s="292">
        <f>E32*I32</f>
        <v>21340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27</v>
      </c>
      <c r="F33" s="223"/>
      <c r="G33" s="308">
        <f>H10*$C$29</f>
        <v>1040</v>
      </c>
      <c r="H33" s="308">
        <f>$K$10</f>
        <v>0</v>
      </c>
      <c r="I33" s="228">
        <f>ROUND(G33-H33,0)</f>
        <v>1040</v>
      </c>
      <c r="J33" s="284">
        <f>D33*E33</f>
        <v>18090</v>
      </c>
      <c r="K33" s="292">
        <f>E33*I33</f>
        <v>28080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26</v>
      </c>
      <c r="F34" s="223"/>
      <c r="G34" s="308">
        <f>H11*$C$29</f>
        <v>1248</v>
      </c>
      <c r="H34" s="228">
        <f>$K$11</f>
        <v>0</v>
      </c>
      <c r="I34" s="228">
        <f>ROUND(G34-H34,0)</f>
        <v>1248</v>
      </c>
      <c r="J34" s="284">
        <f>D34*E34</f>
        <v>26000</v>
      </c>
      <c r="K34" s="292">
        <f>E34*I34</f>
        <v>32448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1442.4</v>
      </c>
      <c r="H35" s="228">
        <v>0</v>
      </c>
      <c r="I35" s="228">
        <f>ROUND(G35-H35,0)</f>
        <v>1442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59</v>
      </c>
      <c r="D37" s="241"/>
      <c r="E37" s="242">
        <f>SUM(E32:E36)</f>
        <v>75</v>
      </c>
      <c r="F37" s="241"/>
      <c r="G37" s="241"/>
      <c r="H37" s="243"/>
      <c r="I37" s="241"/>
      <c r="J37" s="293">
        <f>SUM(J32:J36)</f>
        <v>52890</v>
      </c>
      <c r="K37" s="294">
        <f>SUM(K32:K36)</f>
        <v>81868</v>
      </c>
      <c r="U37" s="332"/>
    </row>
    <row r="38" spans="2:21" ht="12.75" customHeight="1">
      <c r="B38" s="289"/>
      <c r="C38" s="314">
        <v>0.5</v>
      </c>
      <c r="D38" s="316" t="s">
        <v>64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65</v>
      </c>
      <c r="D39" s="244" t="s">
        <v>66</v>
      </c>
      <c r="E39" s="237" t="s">
        <v>67</v>
      </c>
      <c r="F39" s="237"/>
      <c r="G39" s="237" t="s">
        <v>68</v>
      </c>
      <c r="H39" s="240" t="s">
        <v>69</v>
      </c>
      <c r="I39" s="238" t="s">
        <v>70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72</v>
      </c>
      <c r="E40" s="814" t="s">
        <v>73</v>
      </c>
      <c r="F40" s="814"/>
      <c r="G40" s="814" t="s">
        <v>74</v>
      </c>
      <c r="H40" s="817" t="s">
        <v>49</v>
      </c>
      <c r="I40" s="815" t="s">
        <v>74</v>
      </c>
      <c r="J40" s="816" t="s">
        <v>75</v>
      </c>
      <c r="K40" s="801" t="s">
        <v>76</v>
      </c>
      <c r="O40" s="427"/>
    </row>
    <row r="41" spans="2:21" ht="12.75" customHeight="1" outlineLevel="1">
      <c r="B41" s="290"/>
      <c r="C41" s="209" t="s">
        <v>51</v>
      </c>
      <c r="D41" s="239">
        <f>$G9</f>
        <v>400</v>
      </c>
      <c r="E41" s="223">
        <v>39</v>
      </c>
      <c r="F41" s="223"/>
      <c r="G41" s="308">
        <f>H9*$C$38</f>
        <v>1213</v>
      </c>
      <c r="H41" s="308">
        <f>$K$9</f>
        <v>0</v>
      </c>
      <c r="I41" s="228">
        <f>ROUND(G41-H41,0)</f>
        <v>1213</v>
      </c>
      <c r="J41" s="284">
        <f>D41*E41</f>
        <v>15600</v>
      </c>
      <c r="K41" s="292">
        <f>E41*I41</f>
        <v>47307</v>
      </c>
      <c r="L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43</v>
      </c>
      <c r="F42" s="223"/>
      <c r="G42" s="308">
        <f>H10*C38</f>
        <v>1300</v>
      </c>
      <c r="H42" s="308">
        <f>$K$10</f>
        <v>0</v>
      </c>
      <c r="I42" s="228">
        <f>ROUND(G42-H42,0)</f>
        <v>1300</v>
      </c>
      <c r="J42" s="284">
        <f>D42*E42</f>
        <v>28810</v>
      </c>
      <c r="K42" s="292">
        <f>E42*I42</f>
        <v>55900</v>
      </c>
      <c r="L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43</v>
      </c>
      <c r="F43" s="223"/>
      <c r="G43" s="308">
        <f>H11*C38</f>
        <v>1560</v>
      </c>
      <c r="H43" s="228">
        <f>$K$11</f>
        <v>0</v>
      </c>
      <c r="I43" s="228">
        <f>ROUND(G43-H43,0)</f>
        <v>1560</v>
      </c>
      <c r="J43" s="284">
        <f>D43*E43</f>
        <v>43000</v>
      </c>
      <c r="K43" s="292">
        <f>E43*I43</f>
        <v>67080</v>
      </c>
      <c r="L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1803</v>
      </c>
      <c r="H44" s="228">
        <v>0</v>
      </c>
      <c r="I44" s="228">
        <f>ROUND(G44-H44,0)</f>
        <v>1803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59</v>
      </c>
      <c r="D46" s="245"/>
      <c r="E46" s="309">
        <f>SUM(E41:E45)</f>
        <v>125</v>
      </c>
      <c r="F46" s="203"/>
      <c r="G46" s="203"/>
      <c r="H46" s="246"/>
      <c r="I46" s="247"/>
      <c r="J46" s="296">
        <f>SUM(J41:J45)</f>
        <v>87410</v>
      </c>
      <c r="K46" s="297">
        <f>SUM(K41:K45)</f>
        <v>170287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64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65</v>
      </c>
      <c r="D48" s="248" t="s">
        <v>66</v>
      </c>
      <c r="E48" s="249" t="s">
        <v>67</v>
      </c>
      <c r="F48" s="237"/>
      <c r="G48" s="237" t="s">
        <v>68</v>
      </c>
      <c r="H48" s="240" t="s">
        <v>69</v>
      </c>
      <c r="I48" s="238" t="s">
        <v>70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71</v>
      </c>
      <c r="D49" s="820" t="s">
        <v>72</v>
      </c>
      <c r="E49" s="821" t="s">
        <v>73</v>
      </c>
      <c r="F49" s="814"/>
      <c r="G49" s="814" t="s">
        <v>74</v>
      </c>
      <c r="H49" s="817" t="s">
        <v>49</v>
      </c>
      <c r="I49" s="815" t="s">
        <v>74</v>
      </c>
      <c r="J49" s="816" t="s">
        <v>75</v>
      </c>
      <c r="K49" s="801" t="s">
        <v>76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0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0</v>
      </c>
      <c r="K50" s="292">
        <f>E50*I50</f>
        <v>0</v>
      </c>
      <c r="L50" s="1692"/>
      <c r="M50" s="298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0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0</v>
      </c>
      <c r="K51" s="292">
        <f>E51*I51</f>
        <v>0</v>
      </c>
      <c r="L51" s="1692"/>
      <c r="M51" s="298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0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0</v>
      </c>
      <c r="K52" s="292">
        <f>E52*I52</f>
        <v>0</v>
      </c>
      <c r="L52" s="1692"/>
      <c r="M52" s="298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59</v>
      </c>
      <c r="D55" s="247"/>
      <c r="E55" s="253">
        <f>SUM(E50:E54)</f>
        <v>0</v>
      </c>
      <c r="F55" s="247"/>
      <c r="G55" s="247"/>
      <c r="H55" s="246"/>
      <c r="I55" s="247"/>
      <c r="J55" s="296">
        <f>SUM(J50:J54)</f>
        <v>0</v>
      </c>
      <c r="K55" s="297">
        <f>SUM(K50:K54)</f>
        <v>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65</v>
      </c>
      <c r="D103" s="244" t="s">
        <v>66</v>
      </c>
      <c r="E103" s="237" t="s">
        <v>67</v>
      </c>
      <c r="F103" s="237"/>
      <c r="G103" s="237" t="s">
        <v>68</v>
      </c>
      <c r="H103" s="240" t="s">
        <v>69</v>
      </c>
      <c r="I103" s="238" t="s">
        <v>70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71</v>
      </c>
      <c r="D104" s="812" t="s">
        <v>72</v>
      </c>
      <c r="E104" s="813" t="s">
        <v>73</v>
      </c>
      <c r="F104" s="814"/>
      <c r="G104" s="814" t="s">
        <v>74</v>
      </c>
      <c r="H104" s="817" t="s">
        <v>49</v>
      </c>
      <c r="I104" s="815" t="s">
        <v>74</v>
      </c>
      <c r="J104" s="816" t="s">
        <v>75</v>
      </c>
      <c r="K104" s="801" t="s">
        <v>76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79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79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59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79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65</v>
      </c>
      <c r="D113" s="244" t="s">
        <v>66</v>
      </c>
      <c r="E113" s="237" t="s">
        <v>67</v>
      </c>
      <c r="F113" s="237"/>
      <c r="G113" s="237" t="s">
        <v>68</v>
      </c>
      <c r="H113" s="240" t="s">
        <v>69</v>
      </c>
      <c r="I113" s="238" t="s">
        <v>70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71</v>
      </c>
      <c r="D114" s="812" t="s">
        <v>72</v>
      </c>
      <c r="E114" s="813" t="s">
        <v>73</v>
      </c>
      <c r="F114" s="814"/>
      <c r="G114" s="814" t="s">
        <v>74</v>
      </c>
      <c r="H114" s="817" t="s">
        <v>49</v>
      </c>
      <c r="I114" s="815" t="s">
        <v>74</v>
      </c>
      <c r="J114" s="816" t="s">
        <v>75</v>
      </c>
      <c r="K114" s="801" t="s">
        <v>76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59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252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230" zoomScaleNormal="100" workbookViewId="0">
      <selection activeCell="I92" sqref="I92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973</v>
      </c>
      <c r="J4" s="717">
        <f>GapCalc!D41</f>
        <v>0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252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722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723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724</v>
      </c>
      <c r="AK11" s="978"/>
      <c r="AL11" s="979"/>
      <c r="AM11" s="980"/>
      <c r="AN11" s="981"/>
      <c r="AO11" s="981"/>
      <c r="AP11" s="980"/>
      <c r="AQ11" s="982" t="s">
        <v>725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84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347</v>
      </c>
      <c r="D15" s="1000"/>
      <c r="E15" s="987"/>
      <c r="F15" s="987"/>
      <c r="G15" s="987" t="s">
        <v>726</v>
      </c>
      <c r="I15" s="993" t="s">
        <v>382</v>
      </c>
      <c r="J15" s="988"/>
      <c r="K15" s="987" t="s">
        <v>727</v>
      </c>
      <c r="L15" s="988"/>
      <c r="M15" s="1001" t="s">
        <v>728</v>
      </c>
      <c r="N15" s="1002"/>
      <c r="P15" s="1003"/>
      <c r="Q15" s="1004"/>
      <c r="R15" s="1004"/>
      <c r="S15" s="1004"/>
      <c r="U15" s="995"/>
      <c r="V15" s="995"/>
      <c r="X15" s="995"/>
      <c r="Z15" s="995"/>
      <c r="AB15" s="995"/>
      <c r="AD15" s="996"/>
      <c r="AF15" s="996"/>
      <c r="AH15" s="997"/>
      <c r="AJ15" s="1005"/>
      <c r="AL15" s="997" t="s">
        <v>729</v>
      </c>
      <c r="AN15" s="996" t="s">
        <v>730</v>
      </c>
      <c r="AO15" s="996" t="s">
        <v>731</v>
      </c>
      <c r="AQ15" s="996" t="s">
        <v>732</v>
      </c>
      <c r="AR15" s="996" t="s">
        <v>733</v>
      </c>
      <c r="AS15" s="996" t="s">
        <v>734</v>
      </c>
      <c r="AT15" s="996" t="s">
        <v>735</v>
      </c>
      <c r="AU15" s="996" t="s">
        <v>736</v>
      </c>
      <c r="AV15" s="996" t="s">
        <v>737</v>
      </c>
      <c r="AW15" s="996" t="s">
        <v>738</v>
      </c>
      <c r="AX15" s="996" t="s">
        <v>739</v>
      </c>
      <c r="AY15" s="996" t="s">
        <v>740</v>
      </c>
      <c r="AZ15" s="996" t="s">
        <v>741</v>
      </c>
      <c r="BA15" s="996" t="s">
        <v>742</v>
      </c>
      <c r="BB15" s="996" t="s">
        <v>743</v>
      </c>
      <c r="BC15" s="996" t="s">
        <v>744</v>
      </c>
      <c r="BD15" s="996" t="s">
        <v>745</v>
      </c>
      <c r="BE15" s="996" t="s">
        <v>746</v>
      </c>
      <c r="BF15" s="996" t="s">
        <v>747</v>
      </c>
      <c r="BG15" s="996" t="s">
        <v>748</v>
      </c>
      <c r="BH15" s="996" t="s">
        <v>749</v>
      </c>
      <c r="BI15" s="996" t="s">
        <v>750</v>
      </c>
      <c r="BJ15" s="996" t="s">
        <v>751</v>
      </c>
      <c r="BK15" s="996" t="s">
        <v>752</v>
      </c>
      <c r="BL15" s="996" t="s">
        <v>753</v>
      </c>
      <c r="BM15" s="996" t="s">
        <v>754</v>
      </c>
      <c r="BN15" s="996" t="s">
        <v>755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87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979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640</v>
      </c>
      <c r="D18" s="842"/>
      <c r="E18" s="844">
        <f>N18</f>
        <v>16380000</v>
      </c>
      <c r="F18" s="845"/>
      <c r="G18" s="1392">
        <f>E18</f>
        <v>16380000</v>
      </c>
      <c r="H18" s="950"/>
      <c r="I18" s="950">
        <f>G18/$F$9</f>
        <v>65000</v>
      </c>
      <c r="J18" s="1015"/>
      <c r="K18" s="1016"/>
      <c r="L18" s="1016"/>
      <c r="M18" s="1431">
        <f>F9*N17</f>
        <v>16380000</v>
      </c>
      <c r="N18" s="1674">
        <v>16380000</v>
      </c>
      <c r="O18" s="1017"/>
      <c r="P18" s="1018"/>
      <c r="Q18" s="855"/>
      <c r="R18" s="855"/>
      <c r="S18" s="855"/>
      <c r="T18" s="855"/>
      <c r="U18" s="1019"/>
      <c r="V18" s="1019"/>
      <c r="W18"/>
      <c r="X18" s="984"/>
      <c r="Y18" s="984"/>
      <c r="Z18" s="984"/>
      <c r="AA18"/>
      <c r="AB18" s="984"/>
    </row>
    <row r="19" spans="1:28" ht="15.75">
      <c r="A19" s="3"/>
      <c r="B19" s="855"/>
      <c r="C19" s="842" t="s">
        <v>641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99.206349206349202</v>
      </c>
      <c r="J19" s="1015"/>
      <c r="K19" s="1020"/>
      <c r="L19" s="1020"/>
      <c r="M19" s="1021"/>
      <c r="N19" s="945"/>
      <c r="O19" s="945"/>
      <c r="P19" s="880"/>
      <c r="Q19" s="855"/>
      <c r="R19" s="855"/>
      <c r="S19" s="855"/>
      <c r="T19" s="855"/>
      <c r="U19" s="1019"/>
      <c r="V19" s="1019"/>
      <c r="W19"/>
      <c r="X19" s="984"/>
      <c r="Y19" s="984"/>
      <c r="Z19" s="984"/>
      <c r="AA19"/>
      <c r="AB19" s="984"/>
    </row>
    <row r="20" spans="1:28" ht="15.75">
      <c r="A20" s="3"/>
      <c r="B20" s="855"/>
      <c r="C20" s="847"/>
      <c r="D20" s="842" t="s">
        <v>642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/>
      <c r="Q20" s="855"/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643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644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645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595.23809523809518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/>
      <c r="V23" s="1019"/>
      <c r="W23"/>
      <c r="X23" s="984"/>
      <c r="Y23" s="984"/>
      <c r="Z23" s="984"/>
      <c r="AA23"/>
      <c r="AB23" s="984"/>
    </row>
    <row r="24" spans="1:28" ht="15.75">
      <c r="A24" s="690"/>
      <c r="B24" s="855"/>
      <c r="C24" s="842" t="s">
        <v>646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/>
      <c r="V24" s="1019"/>
      <c r="W24"/>
      <c r="X24" s="984"/>
      <c r="Y24" s="984"/>
      <c r="Z24" s="984"/>
      <c r="AA24"/>
      <c r="AB24" s="984"/>
    </row>
    <row r="25" spans="1:28" ht="15.75">
      <c r="A25" s="3"/>
      <c r="B25" s="855"/>
      <c r="C25" s="847"/>
      <c r="D25" s="842" t="s">
        <v>647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648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756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757</v>
      </c>
      <c r="D28" s="1329"/>
      <c r="E28" s="1330"/>
      <c r="F28" s="1331"/>
      <c r="G28" s="1332">
        <f>SUM(G18:G27)</f>
        <v>16555000</v>
      </c>
      <c r="H28" s="1333"/>
      <c r="I28" s="1325">
        <f t="shared" si="0"/>
        <v>65694.444444444438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90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707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708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94</v>
      </c>
      <c r="D32" s="842"/>
      <c r="E32" s="1043"/>
      <c r="F32" s="1044"/>
      <c r="G32" s="1038">
        <f>F33+F35</f>
        <v>70793329.5</v>
      </c>
      <c r="H32" s="1039"/>
      <c r="I32" s="950">
        <f t="shared" si="0"/>
        <v>280925.91071428574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77872662.450000003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669</v>
      </c>
      <c r="E33" s="1063">
        <v>300</v>
      </c>
      <c r="F33" s="1064">
        <f>E33*'Construction Calculation'!C14</f>
        <v>63633600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709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691</v>
      </c>
      <c r="E35" s="1068">
        <f>'Construction Calculation'!G49</f>
        <v>143</v>
      </c>
      <c r="F35" s="1064">
        <f>'Construction Calculation'!I55</f>
        <v>7159729.5000000009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710</v>
      </c>
      <c r="E36" s="1048">
        <v>0.1</v>
      </c>
      <c r="F36" s="1049">
        <f>E36*(G32+G31+G30)</f>
        <v>7079332.9500000002</v>
      </c>
      <c r="G36" s="854">
        <f>F36</f>
        <v>7079332.9500000002</v>
      </c>
      <c r="H36" s="950"/>
      <c r="I36" s="950">
        <f t="shared" si="0"/>
        <v>28092.591071428571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711</v>
      </c>
      <c r="D37" s="842"/>
      <c r="E37" s="1048">
        <v>7.0000000000000007E-2</v>
      </c>
      <c r="F37"/>
      <c r="G37" s="1071">
        <f>SUM($G$29:$G$32,$G$20,$G$21)*E37</f>
        <v>4955533.0650000004</v>
      </c>
      <c r="H37" s="1072"/>
      <c r="I37" s="950">
        <f t="shared" si="0"/>
        <v>19664.813750000001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4955533.0650000004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712</v>
      </c>
      <c r="D38" s="842"/>
      <c r="E38" s="1048">
        <v>0.05</v>
      </c>
      <c r="F38"/>
      <c r="G38" s="1071">
        <f>SUM($G$29:$G$32,$G$20,$G$21)*E38</f>
        <v>3539666.4750000001</v>
      </c>
      <c r="H38" s="1072"/>
      <c r="I38" s="950">
        <f t="shared" si="0"/>
        <v>14046.295535714286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3539666.4750000001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713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714</v>
      </c>
      <c r="D40" s="842"/>
      <c r="E40" s="1048">
        <v>1.4999999999999999E-2</v>
      </c>
      <c r="F40"/>
      <c r="G40" s="1071">
        <f>SUM($G$29:$G$32,$G$20,$G$21)*E40</f>
        <v>1061899.9424999999</v>
      </c>
      <c r="H40" s="1072"/>
      <c r="I40" s="950">
        <f t="shared" si="0"/>
        <v>4213.8886607142849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1061899.9424999999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715</v>
      </c>
      <c r="D41" s="842"/>
      <c r="E41" s="1048">
        <v>1.4999999999999999E-2</v>
      </c>
      <c r="F41" s="1074"/>
      <c r="G41" s="1071">
        <f>SUM($G$29:$G$33,$G$20,$G$21)*E41</f>
        <v>1061899.9424999999</v>
      </c>
      <c r="H41" s="1072"/>
      <c r="I41" s="950">
        <f t="shared" si="0"/>
        <v>4213.8886607142849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1061899.9424999999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224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716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717</v>
      </c>
      <c r="D44" s="1320"/>
      <c r="E44" s="1321"/>
      <c r="F44" s="1322"/>
      <c r="G44" s="1323">
        <f>SUM(G30:G43)+G23+G24</f>
        <v>88641661.874999985</v>
      </c>
      <c r="H44" s="1324"/>
      <c r="I44" s="1325">
        <f t="shared" si="0"/>
        <v>351752.62648809521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88491661.874999985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718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719</v>
      </c>
      <c r="D46" s="1335"/>
      <c r="E46" s="1336"/>
      <c r="F46" s="1337"/>
      <c r="G46" s="1332">
        <f>SUM(G44:G45)</f>
        <v>88641661.874999985</v>
      </c>
      <c r="H46" s="1333"/>
      <c r="I46" s="1325">
        <f t="shared" si="0"/>
        <v>351752.62648809521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88491661.874999985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720</v>
      </c>
      <c r="D47" s="842"/>
      <c r="E47" s="1085">
        <v>0.1</v>
      </c>
      <c r="F47" s="1086">
        <v>0.15</v>
      </c>
      <c r="G47" s="1038">
        <f>(E47*G46)</f>
        <v>8864166.1874999981</v>
      </c>
      <c r="H47" s="1039"/>
      <c r="I47" s="950">
        <f t="shared" si="0"/>
        <v>35175.262648809519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8864166.1874999981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721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758</v>
      </c>
      <c r="E49" s="1047"/>
      <c r="F49" s="1091">
        <f>335*F9</f>
        <v>84420</v>
      </c>
      <c r="G49" s="1092">
        <f>F49</f>
        <v>84420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759</v>
      </c>
      <c r="E50" s="1047">
        <v>0</v>
      </c>
      <c r="F50" s="1091">
        <f>368*F9</f>
        <v>92736</v>
      </c>
      <c r="G50" s="1092">
        <f>F50</f>
        <v>92736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760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4.8611111111111107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761</v>
      </c>
      <c r="D52" s="841"/>
      <c r="E52" s="1098"/>
      <c r="F52" s="1099"/>
      <c r="G52" s="1100">
        <f>SUM(F49:F51)</f>
        <v>178381</v>
      </c>
      <c r="H52" s="1101"/>
      <c r="I52" s="950">
        <f t="shared" si="0"/>
        <v>707.86111111111109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178381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762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385</v>
      </c>
      <c r="D54" s="842"/>
      <c r="E54" s="1107"/>
      <c r="F54" s="1076"/>
      <c r="G54" s="1038">
        <f>SUM(F55:F56)</f>
        <v>2539800</v>
      </c>
      <c r="H54" s="1039"/>
      <c r="I54" s="950">
        <f t="shared" si="0"/>
        <v>10078.571428571429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2539800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763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1074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385</v>
      </c>
      <c r="E56" s="1082">
        <v>0.06</v>
      </c>
      <c r="F56" s="1044">
        <f>M56</f>
        <v>2376000</v>
      </c>
      <c r="G56" s="1110"/>
      <c r="H56" s="1111"/>
      <c r="I56" s="950">
        <f>G56/$F$9</f>
        <v>0</v>
      </c>
      <c r="J56" s="1106"/>
      <c r="K56" s="1113" t="s">
        <v>969</v>
      </c>
      <c r="L56" s="1114"/>
      <c r="M56" s="1670">
        <f>SUM(M57:M58)</f>
        <v>2376000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764</v>
      </c>
      <c r="D57" s="842"/>
      <c r="E57" s="1115">
        <v>6.5000000000000002E-2</v>
      </c>
      <c r="F57" s="1044"/>
      <c r="G57" s="1116">
        <f>E57*F56</f>
        <v>154440</v>
      </c>
      <c r="H57" s="1117"/>
      <c r="I57" s="950">
        <f t="shared" si="0"/>
        <v>612.85714285714289</v>
      </c>
      <c r="J57" s="1015"/>
      <c r="K57" s="1118"/>
      <c r="L57" s="1119"/>
      <c r="M57" s="1120">
        <f>(5000*F9)*1.6</f>
        <v>2016000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154440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765</v>
      </c>
      <c r="D58" s="842"/>
      <c r="E58" s="1122"/>
      <c r="F58" s="1044"/>
      <c r="G58" s="1123">
        <v>30000</v>
      </c>
      <c r="H58" s="1124"/>
      <c r="I58" s="950">
        <f t="shared" si="0"/>
        <v>119.04761904761905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951</v>
      </c>
      <c r="D59" s="841"/>
      <c r="E59" s="1053"/>
      <c r="F59" s="1126"/>
      <c r="G59" s="1127">
        <f>SUM(G54:G58)-SUM(F75:F76,G78:G79,G67:G69)</f>
        <v>2311635.8453124999</v>
      </c>
      <c r="H59" s="1128"/>
      <c r="I59" s="950">
        <f t="shared" si="0"/>
        <v>9173.1581163194442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2724240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952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766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385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763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385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764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767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368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768</v>
      </c>
      <c r="D67" s="847"/>
      <c r="E67" s="1133">
        <v>2.5000000000000001E-3</v>
      </c>
      <c r="F67" s="1088"/>
      <c r="G67" s="1038">
        <f>(E67*G46)</f>
        <v>221604.15468749998</v>
      </c>
      <c r="H67" s="1039"/>
      <c r="I67" s="950">
        <f t="shared" si="0"/>
        <v>879.38156622023803</v>
      </c>
      <c r="J67" s="1134"/>
      <c r="K67" s="1135" t="s">
        <v>769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221604.15468749998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770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27.777777777777779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395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376.98412698412699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771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772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773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774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760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104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99.206349206349202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775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776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777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778</v>
      </c>
      <c r="D78" s="847"/>
      <c r="E78" s="1107"/>
      <c r="F78" s="1044"/>
      <c r="G78" s="1028">
        <v>30000</v>
      </c>
      <c r="H78" s="1146"/>
      <c r="I78" s="950">
        <f t="shared" si="0"/>
        <v>119.04761904761905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779</v>
      </c>
      <c r="D79" s="847"/>
      <c r="E79" s="1107"/>
      <c r="F79" s="1044"/>
      <c r="G79" s="1028">
        <v>34000</v>
      </c>
      <c r="H79" s="1146"/>
      <c r="I79" s="950">
        <f t="shared" si="0"/>
        <v>134.92063492063491</v>
      </c>
      <c r="J79" s="1015"/>
      <c r="K79" s="1147" t="s">
        <v>780</v>
      </c>
      <c r="L79" s="1067"/>
      <c r="M79" s="1014"/>
      <c r="N79" s="855"/>
      <c r="O79" s="855"/>
      <c r="P79" s="855" t="s">
        <v>781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782</v>
      </c>
      <c r="D80" s="841"/>
      <c r="E80" s="1098"/>
      <c r="F80" s="1099"/>
      <c r="G80" s="1100">
        <f>SUM(G67:G79)</f>
        <v>412604.15468749998</v>
      </c>
      <c r="H80" s="1101"/>
      <c r="I80" s="950">
        <f t="shared" si="0"/>
        <v>1637.318074156746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412604.15468749998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783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784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953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413</v>
      </c>
      <c r="D90" s="842"/>
      <c r="E90" s="847"/>
      <c r="F90" s="1044"/>
      <c r="G90" s="1110">
        <f>SUM(F91:F96)</f>
        <v>3975786</v>
      </c>
      <c r="H90" s="1111"/>
      <c r="I90" s="950">
        <f t="shared" si="3"/>
        <v>15776.928571428571</v>
      </c>
      <c r="J90" s="1094"/>
      <c r="K90" s="1125">
        <v>0</v>
      </c>
      <c r="L90" s="1045"/>
      <c r="M90" s="1014"/>
      <c r="N90" s="855"/>
      <c r="O90" s="855"/>
      <c r="P90" s="868" t="s">
        <v>785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3975786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786</v>
      </c>
      <c r="E91" s="1087"/>
      <c r="F91" s="1156">
        <v>51432</v>
      </c>
      <c r="G91" s="1110">
        <v>100000</v>
      </c>
      <c r="H91" s="1111"/>
      <c r="I91" s="950">
        <f t="shared" si="3"/>
        <v>396.82539682539681</v>
      </c>
      <c r="J91" s="1094"/>
      <c r="K91" s="1143" t="s">
        <v>787</v>
      </c>
      <c r="L91" s="1046"/>
      <c r="M91" s="1672">
        <f>'Permit Fee Breakdown'!F17</f>
        <v>7491</v>
      </c>
      <c r="N91" s="855"/>
      <c r="O91" s="855"/>
      <c r="P91" t="s">
        <v>788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789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790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535</v>
      </c>
      <c r="E94" s="847"/>
      <c r="F94" s="1158">
        <f>M94</f>
        <v>2970324</v>
      </c>
      <c r="G94" s="1110"/>
      <c r="H94" s="1111"/>
      <c r="I94" s="950">
        <f t="shared" si="3"/>
        <v>0</v>
      </c>
      <c r="J94" s="1094"/>
      <c r="K94" s="1143" t="s">
        <v>787</v>
      </c>
      <c r="L94" s="1046"/>
      <c r="M94" s="1672">
        <f>11787*F9</f>
        <v>2970324</v>
      </c>
      <c r="N94" s="855"/>
      <c r="O94" s="855"/>
      <c r="P94" s="1157" t="s">
        <v>788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791</v>
      </c>
      <c r="E95" s="1153">
        <v>2600</v>
      </c>
      <c r="F95" s="1160">
        <f>E95*F9</f>
        <v>655200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792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793</v>
      </c>
      <c r="D97" s="841"/>
      <c r="E97" s="1098"/>
      <c r="F97" s="1099"/>
      <c r="G97" s="1100">
        <f>SUM(G82:G96)</f>
        <v>4075786</v>
      </c>
      <c r="H97" s="1101"/>
      <c r="I97" s="950">
        <f t="shared" si="3"/>
        <v>16173.753968253968</v>
      </c>
      <c r="J97" s="1102"/>
      <c r="K97" s="1166">
        <f>I97/I250</f>
        <v>2.9962014098995328E-2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4075786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794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795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796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797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798</v>
      </c>
      <c r="L101" s="1045"/>
      <c r="M101" s="1014" t="s">
        <v>581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799</v>
      </c>
      <c r="D102" s="842"/>
      <c r="E102" s="847"/>
      <c r="F102" s="1044"/>
      <c r="G102" s="1110">
        <f>SUM(F103:F105)</f>
        <v>359220.4055422768</v>
      </c>
      <c r="H102" s="1111"/>
      <c r="I102" s="950">
        <f t="shared" si="3"/>
        <v>1425.4777997709398</v>
      </c>
      <c r="J102" s="1094"/>
      <c r="K102" s="1112"/>
      <c r="L102" s="1013"/>
      <c r="M102" s="1168" t="s">
        <v>800</v>
      </c>
      <c r="N102" s="1169" t="s">
        <v>801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359220.4055422768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796</v>
      </c>
      <c r="E103" s="1671">
        <v>0.05</v>
      </c>
      <c r="F103" s="1170">
        <f>E103*N103</f>
        <v>344220.4055422768</v>
      </c>
      <c r="G103" s="1110"/>
      <c r="H103" s="1111"/>
      <c r="I103" s="950">
        <f t="shared" si="3"/>
        <v>0</v>
      </c>
      <c r="J103" s="1094"/>
      <c r="K103" s="1112" t="s">
        <v>802</v>
      </c>
      <c r="L103" s="1013"/>
      <c r="M103" s="1171">
        <f>(0.7*G234)+(0.9*(SUM(G97,G59,)+(0.5*G120)))</f>
        <v>6847074.2187361317</v>
      </c>
      <c r="N103" s="1172">
        <v>6884408.110845536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803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804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805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796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802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803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804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806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796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803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804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807</v>
      </c>
      <c r="D114" s="841"/>
      <c r="E114" s="1053"/>
      <c r="F114" s="1054"/>
      <c r="G114" s="1100">
        <f>SUM(G99:G110)</f>
        <v>359220.4055422768</v>
      </c>
      <c r="H114" s="1101"/>
      <c r="I114" s="950">
        <f t="shared" si="3"/>
        <v>1425.4777997709398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359220.4055422768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808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800</v>
      </c>
      <c r="N115" s="1169" t="s">
        <v>801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108</v>
      </c>
      <c r="D116" s="888"/>
      <c r="E116" s="1174"/>
      <c r="F116" s="1175"/>
      <c r="G116" s="1176">
        <f>N116</f>
        <v>6284980.9180242447</v>
      </c>
      <c r="H116" s="1177"/>
      <c r="I116" s="950">
        <f t="shared" si="3"/>
        <v>24940.400468350177</v>
      </c>
      <c r="J116" s="1178"/>
      <c r="K116" s="1179" t="s">
        <v>809</v>
      </c>
      <c r="L116" s="1073"/>
      <c r="M116" s="1180">
        <f>0.5*Data!C20*Data!C17/12*Data!C19</f>
        <v>6284980.9180242447</v>
      </c>
      <c r="N116" s="1181">
        <v>6284980.9180242447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6284980.9180242447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810</v>
      </c>
      <c r="D117" s="842"/>
      <c r="E117" s="1107"/>
      <c r="F117" s="1044"/>
      <c r="G117" s="1183">
        <f>N117</f>
        <v>891486.65503889997</v>
      </c>
      <c r="H117" s="1094"/>
      <c r="I117" s="950">
        <f t="shared" si="3"/>
        <v>3537.6454565035715</v>
      </c>
      <c r="J117" s="1015"/>
      <c r="K117" s="1184" t="s">
        <v>811</v>
      </c>
      <c r="L117" s="1185"/>
      <c r="M117" s="1186">
        <f>0.01*Data!C20</f>
        <v>891486.65503889997</v>
      </c>
      <c r="N117" s="1172">
        <v>891486.65503889997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891486.65503889997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812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813</v>
      </c>
      <c r="L118" s="1013"/>
      <c r="M118" s="1186">
        <v>0</v>
      </c>
      <c r="N118" s="1172">
        <v>0</v>
      </c>
      <c r="O118" s="1173"/>
      <c r="P118" s="1187" t="s">
        <v>814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815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816</v>
      </c>
      <c r="D120" s="842"/>
      <c r="E120" s="1190">
        <f>'Tax Calc'!E3</f>
        <v>1.199398E-2</v>
      </c>
      <c r="F120"/>
      <c r="G120" s="1038">
        <f>'Tax Calc'!C15</f>
        <v>491153.48100000003</v>
      </c>
      <c r="H120" s="1039"/>
      <c r="I120" s="950">
        <f t="shared" si="3"/>
        <v>1949.0217500000001</v>
      </c>
      <c r="J120" s="1015"/>
      <c r="K120" s="1112" t="s">
        <v>972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491153.48100000003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407</v>
      </c>
      <c r="D121" s="842"/>
      <c r="E121" s="1050"/>
      <c r="F121" s="1044"/>
      <c r="G121" s="1116">
        <f>SUM(F122:F124)</f>
        <v>1210483.6207292813</v>
      </c>
      <c r="H121" s="1117"/>
      <c r="I121" s="950">
        <f t="shared" si="3"/>
        <v>4803.5064314654019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1210483.6207292813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817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818</v>
      </c>
      <c r="E123" s="1193"/>
      <c r="F123" s="1194">
        <f>'Insurance Estimator'!E19*1.35</f>
        <v>1210483.6207292813</v>
      </c>
      <c r="G123" s="1110"/>
      <c r="H123" s="1111"/>
      <c r="I123" s="950">
        <f t="shared" si="3"/>
        <v>0</v>
      </c>
      <c r="J123" s="1094"/>
      <c r="K123" s="1195" t="s">
        <v>819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820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819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821</v>
      </c>
      <c r="D125" s="842"/>
      <c r="E125" s="1107"/>
      <c r="F125" s="1044"/>
      <c r="G125" s="1110">
        <f>SUM(F126:F127)</f>
        <v>143722.998255835</v>
      </c>
      <c r="H125" s="1111"/>
      <c r="I125" s="950">
        <f t="shared" si="3"/>
        <v>570.32935815807537</v>
      </c>
      <c r="J125" s="1094"/>
      <c r="K125" s="1112"/>
      <c r="L125" s="1013"/>
      <c r="M125" s="1168" t="s">
        <v>800</v>
      </c>
      <c r="N125" s="1169" t="s">
        <v>801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143722.998255835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822</v>
      </c>
      <c r="E126" s="1196">
        <v>1.5E-3</v>
      </c>
      <c r="F126" s="1044">
        <f>N126</f>
        <v>133722.998255835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133722.998255835</v>
      </c>
      <c r="N126" s="1172">
        <v>133722.998255835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823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824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61.111111111111114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825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826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827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828</v>
      </c>
      <c r="D132" s="888"/>
      <c r="E132" s="1200" t="s">
        <v>829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830</v>
      </c>
      <c r="L132" s="1205"/>
      <c r="M132" s="1168"/>
      <c r="N132" s="1169" t="s">
        <v>801</v>
      </c>
      <c r="O132" s="1169"/>
      <c r="P132"/>
      <c r="Q132" s="1206"/>
      <c r="R132" s="855"/>
      <c r="S132" s="855"/>
      <c r="T132" s="855"/>
      <c r="U132" s="1121"/>
      <c r="V132" s="1019"/>
      <c r="W132"/>
      <c r="X132" s="984"/>
      <c r="Y132" s="984"/>
      <c r="Z132" s="984"/>
      <c r="AA132"/>
      <c r="AB132" s="984"/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831</v>
      </c>
      <c r="L133" s="1211"/>
      <c r="M133" s="1212"/>
      <c r="N133" s="1213">
        <v>0</v>
      </c>
      <c r="O133" s="1182"/>
      <c r="P133" s="1214"/>
      <c r="Q133" s="1215"/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832</v>
      </c>
      <c r="L134" s="1219"/>
      <c r="M134" s="1220"/>
      <c r="N134" s="1221">
        <v>0</v>
      </c>
      <c r="O134" s="1222"/>
      <c r="P134" s="1223"/>
      <c r="Q134" s="1224"/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833</v>
      </c>
      <c r="L135" s="1219"/>
      <c r="M135" s="1168"/>
      <c r="N135" s="1221">
        <v>0</v>
      </c>
      <c r="O135" s="1169"/>
      <c r="P135" s="1188"/>
      <c r="Q135" s="1224"/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834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835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836</v>
      </c>
      <c r="L138" s="1219"/>
      <c r="M138" s="1231"/>
      <c r="N138" s="1232"/>
      <c r="O138" s="1231"/>
      <c r="P138" s="1222"/>
      <c r="Q138" s="1224"/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837</v>
      </c>
      <c r="L139" s="1219"/>
      <c r="M139" s="1231"/>
      <c r="N139" s="1232"/>
      <c r="O139" s="1231"/>
      <c r="P139" s="1222"/>
      <c r="Q139" s="1224"/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838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839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840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840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841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842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843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844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845</v>
      </c>
      <c r="D148" s="841"/>
      <c r="E148" s="1053"/>
      <c r="F148" s="1126"/>
      <c r="G148" s="1127">
        <f>SUM(G116:G147)</f>
        <v>9037227.6730482616</v>
      </c>
      <c r="H148" s="1128"/>
      <c r="I148" s="950">
        <f t="shared" si="6"/>
        <v>35862.014575588342</v>
      </c>
      <c r="J148" s="1242"/>
      <c r="K148" s="1129"/>
      <c r="L148" s="1130"/>
      <c r="M148" s="1131" t="s">
        <v>1022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/>
      <c r="Y148" s="1037"/>
      <c r="Z148" s="1037"/>
      <c r="AA148" s="1035"/>
      <c r="AB148" s="1037"/>
    </row>
    <row r="149" spans="2:28">
      <c r="B149" s="868"/>
      <c r="C149" s="841" t="s">
        <v>981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800</v>
      </c>
      <c r="N149" s="868" t="s">
        <v>948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846</v>
      </c>
      <c r="D151" s="842"/>
      <c r="E151" s="1087"/>
      <c r="F151" s="1044"/>
      <c r="G151" s="1110">
        <f>N151</f>
        <v>209777.13181641963</v>
      </c>
      <c r="H151" s="1093"/>
      <c r="I151" s="950">
        <f t="shared" ref="I151:I158" si="7">G151/$F$9</f>
        <v>832.44893577944299</v>
      </c>
      <c r="J151" s="1094"/>
      <c r="K151" s="1244" t="s">
        <v>847</v>
      </c>
      <c r="L151" s="1245"/>
      <c r="M151" s="1558">
        <f>Data!C31*Data!C30</f>
        <v>209777.13181641963</v>
      </c>
      <c r="N151" s="1345">
        <v>209777.13181641963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848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822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823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204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849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850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850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851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1021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950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800</v>
      </c>
      <c r="N160" s="868" t="s">
        <v>948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947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846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847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848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822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823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1041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204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800</v>
      </c>
      <c r="N166" s="868" t="s">
        <v>948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1073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8023379.8953500995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850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850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851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118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852</v>
      </c>
      <c r="D172" s="842"/>
      <c r="E172" s="1107"/>
      <c r="F172" s="1044"/>
      <c r="G172" s="1110">
        <v>60000</v>
      </c>
      <c r="H172" s="1111"/>
      <c r="I172" s="950">
        <f t="shared" si="6"/>
        <v>238.0952380952381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853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198.4126984126984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854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204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855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856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436.50793650793651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124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857</v>
      </c>
      <c r="D178" s="842"/>
      <c r="E178" s="1253">
        <v>3</v>
      </c>
      <c r="F178" s="1044"/>
      <c r="G178" s="1092">
        <f>E178*(-'Cash Flow'!E18/12)-'Cash Flow'!E22</f>
        <v>1834282.9525756852</v>
      </c>
      <c r="H178" s="1093"/>
      <c r="I178" s="950">
        <f t="shared" si="6"/>
        <v>7278.9006054590682</v>
      </c>
      <c r="J178" s="1094"/>
      <c r="K178" s="1125" t="s">
        <v>858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1834282.9525756852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859</v>
      </c>
      <c r="D179" s="888"/>
      <c r="E179" s="1174"/>
      <c r="F179" s="1254" t="s">
        <v>860</v>
      </c>
      <c r="G179" s="1202" t="b">
        <v>0</v>
      </c>
      <c r="H179" s="1203"/>
      <c r="I179" s="950">
        <f t="shared" si="6"/>
        <v>0</v>
      </c>
      <c r="J179" s="1177"/>
      <c r="K179" s="1179" t="s">
        <v>861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253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862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863</v>
      </c>
      <c r="D181" s="841"/>
      <c r="E181" s="1053"/>
      <c r="F181" s="1126"/>
      <c r="G181" s="1127">
        <f>SUM(G178:G180)</f>
        <v>1834282.9525756852</v>
      </c>
      <c r="H181" s="1128"/>
      <c r="I181" s="950">
        <f t="shared" si="6"/>
        <v>7278.9006054590682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1834282.9525756852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409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864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51.587301587301589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865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137</v>
      </c>
      <c r="D186" s="842"/>
      <c r="E186" s="1107"/>
      <c r="F186" s="1044"/>
      <c r="G186" s="1256">
        <v>12000</v>
      </c>
      <c r="H186" s="1257"/>
      <c r="I186" s="950">
        <f t="shared" si="6"/>
        <v>47.61904761904762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866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867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868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99.206349206349202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410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800</v>
      </c>
      <c r="N190" s="1169" t="s">
        <v>801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869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411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57.539682539682538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870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871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872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873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874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875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876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877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370.03968253968253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878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879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880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879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881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882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883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884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487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885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886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887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198.4126984126984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888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889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890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891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892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893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894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487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895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106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896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897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1115.0793650793651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224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415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898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148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899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900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901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902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903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904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905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906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907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908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909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910</v>
      </c>
      <c r="D233" s="842"/>
      <c r="E233" s="1277">
        <v>0.05</v>
      </c>
      <c r="F233" s="1088"/>
      <c r="G233" s="1110">
        <f>SUM(G190:G231,G189,G181,G176,G170,G148,G114,G97,G80)*E233</f>
        <v>814643.55929268617</v>
      </c>
      <c r="H233" s="1111"/>
      <c r="I233" s="950">
        <f t="shared" si="8"/>
        <v>3232.7125368757388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814643.55929268617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911</v>
      </c>
      <c r="D234" s="841"/>
      <c r="E234" s="1280"/>
      <c r="F234" s="1126"/>
      <c r="G234" s="1281">
        <f>SUM(G191:G233)</f>
        <v>1253393.5592926862</v>
      </c>
      <c r="H234" s="1282"/>
      <c r="I234" s="950">
        <f t="shared" si="8"/>
        <v>4973.7839654471672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1253393.5592926862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150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151</v>
      </c>
      <c r="D236" s="842"/>
      <c r="E236" s="1042"/>
      <c r="F236" s="1044"/>
      <c r="G236" s="1110">
        <v>2500000</v>
      </c>
      <c r="H236" s="1111"/>
      <c r="I236" s="950">
        <f t="shared" si="8"/>
        <v>9920.6349206349205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145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912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143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82.341269841269835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913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914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915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916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10002.976190476191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917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918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919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920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921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922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2.6455026455026451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923</v>
      </c>
      <c r="D248" s="847"/>
      <c r="E248" s="1288"/>
      <c r="F248" s="1088"/>
      <c r="G248" s="1256">
        <v>2000</v>
      </c>
      <c r="H248" s="1257"/>
      <c r="I248" s="950">
        <f t="shared" si="8"/>
        <v>7.9365079365079367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924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10.582010582010581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925</v>
      </c>
      <c r="D250" s="1294"/>
      <c r="E250" s="1295"/>
      <c r="F250" s="1296"/>
      <c r="G250" s="1297">
        <f>SUM(G249,G242,G234,G189,G181,G176,G170,G148,G80,G65,G59,G52,G47,G30:G43,G28,G114,G97)</f>
        <v>136031776.31962556</v>
      </c>
      <c r="H250" s="1298"/>
      <c r="I250" s="1299">
        <f>G250/F9</f>
        <v>539808.63618899032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1030</v>
      </c>
    </row>
    <row r="254" spans="2:28">
      <c r="G254" s="1528">
        <f>G250/'Construction Calculation'!C14</f>
        <v>641.32051142615956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12" zoomScale="70" zoomScaleNormal="70" workbookViewId="0">
      <selection activeCell="H36" sqref="H36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347" t="s">
        <v>10</v>
      </c>
      <c r="C4" s="1348">
        <f>'Rental Income'!D15</f>
        <v>252</v>
      </c>
      <c r="D4" s="507" t="s">
        <v>261</v>
      </c>
      <c r="E4" s="507"/>
      <c r="F4" s="507"/>
      <c r="G4" s="508"/>
    </row>
    <row r="5" spans="1:15">
      <c r="B5" s="1349" t="s">
        <v>11</v>
      </c>
      <c r="C5" s="700">
        <f>'Construction Calculation'!C19</f>
        <v>212112</v>
      </c>
      <c r="D5" t="s">
        <v>427</v>
      </c>
      <c r="G5" s="510"/>
    </row>
    <row r="6" spans="1:15">
      <c r="B6" s="1350" t="s">
        <v>12</v>
      </c>
      <c r="C6" s="700">
        <f>'Construction Calculation'!C14</f>
        <v>212112</v>
      </c>
      <c r="D6" t="s">
        <v>427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427</v>
      </c>
      <c r="G7" s="1351"/>
    </row>
    <row r="8" spans="1:15">
      <c r="B8" s="1350" t="s">
        <v>428</v>
      </c>
      <c r="C8" s="700">
        <f>'Construction Calculation'!C13</f>
        <v>35352</v>
      </c>
      <c r="D8" t="s">
        <v>427</v>
      </c>
      <c r="G8" s="510"/>
    </row>
    <row r="9" spans="1:15">
      <c r="B9" s="1350" t="s">
        <v>429</v>
      </c>
      <c r="C9" s="700">
        <f>'Construction Calculation'!C47</f>
        <v>126</v>
      </c>
      <c r="D9" t="s">
        <v>430</v>
      </c>
      <c r="G9" s="510"/>
    </row>
    <row r="10" spans="1:15" ht="16.5" thickBot="1">
      <c r="B10" s="511"/>
      <c r="C10" s="1352">
        <v>22630</v>
      </c>
      <c r="D10" s="512" t="s">
        <v>427</v>
      </c>
      <c r="E10" s="512"/>
      <c r="F10" s="512"/>
      <c r="G10" s="1353"/>
    </row>
    <row r="11" spans="1:15" ht="16.5" thickBot="1"/>
    <row r="12" spans="1:15">
      <c r="A12" s="1356" t="s">
        <v>431</v>
      </c>
      <c r="B12" s="1357"/>
      <c r="C12" s="1357"/>
      <c r="D12" s="1358"/>
      <c r="E12" s="58"/>
    </row>
    <row r="13" spans="1:15">
      <c r="A13" s="1359"/>
      <c r="B13" t="s">
        <v>432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433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434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435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443</v>
      </c>
      <c r="C18" s="55">
        <v>0.65</v>
      </c>
      <c r="D18" s="1360"/>
      <c r="M18" s="48"/>
    </row>
    <row r="19" spans="1:13">
      <c r="A19" s="1359"/>
      <c r="B19" t="s">
        <v>1085</v>
      </c>
      <c r="C19">
        <v>24</v>
      </c>
      <c r="D19" s="1360"/>
      <c r="K19" s="147"/>
      <c r="L19" s="147"/>
      <c r="M19" s="53"/>
    </row>
    <row r="20" spans="1:13">
      <c r="A20" s="1359"/>
      <c r="B20" t="s">
        <v>437</v>
      </c>
      <c r="C20" s="1355">
        <v>89148665.503889993</v>
      </c>
      <c r="D20" s="1375">
        <f>MIN(D22,GapCalc!D24)</f>
        <v>88420654.607756615</v>
      </c>
    </row>
    <row r="21" spans="1:13" ht="16.5" thickBot="1">
      <c r="A21" s="1359"/>
      <c r="B21" t="s">
        <v>109</v>
      </c>
      <c r="C21" s="482">
        <v>0.01</v>
      </c>
      <c r="D21" s="1360"/>
    </row>
    <row r="22" spans="1:13" ht="16.5" thickBot="1">
      <c r="A22" s="1359"/>
      <c r="C22" s="516" t="s">
        <v>1023</v>
      </c>
      <c r="D22" s="1391">
        <f>C18*'Development Budget'!G250</f>
        <v>88420654.607756615</v>
      </c>
      <c r="G22" s="147"/>
    </row>
    <row r="23" spans="1:13">
      <c r="A23" s="1430" t="s">
        <v>438</v>
      </c>
      <c r="B23" s="1370"/>
      <c r="C23" s="1370" t="s">
        <v>67</v>
      </c>
      <c r="D23" s="1370"/>
      <c r="E23" s="1390" t="s">
        <v>949</v>
      </c>
      <c r="F23" s="1382" t="s">
        <v>432</v>
      </c>
      <c r="G23" s="1534">
        <v>0.09</v>
      </c>
      <c r="H23" s="1383"/>
    </row>
    <row r="24" spans="1:13">
      <c r="A24" s="1371"/>
      <c r="B24" t="s">
        <v>432</v>
      </c>
      <c r="C24" s="1361">
        <v>6.0499999999999998E-2</v>
      </c>
      <c r="D24" s="1425">
        <f>PMT(C24/12,C25*12,C30)*12</f>
        <v>-1456282.9525756785</v>
      </c>
      <c r="E24" s="1384"/>
      <c r="G24" s="1377"/>
      <c r="H24" s="1385"/>
      <c r="K24" s="1425"/>
    </row>
    <row r="25" spans="1:13">
      <c r="A25" s="1371"/>
      <c r="B25" t="s">
        <v>1086</v>
      </c>
      <c r="C25">
        <v>34</v>
      </c>
      <c r="E25" s="1384"/>
      <c r="G25" s="1377"/>
      <c r="H25" s="1385"/>
    </row>
    <row r="26" spans="1:13" ht="16.5" thickBot="1">
      <c r="A26" s="1371"/>
      <c r="B26" t="s">
        <v>439</v>
      </c>
      <c r="C26">
        <v>1.2</v>
      </c>
      <c r="E26" s="1384"/>
      <c r="G26" s="1378"/>
      <c r="H26" s="1385"/>
    </row>
    <row r="27" spans="1:13" ht="16.5" thickTop="1">
      <c r="A27" s="1371"/>
      <c r="B27" t="s">
        <v>440</v>
      </c>
      <c r="C27" s="51">
        <f>'Cash Flow'!E21/Data!C26</f>
        <v>1456282.9525756852</v>
      </c>
      <c r="D27" s="40" t="s">
        <v>443</v>
      </c>
      <c r="E27" s="1384"/>
      <c r="G27" s="1379"/>
      <c r="H27" s="1385"/>
    </row>
    <row r="28" spans="1:13">
      <c r="A28" s="1371"/>
      <c r="B28" t="s">
        <v>441</v>
      </c>
      <c r="C28" s="482">
        <v>0.6</v>
      </c>
      <c r="D28" s="1517">
        <f>'Cash Flow'!E15/0.05*C28</f>
        <v>40121251.199999996</v>
      </c>
      <c r="E28" s="1384"/>
      <c r="F28" t="s">
        <v>1031</v>
      </c>
      <c r="G28" s="1380"/>
      <c r="H28" s="55">
        <v>1</v>
      </c>
    </row>
    <row r="29" spans="1:13">
      <c r="A29" s="1371"/>
      <c r="B29" t="s">
        <v>442</v>
      </c>
      <c r="C29">
        <v>34</v>
      </c>
      <c r="E29" s="1384"/>
      <c r="F29" t="s">
        <v>436</v>
      </c>
      <c r="G29" s="1380">
        <v>15</v>
      </c>
      <c r="H29" s="1385"/>
    </row>
    <row r="30" spans="1:13">
      <c r="A30" s="1371"/>
      <c r="B30" t="s">
        <v>437</v>
      </c>
      <c r="C30" s="1432">
        <v>20977713.181641962</v>
      </c>
      <c r="D30" s="1376">
        <f>-PV($C$24/12,$C$29*12,C27/12)</f>
        <v>20977713.181641962</v>
      </c>
      <c r="E30" s="1384"/>
      <c r="F30" t="s">
        <v>437</v>
      </c>
      <c r="G30" s="1381"/>
      <c r="H30" s="1376">
        <f>PV(G23,G29,-'Cash Flow'!E41*H28,)</f>
        <v>2347728.6292841607</v>
      </c>
    </row>
    <row r="31" spans="1:13" ht="16.5" thickBot="1">
      <c r="A31" s="1372"/>
      <c r="B31" s="1373" t="s">
        <v>109</v>
      </c>
      <c r="C31" s="1374">
        <v>0.01</v>
      </c>
      <c r="D31" s="1373"/>
      <c r="E31" s="1386"/>
      <c r="F31" s="1387" t="s">
        <v>109</v>
      </c>
      <c r="G31" s="1388">
        <v>0.01</v>
      </c>
      <c r="H31" s="1389"/>
    </row>
    <row r="32" spans="1:13">
      <c r="A32" s="1369" t="s">
        <v>1020</v>
      </c>
      <c r="E32" s="1363"/>
      <c r="G32" s="53"/>
    </row>
    <row r="33" spans="1:10">
      <c r="A33" s="1362"/>
      <c r="B33" t="s">
        <v>432</v>
      </c>
      <c r="C33" s="1361">
        <v>4.4999999999999998E-2</v>
      </c>
      <c r="E33" s="1363"/>
      <c r="I33" s="54"/>
    </row>
    <row r="34" spans="1:10">
      <c r="A34" s="1362"/>
      <c r="B34" t="s">
        <v>1086</v>
      </c>
      <c r="C34">
        <v>30</v>
      </c>
      <c r="E34" s="1364">
        <f>Data!M19</f>
        <v>0</v>
      </c>
      <c r="I34" s="318"/>
    </row>
    <row r="35" spans="1:10">
      <c r="A35" s="1362"/>
      <c r="B35" t="s">
        <v>439</v>
      </c>
      <c r="C35">
        <v>1.2</v>
      </c>
      <c r="E35" s="1363"/>
      <c r="I35" s="54"/>
    </row>
    <row r="36" spans="1:10">
      <c r="A36" s="1362"/>
      <c r="B36" t="s">
        <v>440</v>
      </c>
      <c r="C36" s="51">
        <f>'Cash Flow'!E21/Data!C35</f>
        <v>1456282.9525756852</v>
      </c>
      <c r="E36" s="1365">
        <f>-PV($C$33,$C$34,E34)</f>
        <v>0</v>
      </c>
      <c r="I36" s="1354"/>
    </row>
    <row r="37" spans="1:10" ht="16.5" thickBot="1">
      <c r="A37" s="1362"/>
      <c r="B37" t="s">
        <v>441</v>
      </c>
      <c r="C37" s="482">
        <v>0.8</v>
      </c>
      <c r="E37" s="1363"/>
    </row>
    <row r="38" spans="1:10" ht="16.5" thickBot="1">
      <c r="A38" s="1362"/>
      <c r="B38" t="s">
        <v>437</v>
      </c>
      <c r="C38" s="1432">
        <v>0</v>
      </c>
      <c r="D38" s="516" t="s">
        <v>1023</v>
      </c>
      <c r="E38" s="1391">
        <f>C37*GapCalc!D24</f>
        <v>108825421.05570045</v>
      </c>
    </row>
    <row r="39" spans="1:10">
      <c r="A39" s="1362"/>
      <c r="B39" t="s">
        <v>109</v>
      </c>
      <c r="C39" s="54">
        <f>C21</f>
        <v>0.01</v>
      </c>
      <c r="D39" t="s">
        <v>1037</v>
      </c>
      <c r="E39" s="1376">
        <f>PV($C$33/12,$C$34*12,-C36/12)</f>
        <v>23951140.947098467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51</v>
      </c>
      <c r="D43" t="s">
        <v>77</v>
      </c>
      <c r="E43" t="s">
        <v>78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66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3513828</v>
      </c>
      <c r="F12" s="89">
        <f>E12*(1+$D$12)</f>
        <v>3601673.6999999997</v>
      </c>
      <c r="G12" s="89">
        <f t="shared" ref="G12:AH12" si="0">F12*(1+$D$12)</f>
        <v>3691715.5424999995</v>
      </c>
      <c r="H12" s="89">
        <f t="shared" si="0"/>
        <v>3784008.4310624991</v>
      </c>
      <c r="I12" s="89">
        <f t="shared" si="0"/>
        <v>3878608.6418390614</v>
      </c>
      <c r="J12" s="89">
        <f t="shared" si="0"/>
        <v>3975573.8578850375</v>
      </c>
      <c r="K12" s="89">
        <f t="shared" si="0"/>
        <v>4074963.2043321631</v>
      </c>
      <c r="L12" s="89">
        <f t="shared" si="0"/>
        <v>4176837.2844404667</v>
      </c>
      <c r="M12" s="89">
        <f t="shared" si="0"/>
        <v>4281258.216551478</v>
      </c>
      <c r="N12" s="89">
        <f t="shared" si="0"/>
        <v>4388289.6719652647</v>
      </c>
      <c r="O12" s="89">
        <f t="shared" si="0"/>
        <v>4497996.9137643958</v>
      </c>
      <c r="P12" s="89">
        <f t="shared" si="0"/>
        <v>4610446.8366085049</v>
      </c>
      <c r="Q12" s="89">
        <f t="shared" si="0"/>
        <v>4725708.0075237174</v>
      </c>
      <c r="R12" s="89">
        <f t="shared" si="0"/>
        <v>4843850.7077118102</v>
      </c>
      <c r="S12" s="90">
        <f t="shared" si="0"/>
        <v>4964946.9754046053</v>
      </c>
      <c r="T12" s="89">
        <f t="shared" si="0"/>
        <v>5089070.6497897198</v>
      </c>
      <c r="U12" s="89">
        <f t="shared" si="0"/>
        <v>5216297.4160344619</v>
      </c>
      <c r="V12" s="89">
        <f t="shared" si="0"/>
        <v>5346704.8514353232</v>
      </c>
      <c r="W12" s="89">
        <f t="shared" si="0"/>
        <v>5480372.472721206</v>
      </c>
      <c r="X12" s="89">
        <f t="shared" si="0"/>
        <v>5617381.7845392358</v>
      </c>
      <c r="Y12" s="89">
        <f t="shared" si="0"/>
        <v>5757816.3291527163</v>
      </c>
      <c r="Z12" s="89">
        <f t="shared" si="0"/>
        <v>5901761.7373815337</v>
      </c>
      <c r="AA12" s="89">
        <f t="shared" si="0"/>
        <v>6049305.7808160717</v>
      </c>
      <c r="AB12" s="89">
        <f t="shared" si="0"/>
        <v>6200538.4253364727</v>
      </c>
      <c r="AC12" s="89">
        <f t="shared" si="0"/>
        <v>6355551.8859698838</v>
      </c>
      <c r="AD12" s="89">
        <f t="shared" si="0"/>
        <v>6514440.6831191303</v>
      </c>
      <c r="AE12" s="89">
        <f t="shared" si="0"/>
        <v>6677301.7001971081</v>
      </c>
      <c r="AF12" s="89">
        <f t="shared" si="0"/>
        <v>6844234.2427020352</v>
      </c>
      <c r="AG12" s="89">
        <f t="shared" si="0"/>
        <v>7015340.0987695856</v>
      </c>
      <c r="AH12" s="89">
        <f t="shared" si="0"/>
        <v>7190723.6012388244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-175970.40000000002</v>
      </c>
      <c r="F14" s="100">
        <f t="shared" ref="F14:AH14" si="2">-((F12+F13)*$C$14)</f>
        <v>-180369.66</v>
      </c>
      <c r="G14" s="100">
        <f t="shared" si="2"/>
        <v>-184878.90149999998</v>
      </c>
      <c r="H14" s="100">
        <f t="shared" si="2"/>
        <v>-189500.87403749998</v>
      </c>
      <c r="I14" s="100">
        <f t="shared" si="2"/>
        <v>-194238.39588843746</v>
      </c>
      <c r="J14" s="100">
        <f t="shared" si="2"/>
        <v>-199094.35578564837</v>
      </c>
      <c r="K14" s="100">
        <f t="shared" si="2"/>
        <v>-204071.71468028956</v>
      </c>
      <c r="L14" s="100">
        <f t="shared" si="2"/>
        <v>-209173.50754729679</v>
      </c>
      <c r="M14" s="100">
        <f t="shared" si="2"/>
        <v>-214402.84523597918</v>
      </c>
      <c r="N14" s="100">
        <f t="shared" si="2"/>
        <v>-219762.91636687864</v>
      </c>
      <c r="O14" s="100">
        <f t="shared" si="2"/>
        <v>-225256.98927605059</v>
      </c>
      <c r="P14" s="100">
        <f t="shared" si="2"/>
        <v>-230888.4140079518</v>
      </c>
      <c r="Q14" s="100">
        <f t="shared" si="2"/>
        <v>-236660.62435815061</v>
      </c>
      <c r="R14" s="100">
        <f t="shared" si="2"/>
        <v>-242577.13996710433</v>
      </c>
      <c r="S14" s="101">
        <f t="shared" si="2"/>
        <v>-248641.56846628195</v>
      </c>
      <c r="T14" s="100">
        <f t="shared" si="2"/>
        <v>-254857.607677939</v>
      </c>
      <c r="U14" s="100">
        <f t="shared" si="2"/>
        <v>-261229.04786988741</v>
      </c>
      <c r="V14" s="100">
        <f t="shared" si="2"/>
        <v>-267759.77406663459</v>
      </c>
      <c r="W14" s="100">
        <f t="shared" si="2"/>
        <v>-274453.76841830043</v>
      </c>
      <c r="X14" s="100">
        <f t="shared" si="2"/>
        <v>-281315.1126287579</v>
      </c>
      <c r="Y14" s="100">
        <f t="shared" si="2"/>
        <v>-288347.99044447689</v>
      </c>
      <c r="Z14" s="100">
        <f t="shared" si="2"/>
        <v>-295556.69020558876</v>
      </c>
      <c r="AA14" s="100">
        <f t="shared" si="2"/>
        <v>-302945.60746072844</v>
      </c>
      <c r="AB14" s="100">
        <f t="shared" si="2"/>
        <v>-310519.24764724664</v>
      </c>
      <c r="AC14" s="100">
        <f t="shared" si="2"/>
        <v>-318282.22883842775</v>
      </c>
      <c r="AD14" s="100">
        <f t="shared" si="2"/>
        <v>-326239.28455938841</v>
      </c>
      <c r="AE14" s="100">
        <f t="shared" si="2"/>
        <v>-334395.26667337306</v>
      </c>
      <c r="AF14" s="100">
        <f t="shared" si="2"/>
        <v>-342755.14834020741</v>
      </c>
      <c r="AG14" s="100">
        <f t="shared" si="2"/>
        <v>-351324.0270487126</v>
      </c>
      <c r="AH14" s="100">
        <f t="shared" si="2"/>
        <v>-360107.12772493035</v>
      </c>
    </row>
    <row r="15" spans="1:34">
      <c r="A15" s="76"/>
      <c r="B15" s="102" t="s">
        <v>311</v>
      </c>
      <c r="C15" s="76"/>
      <c r="D15" s="76"/>
      <c r="E15" s="95">
        <f>SUM(E12:E14)</f>
        <v>3343437.6</v>
      </c>
      <c r="F15" s="95">
        <f t="shared" ref="F15:AH15" si="3">SUM(F12:F14)</f>
        <v>3427023.5399999996</v>
      </c>
      <c r="G15" s="103">
        <f t="shared" si="3"/>
        <v>3512699.1284999992</v>
      </c>
      <c r="H15" s="104">
        <f t="shared" si="3"/>
        <v>3600516.6067124992</v>
      </c>
      <c r="I15" s="104">
        <f t="shared" si="3"/>
        <v>3690529.5218803114</v>
      </c>
      <c r="J15" s="95">
        <f t="shared" si="3"/>
        <v>3782792.7599273189</v>
      </c>
      <c r="K15" s="103">
        <f t="shared" si="3"/>
        <v>3877362.5789255016</v>
      </c>
      <c r="L15" s="95">
        <f t="shared" si="3"/>
        <v>3974296.6433986388</v>
      </c>
      <c r="M15" s="95">
        <f t="shared" si="3"/>
        <v>4073654.0594836045</v>
      </c>
      <c r="N15" s="95">
        <f t="shared" si="3"/>
        <v>4175495.4109706939</v>
      </c>
      <c r="O15" s="95">
        <f t="shared" si="3"/>
        <v>4279882.7962449612</v>
      </c>
      <c r="P15" s="95">
        <f t="shared" si="3"/>
        <v>4386879.8661510842</v>
      </c>
      <c r="Q15" s="95">
        <f t="shared" si="3"/>
        <v>4496551.8628048617</v>
      </c>
      <c r="R15" s="95">
        <f t="shared" si="3"/>
        <v>4608965.6593749821</v>
      </c>
      <c r="S15" s="96">
        <f t="shared" si="3"/>
        <v>4724189.8008593572</v>
      </c>
      <c r="T15" s="95">
        <f t="shared" si="3"/>
        <v>4842294.5458808402</v>
      </c>
      <c r="U15" s="95">
        <f t="shared" si="3"/>
        <v>4963351.9095278606</v>
      </c>
      <c r="V15" s="95">
        <f t="shared" si="3"/>
        <v>5087435.7072660569</v>
      </c>
      <c r="W15" s="95">
        <f t="shared" si="3"/>
        <v>5214621.5999477077</v>
      </c>
      <c r="X15" s="95">
        <f t="shared" si="3"/>
        <v>5344987.1399464002</v>
      </c>
      <c r="Y15" s="95">
        <f t="shared" si="3"/>
        <v>5478611.8184450604</v>
      </c>
      <c r="Z15" s="95">
        <f t="shared" si="3"/>
        <v>5615577.1139061861</v>
      </c>
      <c r="AA15" s="95">
        <f t="shared" si="3"/>
        <v>5755966.5417538397</v>
      </c>
      <c r="AB15" s="95">
        <f t="shared" si="3"/>
        <v>5899865.7052976862</v>
      </c>
      <c r="AC15" s="95">
        <f t="shared" si="3"/>
        <v>6047362.3479301268</v>
      </c>
      <c r="AD15" s="95">
        <f t="shared" si="3"/>
        <v>6198546.4066283796</v>
      </c>
      <c r="AE15" s="95">
        <f t="shared" si="3"/>
        <v>6353510.0667940881</v>
      </c>
      <c r="AF15" s="95">
        <f t="shared" si="3"/>
        <v>6512347.8184639402</v>
      </c>
      <c r="AG15" s="95">
        <f t="shared" si="3"/>
        <v>6675156.5139255384</v>
      </c>
      <c r="AH15" s="95">
        <f t="shared" si="3"/>
        <v>6842035.4267736757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338">
        <v>6000</v>
      </c>
      <c r="D18" s="88">
        <v>3.5000000000000003E-2</v>
      </c>
      <c r="E18" s="95">
        <f>-C18*'Rental Income'!D15</f>
        <v>-1512000</v>
      </c>
      <c r="F18" s="89">
        <f>E18*(1+$D$18)</f>
        <v>-1564919.9999999998</v>
      </c>
      <c r="G18" s="94">
        <f t="shared" ref="G18:AH18" si="5">F18*(1+$D$18)</f>
        <v>-1619692.1999999997</v>
      </c>
      <c r="H18" s="106">
        <f t="shared" si="5"/>
        <v>-1676381.4269999997</v>
      </c>
      <c r="I18" s="106">
        <f t="shared" si="5"/>
        <v>-1735054.7769449996</v>
      </c>
      <c r="J18" s="89">
        <f t="shared" si="5"/>
        <v>-1795781.6941380745</v>
      </c>
      <c r="K18" s="94">
        <f t="shared" si="5"/>
        <v>-1858634.053432907</v>
      </c>
      <c r="L18" s="89">
        <f t="shared" si="5"/>
        <v>-1923686.2453030585</v>
      </c>
      <c r="M18" s="89">
        <f t="shared" si="5"/>
        <v>-1991015.2638886655</v>
      </c>
      <c r="N18" s="89">
        <f t="shared" si="5"/>
        <v>-2060700.7981247685</v>
      </c>
      <c r="O18" s="89">
        <f t="shared" si="5"/>
        <v>-2132825.3260591351</v>
      </c>
      <c r="P18" s="89">
        <f t="shared" si="5"/>
        <v>-2207474.2124712048</v>
      </c>
      <c r="Q18" s="89">
        <f t="shared" si="5"/>
        <v>-2284735.8099076967</v>
      </c>
      <c r="R18" s="89">
        <f t="shared" si="5"/>
        <v>-2364701.5632544658</v>
      </c>
      <c r="S18" s="90">
        <f t="shared" si="5"/>
        <v>-2447466.1179683721</v>
      </c>
      <c r="T18" s="89">
        <f t="shared" si="5"/>
        <v>-2533127.432097265</v>
      </c>
      <c r="U18" s="89">
        <f t="shared" si="5"/>
        <v>-2621786.892220669</v>
      </c>
      <c r="V18" s="89">
        <f t="shared" si="5"/>
        <v>-2713549.433448392</v>
      </c>
      <c r="W18" s="89">
        <f t="shared" si="5"/>
        <v>-2808523.6636190857</v>
      </c>
      <c r="X18" s="89">
        <f t="shared" si="5"/>
        <v>-2906821.9918457535</v>
      </c>
      <c r="Y18" s="89">
        <f t="shared" si="5"/>
        <v>-3008560.7615603548</v>
      </c>
      <c r="Z18" s="89">
        <f t="shared" si="5"/>
        <v>-3113860.3882149672</v>
      </c>
      <c r="AA18" s="89">
        <f t="shared" si="5"/>
        <v>-3222845.501802491</v>
      </c>
      <c r="AB18" s="89">
        <f t="shared" si="5"/>
        <v>-3335645.0943655781</v>
      </c>
      <c r="AC18" s="89">
        <f t="shared" si="5"/>
        <v>-3452392.6726683732</v>
      </c>
      <c r="AD18" s="89">
        <f t="shared" si="5"/>
        <v>-3573226.4162117662</v>
      </c>
      <c r="AE18" s="89">
        <f t="shared" si="5"/>
        <v>-3698289.3407791778</v>
      </c>
      <c r="AF18" s="89">
        <f t="shared" si="5"/>
        <v>-3827729.4677064489</v>
      </c>
      <c r="AG18" s="89">
        <f t="shared" si="5"/>
        <v>-3961699.9990761741</v>
      </c>
      <c r="AH18" s="89">
        <f t="shared" si="5"/>
        <v>-4100359.49904384</v>
      </c>
    </row>
    <row r="19" spans="1:34">
      <c r="A19" s="86"/>
      <c r="B19" s="87" t="s">
        <v>314</v>
      </c>
      <c r="C19" s="1713" t="s">
        <v>1084</v>
      </c>
      <c r="D19" s="88">
        <v>1.2500000000000001E-2</v>
      </c>
      <c r="E19" s="95">
        <f>IF(C19="Abatement", 0, -'Tax Calc'!B10)</f>
        <v>-8298.056909177827</v>
      </c>
      <c r="F19" s="89">
        <f>E19*(1+$D$19)</f>
        <v>-8401.7826205425499</v>
      </c>
      <c r="G19" s="89">
        <f t="shared" ref="G19:AH19" si="6">F19*(1+$D$19)</f>
        <v>-8506.8049032993313</v>
      </c>
      <c r="H19" s="89">
        <f t="shared" si="6"/>
        <v>-8613.1399645905731</v>
      </c>
      <c r="I19" s="89">
        <f t="shared" si="6"/>
        <v>-8720.8042141479546</v>
      </c>
      <c r="J19" s="89">
        <f t="shared" si="6"/>
        <v>-8829.8142668248038</v>
      </c>
      <c r="K19" s="89">
        <f t="shared" si="6"/>
        <v>-8940.1869451601142</v>
      </c>
      <c r="L19" s="89">
        <f t="shared" si="6"/>
        <v>-9051.9392819746154</v>
      </c>
      <c r="M19" s="89">
        <f t="shared" si="6"/>
        <v>-9165.0885229992982</v>
      </c>
      <c r="N19" s="89">
        <f t="shared" si="6"/>
        <v>-9279.6521295367893</v>
      </c>
      <c r="O19" s="89">
        <f t="shared" si="6"/>
        <v>-9395.647781155998</v>
      </c>
      <c r="P19" s="89">
        <f t="shared" si="6"/>
        <v>-9513.0933784204481</v>
      </c>
      <c r="Q19" s="89">
        <f t="shared" si="6"/>
        <v>-9632.0070456507037</v>
      </c>
      <c r="R19" s="89">
        <f t="shared" si="6"/>
        <v>-9752.4071337213372</v>
      </c>
      <c r="S19" s="90">
        <f t="shared" si="6"/>
        <v>-9874.3122228928532</v>
      </c>
      <c r="T19" s="89">
        <f t="shared" si="6"/>
        <v>-9997.7411256790128</v>
      </c>
      <c r="U19" s="89">
        <f t="shared" si="6"/>
        <v>-10122.712889750001</v>
      </c>
      <c r="V19" s="89">
        <f t="shared" si="6"/>
        <v>-10249.246800871875</v>
      </c>
      <c r="W19" s="89">
        <f t="shared" si="6"/>
        <v>-10377.362385882772</v>
      </c>
      <c r="X19" s="89">
        <f t="shared" si="6"/>
        <v>-10507.079415706306</v>
      </c>
      <c r="Y19" s="89">
        <f t="shared" si="6"/>
        <v>-10638.417908402635</v>
      </c>
      <c r="Z19" s="89">
        <f t="shared" si="6"/>
        <v>-10771.398132257667</v>
      </c>
      <c r="AA19" s="89">
        <f t="shared" si="6"/>
        <v>-10906.040608910887</v>
      </c>
      <c r="AB19" s="89">
        <f t="shared" si="6"/>
        <v>-11042.366116522273</v>
      </c>
      <c r="AC19" s="89">
        <f t="shared" si="6"/>
        <v>-11180.3956929788</v>
      </c>
      <c r="AD19" s="89">
        <f t="shared" si="6"/>
        <v>-11320.150639141035</v>
      </c>
      <c r="AE19" s="89">
        <f t="shared" si="6"/>
        <v>-11461.652522130298</v>
      </c>
      <c r="AF19" s="89">
        <f t="shared" si="6"/>
        <v>-11604.923178656927</v>
      </c>
      <c r="AG19" s="89">
        <f t="shared" si="6"/>
        <v>-11749.984718390138</v>
      </c>
      <c r="AH19" s="89">
        <f t="shared" si="6"/>
        <v>-11896.859527370014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-75600</v>
      </c>
      <c r="F20" s="108">
        <f>+E20</f>
        <v>-75600</v>
      </c>
      <c r="G20" s="108">
        <f>F20</f>
        <v>-75600</v>
      </c>
      <c r="H20" s="108">
        <f>G20</f>
        <v>-75600</v>
      </c>
      <c r="I20" s="108">
        <f>H20</f>
        <v>-75600</v>
      </c>
      <c r="J20" s="108">
        <f t="shared" ref="J20:AH20" si="7">I20</f>
        <v>-75600</v>
      </c>
      <c r="K20" s="108">
        <f t="shared" si="7"/>
        <v>-75600</v>
      </c>
      <c r="L20" s="108">
        <f t="shared" si="7"/>
        <v>-75600</v>
      </c>
      <c r="M20" s="108">
        <f t="shared" si="7"/>
        <v>-75600</v>
      </c>
      <c r="N20" s="108">
        <f t="shared" si="7"/>
        <v>-75600</v>
      </c>
      <c r="O20" s="108">
        <f>N20</f>
        <v>-75600</v>
      </c>
      <c r="P20" s="108">
        <f t="shared" si="7"/>
        <v>-75600</v>
      </c>
      <c r="Q20" s="108">
        <f t="shared" si="7"/>
        <v>-75600</v>
      </c>
      <c r="R20" s="108">
        <f t="shared" si="7"/>
        <v>-75600</v>
      </c>
      <c r="S20" s="109">
        <f t="shared" si="7"/>
        <v>-75600</v>
      </c>
      <c r="T20" s="108">
        <f t="shared" si="7"/>
        <v>-75600</v>
      </c>
      <c r="U20" s="108">
        <f t="shared" si="7"/>
        <v>-75600</v>
      </c>
      <c r="V20" s="108">
        <f t="shared" si="7"/>
        <v>-75600</v>
      </c>
      <c r="W20" s="108">
        <f t="shared" si="7"/>
        <v>-75600</v>
      </c>
      <c r="X20" s="108">
        <f t="shared" si="7"/>
        <v>-75600</v>
      </c>
      <c r="Y20" s="108">
        <f t="shared" si="7"/>
        <v>-75600</v>
      </c>
      <c r="Z20" s="108">
        <f t="shared" si="7"/>
        <v>-75600</v>
      </c>
      <c r="AA20" s="108">
        <f t="shared" si="7"/>
        <v>-75600</v>
      </c>
      <c r="AB20" s="108">
        <f t="shared" si="7"/>
        <v>-75600</v>
      </c>
      <c r="AC20" s="108">
        <f t="shared" si="7"/>
        <v>-75600</v>
      </c>
      <c r="AD20" s="108">
        <f t="shared" si="7"/>
        <v>-75600</v>
      </c>
      <c r="AE20" s="108">
        <f t="shared" si="7"/>
        <v>-75600</v>
      </c>
      <c r="AF20" s="108">
        <f t="shared" si="7"/>
        <v>-75600</v>
      </c>
      <c r="AG20" s="108">
        <f t="shared" si="7"/>
        <v>-75600</v>
      </c>
      <c r="AH20" s="108">
        <f t="shared" si="7"/>
        <v>-75600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1747539.5430908222</v>
      </c>
      <c r="F21" s="95">
        <f t="shared" si="8"/>
        <v>1778101.7573794574</v>
      </c>
      <c r="G21" s="95">
        <f t="shared" si="8"/>
        <v>1808900.1235967001</v>
      </c>
      <c r="H21" s="95">
        <f t="shared" si="8"/>
        <v>1839922.0397479089</v>
      </c>
      <c r="I21" s="95">
        <f t="shared" si="8"/>
        <v>1871153.940721164</v>
      </c>
      <c r="J21" s="95">
        <f t="shared" si="8"/>
        <v>1902581.2515224195</v>
      </c>
      <c r="K21" s="95">
        <f t="shared" si="8"/>
        <v>1934188.3385474344</v>
      </c>
      <c r="L21" s="95">
        <f t="shared" si="8"/>
        <v>1965958.4588136056</v>
      </c>
      <c r="M21" s="95">
        <f t="shared" si="8"/>
        <v>1997873.7070719397</v>
      </c>
      <c r="N21" s="95">
        <f t="shared" si="8"/>
        <v>2029914.9607163887</v>
      </c>
      <c r="O21" s="95">
        <f t="shared" si="8"/>
        <v>2062061.8224046701</v>
      </c>
      <c r="P21" s="95">
        <f t="shared" si="8"/>
        <v>2094292.5603014589</v>
      </c>
      <c r="Q21" s="95">
        <f t="shared" si="8"/>
        <v>2126584.0458515142</v>
      </c>
      <c r="R21" s="95">
        <f t="shared" si="8"/>
        <v>2158911.688986795</v>
      </c>
      <c r="S21" s="96">
        <f t="shared" si="8"/>
        <v>2191249.3706680923</v>
      </c>
      <c r="T21" s="95">
        <f t="shared" si="8"/>
        <v>2223569.372657896</v>
      </c>
      <c r="U21" s="95">
        <f t="shared" si="8"/>
        <v>2255842.3044174416</v>
      </c>
      <c r="V21" s="95">
        <f t="shared" si="8"/>
        <v>2288037.0270167929</v>
      </c>
      <c r="W21" s="95">
        <f t="shared" si="8"/>
        <v>2320120.5739427391</v>
      </c>
      <c r="X21" s="95">
        <f t="shared" si="8"/>
        <v>2352058.0686849402</v>
      </c>
      <c r="Y21" s="95">
        <f t="shared" si="8"/>
        <v>2383812.6389763029</v>
      </c>
      <c r="Z21" s="95">
        <f t="shared" si="8"/>
        <v>2415345.3275589612</v>
      </c>
      <c r="AA21" s="95">
        <f t="shared" si="8"/>
        <v>2446614.9993424378</v>
      </c>
      <c r="AB21" s="95">
        <f t="shared" si="8"/>
        <v>2477578.2448155857</v>
      </c>
      <c r="AC21" s="95">
        <f t="shared" si="8"/>
        <v>2508189.2795687746</v>
      </c>
      <c r="AD21" s="95">
        <f t="shared" si="8"/>
        <v>2538399.8397774724</v>
      </c>
      <c r="AE21" s="95">
        <f t="shared" si="8"/>
        <v>2568159.0734927799</v>
      </c>
      <c r="AF21" s="95">
        <f t="shared" si="8"/>
        <v>2597413.4275788344</v>
      </c>
      <c r="AG21" s="95">
        <f t="shared" si="8"/>
        <v>2626106.530130974</v>
      </c>
      <c r="AH21" s="95">
        <f t="shared" si="8"/>
        <v>2654179.0682024658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-1456282.9525756852</v>
      </c>
      <c r="F22" s="95">
        <f t="shared" ref="F22:AH22" si="9">$E$22</f>
        <v>-1456282.9525756852</v>
      </c>
      <c r="G22" s="95">
        <f t="shared" si="9"/>
        <v>-1456282.9525756852</v>
      </c>
      <c r="H22" s="95">
        <f t="shared" si="9"/>
        <v>-1456282.9525756852</v>
      </c>
      <c r="I22" s="95">
        <f t="shared" si="9"/>
        <v>-1456282.9525756852</v>
      </c>
      <c r="J22" s="95">
        <f t="shared" si="9"/>
        <v>-1456282.9525756852</v>
      </c>
      <c r="K22" s="95">
        <f t="shared" si="9"/>
        <v>-1456282.9525756852</v>
      </c>
      <c r="L22" s="95">
        <f t="shared" si="9"/>
        <v>-1456282.9525756852</v>
      </c>
      <c r="M22" s="95">
        <f t="shared" si="9"/>
        <v>-1456282.9525756852</v>
      </c>
      <c r="N22" s="95">
        <f t="shared" si="9"/>
        <v>-1456282.9525756852</v>
      </c>
      <c r="O22" s="95">
        <f t="shared" si="9"/>
        <v>-1456282.9525756852</v>
      </c>
      <c r="P22" s="95">
        <f t="shared" si="9"/>
        <v>-1456282.9525756852</v>
      </c>
      <c r="Q22" s="95">
        <f t="shared" si="9"/>
        <v>-1456282.9525756852</v>
      </c>
      <c r="R22" s="95">
        <f t="shared" si="9"/>
        <v>-1456282.9525756852</v>
      </c>
      <c r="S22" s="96">
        <f t="shared" si="9"/>
        <v>-1456282.9525756852</v>
      </c>
      <c r="T22" s="95">
        <f t="shared" si="9"/>
        <v>-1456282.9525756852</v>
      </c>
      <c r="U22" s="95">
        <f t="shared" si="9"/>
        <v>-1456282.9525756852</v>
      </c>
      <c r="V22" s="95">
        <f t="shared" si="9"/>
        <v>-1456282.9525756852</v>
      </c>
      <c r="W22" s="95">
        <f t="shared" si="9"/>
        <v>-1456282.9525756852</v>
      </c>
      <c r="X22" s="95">
        <f t="shared" si="9"/>
        <v>-1456282.9525756852</v>
      </c>
      <c r="Y22" s="95">
        <f t="shared" si="9"/>
        <v>-1456282.9525756852</v>
      </c>
      <c r="Z22" s="95">
        <f t="shared" si="9"/>
        <v>-1456282.9525756852</v>
      </c>
      <c r="AA22" s="95">
        <f t="shared" si="9"/>
        <v>-1456282.9525756852</v>
      </c>
      <c r="AB22" s="95">
        <f t="shared" si="9"/>
        <v>-1456282.9525756852</v>
      </c>
      <c r="AC22" s="95">
        <f t="shared" si="9"/>
        <v>-1456282.9525756852</v>
      </c>
      <c r="AD22" s="95">
        <f t="shared" si="9"/>
        <v>-1456282.9525756852</v>
      </c>
      <c r="AE22" s="95">
        <f t="shared" si="9"/>
        <v>-1456282.9525756852</v>
      </c>
      <c r="AF22" s="95">
        <f t="shared" si="9"/>
        <v>-1456282.9525756852</v>
      </c>
      <c r="AG22" s="95">
        <f t="shared" si="9"/>
        <v>-1456282.9525756852</v>
      </c>
      <c r="AH22" s="95">
        <f t="shared" si="9"/>
        <v>-1456282.9525756852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291256.59051513695</v>
      </c>
      <c r="F25" s="119">
        <f t="shared" ref="F25:AH25" si="11">+F21+F22+F23</f>
        <v>321818.80480377213</v>
      </c>
      <c r="G25" s="119">
        <f t="shared" si="11"/>
        <v>352617.17102101492</v>
      </c>
      <c r="H25" s="119">
        <f t="shared" si="11"/>
        <v>383639.08717222372</v>
      </c>
      <c r="I25" s="119">
        <f t="shared" si="11"/>
        <v>414870.98814547877</v>
      </c>
      <c r="J25" s="119">
        <f t="shared" si="11"/>
        <v>446298.29894673428</v>
      </c>
      <c r="K25" s="119">
        <f t="shared" si="11"/>
        <v>477905.3859717492</v>
      </c>
      <c r="L25" s="119">
        <f t="shared" si="11"/>
        <v>509675.50623792037</v>
      </c>
      <c r="M25" s="119">
        <f t="shared" si="11"/>
        <v>541590.75449625449</v>
      </c>
      <c r="N25" s="119">
        <f t="shared" si="11"/>
        <v>573632.00814070343</v>
      </c>
      <c r="O25" s="119">
        <f t="shared" si="11"/>
        <v>605778.86982898484</v>
      </c>
      <c r="P25" s="119">
        <f t="shared" si="11"/>
        <v>638009.60772577371</v>
      </c>
      <c r="Q25" s="119">
        <f t="shared" si="11"/>
        <v>670301.09327582899</v>
      </c>
      <c r="R25" s="119">
        <f t="shared" si="11"/>
        <v>702628.7364111098</v>
      </c>
      <c r="S25" s="160">
        <f t="shared" si="11"/>
        <v>734966.41809240705</v>
      </c>
      <c r="T25" s="119">
        <f t="shared" si="11"/>
        <v>767286.4200822108</v>
      </c>
      <c r="U25" s="119">
        <f t="shared" si="11"/>
        <v>799559.35184175638</v>
      </c>
      <c r="V25" s="119">
        <f t="shared" si="11"/>
        <v>831754.07444110769</v>
      </c>
      <c r="W25" s="119">
        <f t="shared" si="11"/>
        <v>863837.62136705383</v>
      </c>
      <c r="X25" s="119">
        <f t="shared" si="11"/>
        <v>895775.116109255</v>
      </c>
      <c r="Y25" s="119">
        <f t="shared" si="11"/>
        <v>927529.68640061771</v>
      </c>
      <c r="Z25" s="119">
        <f t="shared" si="11"/>
        <v>959062.37498327601</v>
      </c>
      <c r="AA25" s="119">
        <f t="shared" si="11"/>
        <v>990332.04676675261</v>
      </c>
      <c r="AB25" s="119">
        <f t="shared" si="11"/>
        <v>1021295.2922399004</v>
      </c>
      <c r="AC25" s="119">
        <f t="shared" si="11"/>
        <v>1051906.3269930894</v>
      </c>
      <c r="AD25" s="119">
        <f t="shared" si="11"/>
        <v>1082116.8872017872</v>
      </c>
      <c r="AE25" s="119">
        <f t="shared" si="11"/>
        <v>1111876.1209170946</v>
      </c>
      <c r="AF25" s="119">
        <f t="shared" si="11"/>
        <v>1141130.4750031491</v>
      </c>
      <c r="AG25" s="119">
        <f t="shared" si="11"/>
        <v>1169823.5775552888</v>
      </c>
      <c r="AH25" s="119">
        <f t="shared" si="11"/>
        <v>1197896.1156267805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1.2209864533774708</v>
      </c>
      <c r="G27" s="122">
        <f t="shared" si="12"/>
        <v>1.2421350675000014</v>
      </c>
      <c r="H27" s="122">
        <f t="shared" si="12"/>
        <v>1.2634371888331815</v>
      </c>
      <c r="I27" s="122">
        <f t="shared" si="12"/>
        <v>1.2848835024894774</v>
      </c>
      <c r="J27" s="122">
        <f t="shared" si="12"/>
        <v>1.3064640001157601</v>
      </c>
      <c r="K27" s="122">
        <f t="shared" si="12"/>
        <v>1.3281679464327258</v>
      </c>
      <c r="L27" s="122">
        <f t="shared" si="12"/>
        <v>1.3499838443734249</v>
      </c>
      <c r="M27" s="122">
        <f t="shared" si="12"/>
        <v>1.371899398766125</v>
      </c>
      <c r="N27" s="122">
        <f t="shared" si="12"/>
        <v>1.3939014785046664</v>
      </c>
      <c r="O27" s="122">
        <f t="shared" si="12"/>
        <v>1.4159760771473437</v>
      </c>
      <c r="P27" s="122">
        <f t="shared" si="12"/>
        <v>1.4381082718831149</v>
      </c>
      <c r="Q27" s="122">
        <f t="shared" si="12"/>
        <v>1.4602821808016684</v>
      </c>
      <c r="R27" s="122">
        <f t="shared" si="12"/>
        <v>1.4824809184014622</v>
      </c>
      <c r="S27" s="161">
        <f t="shared" si="12"/>
        <v>1.50468654926743</v>
      </c>
      <c r="T27" s="122">
        <f t="shared" si="12"/>
        <v>1.5268800398474305</v>
      </c>
      <c r="U27" s="122">
        <f t="shared" si="12"/>
        <v>1.5490412082539311</v>
      </c>
      <c r="V27" s="122">
        <f t="shared" si="12"/>
        <v>1.5711486720146031</v>
      </c>
      <c r="W27" s="122">
        <f t="shared" si="12"/>
        <v>1.5931797936927088</v>
      </c>
      <c r="X27" s="122">
        <f t="shared" si="12"/>
        <v>1.615110624295178</v>
      </c>
      <c r="Y27" s="122">
        <f t="shared" si="12"/>
        <v>1.6369158443832106</v>
      </c>
      <c r="Z27" s="122">
        <f t="shared" si="12"/>
        <v>1.6585687027970837</v>
      </c>
      <c r="AA27" s="122">
        <f t="shared" si="12"/>
        <v>1.6800409529035421</v>
      </c>
      <c r="AB27" s="122">
        <f t="shared" si="12"/>
        <v>1.7013027862707348</v>
      </c>
      <c r="AC27" s="122">
        <f t="shared" si="12"/>
        <v>1.7223227636721377</v>
      </c>
      <c r="AD27" s="122">
        <f t="shared" si="12"/>
        <v>1.7430677433172439</v>
      </c>
      <c r="AE27" s="122">
        <f t="shared" si="12"/>
        <v>1.7635028062029785</v>
      </c>
      <c r="AF27" s="122">
        <f t="shared" si="12"/>
        <v>1.7835911784759033</v>
      </c>
      <c r="AG27" s="122">
        <f t="shared" si="12"/>
        <v>1.8032941506911524</v>
      </c>
      <c r="AH27" s="122">
        <f t="shared" si="12"/>
        <v>1.8225709938498535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291256.59051513695</v>
      </c>
      <c r="F41" s="129">
        <f t="shared" ref="F41:S41" si="20">F25+F37</f>
        <v>321818.80480377213</v>
      </c>
      <c r="G41" s="129">
        <f t="shared" si="20"/>
        <v>352617.17102101492</v>
      </c>
      <c r="H41" s="129">
        <f t="shared" si="20"/>
        <v>383639.08717222372</v>
      </c>
      <c r="I41" s="129">
        <f t="shared" si="20"/>
        <v>414870.98814547877</v>
      </c>
      <c r="J41" s="129">
        <f t="shared" si="20"/>
        <v>446298.29894673428</v>
      </c>
      <c r="K41" s="129">
        <f t="shared" si="20"/>
        <v>477905.3859717492</v>
      </c>
      <c r="L41" s="129">
        <f t="shared" si="20"/>
        <v>509675.50623792037</v>
      </c>
      <c r="M41" s="129">
        <f t="shared" si="20"/>
        <v>541590.75449625449</v>
      </c>
      <c r="N41" s="129">
        <f t="shared" si="20"/>
        <v>573632.00814070343</v>
      </c>
      <c r="O41" s="129">
        <f t="shared" si="20"/>
        <v>605778.86982898484</v>
      </c>
      <c r="P41" s="129">
        <f t="shared" si="20"/>
        <v>638009.60772577371</v>
      </c>
      <c r="Q41" s="129">
        <f t="shared" si="20"/>
        <v>670301.09327582899</v>
      </c>
      <c r="R41" s="129">
        <f t="shared" si="20"/>
        <v>702628.7364111098</v>
      </c>
      <c r="S41" s="130">
        <f t="shared" si="20"/>
        <v>734966.41809240705</v>
      </c>
      <c r="T41" s="130">
        <f t="shared" ref="T41:AH41" si="21">T25+T37</f>
        <v>767286.4200822108</v>
      </c>
      <c r="U41" s="130">
        <f t="shared" si="21"/>
        <v>799559.35184175638</v>
      </c>
      <c r="V41" s="130">
        <f t="shared" si="21"/>
        <v>831754.07444110769</v>
      </c>
      <c r="W41" s="130">
        <f t="shared" si="21"/>
        <v>863837.62136705383</v>
      </c>
      <c r="X41" s="130">
        <f t="shared" si="21"/>
        <v>895775.116109255</v>
      </c>
      <c r="Y41" s="130">
        <f t="shared" si="21"/>
        <v>927529.68640061771</v>
      </c>
      <c r="Z41" s="130">
        <f t="shared" si="21"/>
        <v>959062.37498327601</v>
      </c>
      <c r="AA41" s="130">
        <f t="shared" si="21"/>
        <v>990332.04676675261</v>
      </c>
      <c r="AB41" s="130">
        <f t="shared" si="21"/>
        <v>1021295.2922399004</v>
      </c>
      <c r="AC41" s="130">
        <f t="shared" si="21"/>
        <v>1051906.3269930894</v>
      </c>
      <c r="AD41" s="130">
        <f t="shared" si="21"/>
        <v>1082116.8872017872</v>
      </c>
      <c r="AE41" s="130">
        <f t="shared" si="21"/>
        <v>1111876.1209170946</v>
      </c>
      <c r="AF41" s="130">
        <f t="shared" si="21"/>
        <v>1141130.4750031491</v>
      </c>
      <c r="AG41" s="130">
        <f t="shared" si="21"/>
        <v>1169823.5775552888</v>
      </c>
      <c r="AH41" s="130">
        <f t="shared" si="21"/>
        <v>1197896.1156267805</v>
      </c>
    </row>
    <row r="42" spans="1:34">
      <c r="A42" s="86"/>
      <c r="B42" s="110" t="s">
        <v>329</v>
      </c>
      <c r="C42" s="323">
        <f>GapCalc!I33</f>
        <v>0.85</v>
      </c>
      <c r="D42" s="131" t="s">
        <v>1033</v>
      </c>
      <c r="E42" s="129">
        <f>((E41*$C$42))</f>
        <v>247568.10193786639</v>
      </c>
      <c r="F42" s="129">
        <f t="shared" ref="F42:S42" si="22">((F41*$C$42))</f>
        <v>273545.98408320628</v>
      </c>
      <c r="G42" s="129">
        <f t="shared" si="22"/>
        <v>299724.59536786267</v>
      </c>
      <c r="H42" s="129">
        <f t="shared" si="22"/>
        <v>326093.22409639013</v>
      </c>
      <c r="I42" s="129">
        <f t="shared" si="22"/>
        <v>352640.33992365695</v>
      </c>
      <c r="J42" s="129">
        <f t="shared" si="22"/>
        <v>379353.55410472414</v>
      </c>
      <c r="K42" s="129">
        <f t="shared" si="22"/>
        <v>406219.57807598682</v>
      </c>
      <c r="L42" s="129">
        <f t="shared" si="22"/>
        <v>433224.18030223233</v>
      </c>
      <c r="M42" s="129">
        <f t="shared" si="22"/>
        <v>460352.14132181631</v>
      </c>
      <c r="N42" s="129">
        <f t="shared" si="22"/>
        <v>487587.20691959793</v>
      </c>
      <c r="O42" s="129">
        <f t="shared" si="22"/>
        <v>514912.03935463709</v>
      </c>
      <c r="P42" s="129">
        <f t="shared" si="22"/>
        <v>542308.16656690766</v>
      </c>
      <c r="Q42" s="129">
        <f t="shared" si="22"/>
        <v>569755.92928445467</v>
      </c>
      <c r="R42" s="129">
        <f t="shared" si="22"/>
        <v>597234.42594944336</v>
      </c>
      <c r="S42" s="129">
        <f t="shared" si="22"/>
        <v>624721.45537854603</v>
      </c>
      <c r="T42" s="129">
        <f t="shared" ref="T42:AH42" si="23">((T41*$C$42))</f>
        <v>652193.45706987916</v>
      </c>
      <c r="U42" s="129">
        <f t="shared" si="23"/>
        <v>679625.44906549295</v>
      </c>
      <c r="V42" s="129">
        <f t="shared" si="23"/>
        <v>706990.96327494155</v>
      </c>
      <c r="W42" s="129">
        <f t="shared" si="23"/>
        <v>734261.97816199576</v>
      </c>
      <c r="X42" s="129">
        <f t="shared" si="23"/>
        <v>761408.84869286674</v>
      </c>
      <c r="Y42" s="129">
        <f t="shared" si="23"/>
        <v>788400.23344052501</v>
      </c>
      <c r="Z42" s="129">
        <f t="shared" si="23"/>
        <v>815203.01873578457</v>
      </c>
      <c r="AA42" s="129">
        <f t="shared" si="23"/>
        <v>841782.23975173966</v>
      </c>
      <c r="AB42" s="129">
        <f t="shared" si="23"/>
        <v>868100.99840391532</v>
      </c>
      <c r="AC42" s="129">
        <f t="shared" si="23"/>
        <v>894120.37794412591</v>
      </c>
      <c r="AD42" s="129">
        <f t="shared" si="23"/>
        <v>919799.35412151914</v>
      </c>
      <c r="AE42" s="129">
        <f t="shared" si="23"/>
        <v>945094.70277953043</v>
      </c>
      <c r="AF42" s="129">
        <f t="shared" si="23"/>
        <v>969960.90375267668</v>
      </c>
      <c r="AG42" s="129">
        <f t="shared" si="23"/>
        <v>994350.04092199542</v>
      </c>
      <c r="AH42" s="129">
        <f t="shared" si="23"/>
        <v>1018211.6982827635</v>
      </c>
    </row>
    <row r="43" spans="1:34">
      <c r="A43" s="86"/>
      <c r="B43" s="132" t="s">
        <v>330</v>
      </c>
      <c r="C43" s="324">
        <f>GapCalc!I32</f>
        <v>0.15</v>
      </c>
      <c r="D43" s="133" t="s">
        <v>1033</v>
      </c>
      <c r="E43" s="108">
        <f>$C$43*(E41)</f>
        <v>43688.488577270538</v>
      </c>
      <c r="F43" s="108">
        <f t="shared" ref="F43:S43" si="24">$C$43*(F41)</f>
        <v>48272.820720565818</v>
      </c>
      <c r="G43" s="108">
        <f t="shared" si="24"/>
        <v>52892.575653152235</v>
      </c>
      <c r="H43" s="108">
        <f t="shared" si="24"/>
        <v>57545.863075833557</v>
      </c>
      <c r="I43" s="108">
        <f t="shared" si="24"/>
        <v>62230.648221821815</v>
      </c>
      <c r="J43" s="108">
        <f t="shared" si="24"/>
        <v>66944.744842010143</v>
      </c>
      <c r="K43" s="108">
        <f t="shared" si="24"/>
        <v>71685.80789576238</v>
      </c>
      <c r="L43" s="108">
        <f t="shared" si="24"/>
        <v>76451.325935688059</v>
      </c>
      <c r="M43" s="108">
        <f t="shared" si="24"/>
        <v>81238.613174438171</v>
      </c>
      <c r="N43" s="108">
        <f t="shared" si="24"/>
        <v>86044.801221105517</v>
      </c>
      <c r="O43" s="108">
        <f t="shared" si="24"/>
        <v>90866.83047434772</v>
      </c>
      <c r="P43" s="108">
        <f t="shared" si="24"/>
        <v>95701.441158866059</v>
      </c>
      <c r="Q43" s="108">
        <f t="shared" si="24"/>
        <v>100545.16399137434</v>
      </c>
      <c r="R43" s="108">
        <f t="shared" si="24"/>
        <v>105394.31046166646</v>
      </c>
      <c r="S43" s="108">
        <f t="shared" si="24"/>
        <v>110244.96271386105</v>
      </c>
      <c r="T43" s="108">
        <f t="shared" ref="T43:AH43" si="25">$C$43*(T41)</f>
        <v>115092.96301233162</v>
      </c>
      <c r="U43" s="108">
        <f t="shared" si="25"/>
        <v>119933.90277626345</v>
      </c>
      <c r="V43" s="108">
        <f t="shared" si="25"/>
        <v>124763.11116616614</v>
      </c>
      <c r="W43" s="108">
        <f t="shared" si="25"/>
        <v>129575.64320505806</v>
      </c>
      <c r="X43" s="108">
        <f t="shared" si="25"/>
        <v>134366.26741638823</v>
      </c>
      <c r="Y43" s="108">
        <f t="shared" si="25"/>
        <v>139129.45296009266</v>
      </c>
      <c r="Z43" s="108">
        <f t="shared" si="25"/>
        <v>143859.35624749141</v>
      </c>
      <c r="AA43" s="108">
        <f t="shared" si="25"/>
        <v>148549.80701501289</v>
      </c>
      <c r="AB43" s="108">
        <f t="shared" si="25"/>
        <v>153194.29383598507</v>
      </c>
      <c r="AC43" s="108">
        <f t="shared" si="25"/>
        <v>157785.9490489634</v>
      </c>
      <c r="AD43" s="108">
        <f t="shared" si="25"/>
        <v>162317.53308026807</v>
      </c>
      <c r="AE43" s="108">
        <f t="shared" si="25"/>
        <v>166781.41813756418</v>
      </c>
      <c r="AF43" s="108">
        <f t="shared" si="25"/>
        <v>171169.57125047236</v>
      </c>
      <c r="AG43" s="108">
        <f t="shared" si="25"/>
        <v>175473.53663329332</v>
      </c>
      <c r="AH43" s="108">
        <f t="shared" si="25"/>
        <v>179684.41734401707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1034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2.9782069665788826E-3</v>
      </c>
      <c r="F47" s="142">
        <f>F41/GapCalc!$H$33</f>
        <v>3.2907169748417156E-3</v>
      </c>
      <c r="G47" s="142">
        <f>G41/GapCalc!$H$33</f>
        <v>3.6056417244077622E-3</v>
      </c>
      <c r="H47" s="142">
        <f>H41/GapCalc!$H$33</f>
        <v>3.922852355194688E-3</v>
      </c>
      <c r="I47" s="142">
        <f>I41/GapCalc!$H$33</f>
        <v>4.2422101588877725E-3</v>
      </c>
      <c r="J47" s="142">
        <f>J41/GapCalc!$H$33</f>
        <v>4.563566100751943E-3</v>
      </c>
      <c r="K47" s="142">
        <f>K41/GapCalc!$H$33</f>
        <v>4.8867603213691487E-3</v>
      </c>
      <c r="L47" s="142">
        <f>L41/GapCalc!$H$33</f>
        <v>5.2116216175149693E-3</v>
      </c>
      <c r="M47" s="142">
        <f>M41/GapCalc!$H$33</f>
        <v>5.5379669013588574E-3</v>
      </c>
      <c r="N47" s="142">
        <f>N41/GapCalc!$H$33</f>
        <v>5.8656006371415994E-3</v>
      </c>
      <c r="O47" s="142">
        <f>O41/GapCalc!$H$33</f>
        <v>6.1943142544518721E-3</v>
      </c>
      <c r="P47" s="142">
        <f>P41/GapCalc!$H$33</f>
        <v>6.5238855371906428E-3</v>
      </c>
      <c r="Q47" s="142">
        <f>Q41/GapCalc!$H$33</f>
        <v>6.8540779872782497E-3</v>
      </c>
      <c r="R47" s="142">
        <f>R41/GapCalc!$H$33</f>
        <v>7.1846401621230649E-3</v>
      </c>
      <c r="S47" s="142">
        <f>S41/GapCalc!$H$33</f>
        <v>7.5153049848345858E-3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2.5314759215920501E-3</v>
      </c>
      <c r="F48" s="142">
        <f>F43/GapCalc!$H$32</f>
        <v>2.7971094286154585E-3</v>
      </c>
      <c r="G48" s="142">
        <f>G43/GapCalc!$H$32</f>
        <v>3.0647954657465983E-3</v>
      </c>
      <c r="H48" s="142">
        <f>H43/GapCalc!$H$32</f>
        <v>3.3344245019154856E-3</v>
      </c>
      <c r="I48" s="142">
        <f>I43/GapCalc!$H$32</f>
        <v>3.6058786350546069E-3</v>
      </c>
      <c r="J48" s="142">
        <f>J43/GapCalc!$H$32</f>
        <v>3.8790311856391519E-3</v>
      </c>
      <c r="K48" s="142">
        <f>K43/GapCalc!$H$32</f>
        <v>4.153746273163777E-3</v>
      </c>
      <c r="L48" s="142">
        <f>L43/GapCalc!$H$32</f>
        <v>4.429878374887725E-3</v>
      </c>
      <c r="M48" s="142">
        <f>M43/GapCalc!$H$32</f>
        <v>4.7072718661550286E-3</v>
      </c>
      <c r="N48" s="142">
        <f>N43/GapCalc!$H$32</f>
        <v>4.9857605415703603E-3</v>
      </c>
      <c r="O48" s="142">
        <f>O43/GapCalc!$H$32</f>
        <v>5.2651671162840911E-3</v>
      </c>
      <c r="P48" s="142">
        <f>P43/GapCalc!$H$32</f>
        <v>5.5453027066120469E-3</v>
      </c>
      <c r="Q48" s="142">
        <f>Q43/GapCalc!$H$32</f>
        <v>5.8259662891865125E-3</v>
      </c>
      <c r="R48" s="142">
        <f>R43/GapCalc!$H$32</f>
        <v>6.106944137804605E-3</v>
      </c>
      <c r="S48" s="142">
        <f>S43/GapCalc!$H$32</f>
        <v>6.3880092371093981E-3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1042</v>
      </c>
      <c r="G64" s="70" t="s">
        <v>1054</v>
      </c>
    </row>
    <row r="65" spans="2:10" ht="13.5" thickBot="1">
      <c r="B65" s="1518" t="s">
        <v>1024</v>
      </c>
      <c r="C65" s="1519"/>
      <c r="D65" s="1543"/>
      <c r="E65" s="70" t="s">
        <v>1040</v>
      </c>
      <c r="G65" s="1518" t="s">
        <v>1024</v>
      </c>
      <c r="H65" s="1519"/>
      <c r="I65" s="1543"/>
      <c r="J65" s="70" t="s">
        <v>1040</v>
      </c>
    </row>
    <row r="66" spans="2:10">
      <c r="B66" s="1520" t="s">
        <v>1038</v>
      </c>
      <c r="C66" s="1565">
        <f>C70/1.63</f>
        <v>7189946.3462199243</v>
      </c>
      <c r="D66" s="1544"/>
      <c r="E66" s="1564" t="s">
        <v>284</v>
      </c>
      <c r="G66" s="1520" t="s">
        <v>1057</v>
      </c>
      <c r="H66" s="1565">
        <f>H70/1.63</f>
        <v>1268814.0610976338</v>
      </c>
      <c r="I66" s="1544"/>
      <c r="J66" s="1564" t="s">
        <v>284</v>
      </c>
    </row>
    <row r="67" spans="2:10" ht="15">
      <c r="B67" s="1521" t="s">
        <v>1039</v>
      </c>
      <c r="C67" s="1580">
        <f>SUMIFS(E42:AH42, E50:AH50, "&lt;=" &amp; VALUE(RIGHT(E66, LEN(E66)-FIND(" ", E66))))</f>
        <v>2285145.3775896933</v>
      </c>
      <c r="D67" s="1545" t="s">
        <v>67</v>
      </c>
      <c r="G67" s="1521" t="s">
        <v>1058</v>
      </c>
      <c r="H67" s="1560">
        <f>SUMIFS(E43:AH43, E50:AH50, "&lt;=" &amp; VALUE(RIGHT(E66, LEN(E66)-FIND(" ", E66))))</f>
        <v>403260.94898641651</v>
      </c>
      <c r="I67" s="1545" t="s">
        <v>67</v>
      </c>
    </row>
    <row r="68" spans="2:10">
      <c r="B68" s="1521" t="s">
        <v>1062</v>
      </c>
      <c r="C68" s="1568">
        <f>IF(GapCalc!D41*C42&lt; 0,0,GapCalc!D41*C42)</f>
        <v>0</v>
      </c>
      <c r="D68" s="1545" t="s">
        <v>67</v>
      </c>
      <c r="G68" s="1521" t="s">
        <v>1063</v>
      </c>
      <c r="H68" s="1568">
        <f>IF(GapCalc!D41*C43&lt; 0,0,GapCalc!D41*C43)</f>
        <v>0</v>
      </c>
      <c r="I68" s="1545" t="s">
        <v>67</v>
      </c>
    </row>
    <row r="69" spans="2:10">
      <c r="B69" s="1521" t="s">
        <v>1043</v>
      </c>
      <c r="C69" s="1568">
        <f>'Debt Calc'!E60</f>
        <v>9434467.1667487826</v>
      </c>
      <c r="D69" s="1546">
        <v>0.9</v>
      </c>
      <c r="G69" s="1521" t="s">
        <v>1059</v>
      </c>
      <c r="H69" s="1568">
        <f>'Debt Calc'!E59*C43</f>
        <v>1664905.9706027263</v>
      </c>
      <c r="I69" s="1546">
        <v>0.9</v>
      </c>
    </row>
    <row r="70" spans="2:10">
      <c r="B70" s="1523" t="s">
        <v>1026</v>
      </c>
      <c r="C70" s="1577">
        <f>C67+C68+C69</f>
        <v>11719612.544338476</v>
      </c>
      <c r="D70" s="1545" t="s">
        <v>67</v>
      </c>
      <c r="G70" s="1523" t="s">
        <v>1026</v>
      </c>
      <c r="H70" s="1577">
        <f>H67+H68+H69</f>
        <v>2068166.9195891428</v>
      </c>
      <c r="I70" s="1545" t="s">
        <v>67</v>
      </c>
    </row>
    <row r="71" spans="2:10">
      <c r="B71" s="1523" t="s">
        <v>1027</v>
      </c>
      <c r="C71" s="1571">
        <f>C70/C66</f>
        <v>1.63</v>
      </c>
      <c r="D71" s="1547"/>
      <c r="G71" s="1523" t="s">
        <v>1027</v>
      </c>
      <c r="H71" s="1571">
        <f>H70/H66</f>
        <v>1.6299999999999997</v>
      </c>
      <c r="I71" s="1547"/>
    </row>
    <row r="72" spans="2:10">
      <c r="B72" s="1521" t="s">
        <v>1028</v>
      </c>
      <c r="C72" s="1524">
        <f>(C70-C66)/C66</f>
        <v>0.62999999999999989</v>
      </c>
      <c r="D72" s="1548"/>
      <c r="G72" s="1521" t="s">
        <v>1028</v>
      </c>
      <c r="H72" s="1524">
        <f>(H70-H66)/H66</f>
        <v>0.62999999999999978</v>
      </c>
      <c r="I72" s="1548"/>
    </row>
    <row r="73" spans="2:10">
      <c r="B73" s="1523" t="s">
        <v>1029</v>
      </c>
      <c r="C73" s="1566">
        <f>C72/7</f>
        <v>8.9999999999999983E-2</v>
      </c>
      <c r="D73" s="1548"/>
      <c r="G73" s="1523" t="s">
        <v>1029</v>
      </c>
      <c r="H73" s="1566">
        <f>H72/7</f>
        <v>8.9999999999999969E-2</v>
      </c>
      <c r="I73" s="1548"/>
    </row>
    <row r="74" spans="2:10" ht="13.5" thickBot="1">
      <c r="B74" s="1578" t="s">
        <v>1064</v>
      </c>
      <c r="C74" s="1581">
        <f>GapCalc!H33</f>
        <v>97795953.667286053</v>
      </c>
      <c r="D74" s="1549"/>
      <c r="F74" s="1559"/>
      <c r="G74" s="1578" t="s">
        <v>1066</v>
      </c>
      <c r="H74" s="1581">
        <f>GapCalc!H32</f>
        <v>17258109.470697537</v>
      </c>
      <c r="I74" s="1549"/>
    </row>
    <row r="75" spans="2:10">
      <c r="B75" s="70" t="s">
        <v>1065</v>
      </c>
      <c r="C75" s="1579">
        <f>(C70-C74)/C74</f>
        <v>-0.88016260279837288</v>
      </c>
      <c r="G75" s="70" t="s">
        <v>1065</v>
      </c>
      <c r="H75" s="1579">
        <f>(H70-H74)/H74</f>
        <v>-0.88016260279837288</v>
      </c>
    </row>
    <row r="76" spans="2:10">
      <c r="B76" s="70" t="s">
        <v>1029</v>
      </c>
      <c r="C76" s="1579">
        <f>C75/7</f>
        <v>-0.12573751468548183</v>
      </c>
      <c r="G76" s="70" t="s">
        <v>1029</v>
      </c>
      <c r="H76" s="1579">
        <f>H75/7</f>
        <v>-0.12573751468548183</v>
      </c>
    </row>
    <row r="78" spans="2:10" ht="13.5" thickBot="1">
      <c r="B78" s="70" t="s">
        <v>1045</v>
      </c>
    </row>
    <row r="79" spans="2:10" ht="13.5" thickBot="1">
      <c r="B79" s="1518" t="s">
        <v>1024</v>
      </c>
      <c r="C79" s="1519"/>
      <c r="D79" s="1543"/>
      <c r="E79" s="70" t="s">
        <v>1040</v>
      </c>
    </row>
    <row r="80" spans="2:10">
      <c r="B80" s="1520" t="s">
        <v>1038</v>
      </c>
      <c r="C80" s="1565">
        <f>C84/1.8</f>
        <v>2036838.281185189</v>
      </c>
      <c r="D80" s="1544"/>
      <c r="E80" s="1564" t="s">
        <v>287</v>
      </c>
    </row>
    <row r="81" spans="2:10" ht="15">
      <c r="B81" s="1521" t="s">
        <v>1039</v>
      </c>
      <c r="C81" s="1560">
        <f>SUMIFS(E42:AH42, E50:AH50, "&lt;=" &amp; VALUE(RIGHT(E80, LEN(E80)-FIND(" ", E80))))</f>
        <v>3666308.9061333402</v>
      </c>
      <c r="D81" s="1545" t="s">
        <v>67</v>
      </c>
    </row>
    <row r="82" spans="2:10">
      <c r="B82" s="1521" t="s">
        <v>1043</v>
      </c>
      <c r="C82" s="1568">
        <f>C68</f>
        <v>0</v>
      </c>
      <c r="D82" s="1545" t="s">
        <v>67</v>
      </c>
    </row>
    <row r="83" spans="2:10">
      <c r="B83" s="1521" t="s">
        <v>1025</v>
      </c>
      <c r="C83" s="1522"/>
      <c r="D83" s="1546">
        <v>0.9</v>
      </c>
    </row>
    <row r="84" spans="2:10">
      <c r="B84" s="1523" t="s">
        <v>1026</v>
      </c>
      <c r="C84" s="1577">
        <f>C81+C82+C83</f>
        <v>3666308.9061333402</v>
      </c>
      <c r="D84" s="1545" t="s">
        <v>67</v>
      </c>
    </row>
    <row r="85" spans="2:10">
      <c r="B85" s="1523" t="s">
        <v>1027</v>
      </c>
      <c r="C85" s="1567">
        <v>1.8</v>
      </c>
      <c r="D85" s="1547"/>
    </row>
    <row r="86" spans="2:10">
      <c r="B86" s="1521" t="s">
        <v>1028</v>
      </c>
      <c r="C86" s="1524">
        <f>(C84-C80)/C80</f>
        <v>0.79999999999999993</v>
      </c>
      <c r="D86" s="1548"/>
    </row>
    <row r="87" spans="2:10">
      <c r="B87" s="1523" t="s">
        <v>1029</v>
      </c>
      <c r="C87" s="1566">
        <f>C86/10</f>
        <v>7.9999999999999988E-2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1042</v>
      </c>
      <c r="G91" s="70" t="s">
        <v>1054</v>
      </c>
    </row>
    <row r="92" spans="2:10" ht="13.5" thickBot="1">
      <c r="B92" s="1518" t="s">
        <v>1024</v>
      </c>
      <c r="C92" s="1519"/>
      <c r="D92" s="1543"/>
      <c r="E92" s="70" t="s">
        <v>1040</v>
      </c>
      <c r="G92" s="1518" t="s">
        <v>1024</v>
      </c>
      <c r="H92" s="1519"/>
      <c r="I92" s="1543"/>
      <c r="J92" s="70" t="s">
        <v>1040</v>
      </c>
    </row>
    <row r="93" spans="2:10">
      <c r="B93" s="1520" t="s">
        <v>1038</v>
      </c>
      <c r="C93" s="1565">
        <f>C97/1.63</f>
        <v>10423412.484809818</v>
      </c>
      <c r="D93" s="1544"/>
      <c r="E93" s="1564" t="s">
        <v>287</v>
      </c>
      <c r="G93" s="1520" t="s">
        <v>1057</v>
      </c>
      <c r="H93" s="1565">
        <f>H97/1.63</f>
        <v>1418344.5766382667</v>
      </c>
      <c r="I93" s="1544"/>
      <c r="J93" s="1564" t="s">
        <v>287</v>
      </c>
    </row>
    <row r="94" spans="2:10" ht="15">
      <c r="B94" s="1521" t="s">
        <v>1039</v>
      </c>
      <c r="C94" s="1580">
        <f>SUMIFS(E42:AH42, E50:AH50, "&lt;=" &amp; VALUE(RIGHT(E93, LEN(E93)-FIND(" ", E93))))</f>
        <v>3666308.9061333402</v>
      </c>
      <c r="D94" s="1545" t="s">
        <v>67</v>
      </c>
      <c r="G94" s="1521" t="s">
        <v>1058</v>
      </c>
      <c r="H94" s="1560">
        <f>SUMIFS(E43:AH43, E50:AH50, "&lt;=" &amp; VALUE(RIGHT(J93, LEN(J93)-FIND(" ", J93))))</f>
        <v>646995.68931764818</v>
      </c>
      <c r="I94" s="1545" t="s">
        <v>67</v>
      </c>
    </row>
    <row r="95" spans="2:10">
      <c r="B95" s="1521" t="s">
        <v>1062</v>
      </c>
      <c r="C95" s="1568">
        <f>IF(GapCalc!D41*C42&lt; 0,0,GapCalc!D41*C42)</f>
        <v>0</v>
      </c>
      <c r="D95" s="1545" t="s">
        <v>67</v>
      </c>
      <c r="G95" s="1521" t="s">
        <v>1063</v>
      </c>
      <c r="H95" s="1568">
        <f>IF(GapCalc!D41*C43&lt; 0,0,GapCalc!D41*C43)</f>
        <v>0</v>
      </c>
      <c r="I95" s="1545" t="s">
        <v>67</v>
      </c>
    </row>
    <row r="96" spans="2:10">
      <c r="B96" s="1521" t="s">
        <v>1043</v>
      </c>
      <c r="C96" s="1568">
        <f>'Debt Calc'!H60</f>
        <v>13323853.444106665</v>
      </c>
      <c r="D96" s="1546">
        <v>0.9</v>
      </c>
      <c r="G96" s="1521" t="s">
        <v>1059</v>
      </c>
      <c r="H96" s="1568">
        <f>'Debt Calc'!E59*C43</f>
        <v>1664905.9706027263</v>
      </c>
      <c r="I96" s="1546">
        <v>0.9</v>
      </c>
    </row>
    <row r="97" spans="2:9">
      <c r="B97" s="1523" t="s">
        <v>1026</v>
      </c>
      <c r="C97" s="1577">
        <f>C94+C95+C96</f>
        <v>16990162.350240003</v>
      </c>
      <c r="D97" s="1545" t="s">
        <v>67</v>
      </c>
      <c r="G97" s="1523" t="s">
        <v>1026</v>
      </c>
      <c r="H97" s="1577">
        <f>H94+H95+H96</f>
        <v>2311901.6599203744</v>
      </c>
      <c r="I97" s="1545" t="s">
        <v>67</v>
      </c>
    </row>
    <row r="98" spans="2:9">
      <c r="B98" s="1523" t="s">
        <v>1027</v>
      </c>
      <c r="C98" s="1571">
        <f>C97/C93</f>
        <v>1.6300000000000001</v>
      </c>
      <c r="D98" s="1547"/>
      <c r="G98" s="1523" t="s">
        <v>1027</v>
      </c>
      <c r="H98" s="1571">
        <f>H97/H93</f>
        <v>1.63</v>
      </c>
      <c r="I98" s="1547"/>
    </row>
    <row r="99" spans="2:9">
      <c r="B99" s="1521" t="s">
        <v>1028</v>
      </c>
      <c r="C99" s="1524">
        <f>(C97-C93)/C93</f>
        <v>0.63</v>
      </c>
      <c r="D99" s="1548"/>
      <c r="G99" s="1521" t="s">
        <v>1028</v>
      </c>
      <c r="H99" s="1524">
        <f>(H97-H93)/H93</f>
        <v>0.62999999999999978</v>
      </c>
      <c r="I99" s="1548"/>
    </row>
    <row r="100" spans="2:9">
      <c r="B100" s="1523" t="s">
        <v>1029</v>
      </c>
      <c r="C100" s="1566">
        <f>C99/7</f>
        <v>0.09</v>
      </c>
      <c r="D100" s="1548"/>
      <c r="G100" s="1523" t="s">
        <v>1029</v>
      </c>
      <c r="H100" s="1566">
        <f>H99/7</f>
        <v>8.9999999999999969E-2</v>
      </c>
      <c r="I100" s="1548"/>
    </row>
    <row r="101" spans="2:9" ht="13.5" thickBot="1">
      <c r="B101" s="1578" t="s">
        <v>1064</v>
      </c>
      <c r="C101" s="1581">
        <f>GapCalc!H33</f>
        <v>97795953.667286053</v>
      </c>
      <c r="D101" s="1549"/>
      <c r="G101" s="1578" t="s">
        <v>1066</v>
      </c>
      <c r="H101" s="1581">
        <f>GapCalc!H32</f>
        <v>17258109.470697537</v>
      </c>
      <c r="I101" s="1549"/>
    </row>
    <row r="102" spans="2:9">
      <c r="B102" s="70" t="s">
        <v>1065</v>
      </c>
      <c r="C102" s="1579">
        <f>(C97-C101)/C101</f>
        <v>-0.82626927073033463</v>
      </c>
      <c r="G102" s="70" t="s">
        <v>1065</v>
      </c>
      <c r="H102" s="1579">
        <f>(H97-H101)/H101</f>
        <v>-0.86603969201575981</v>
      </c>
    </row>
    <row r="103" spans="2:9">
      <c r="B103" s="70" t="s">
        <v>1029</v>
      </c>
      <c r="C103" s="1579">
        <f>C102/10</f>
        <v>-8.2626927073033457E-2</v>
      </c>
      <c r="G103" s="70" t="s">
        <v>1029</v>
      </c>
      <c r="H103" s="1579">
        <f>H102/10</f>
        <v>-8.6603969201575981E-2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3" zoomScale="70" zoomScaleNormal="70" workbookViewId="0">
      <selection activeCell="G51" sqref="G51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649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650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651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652</v>
      </c>
      <c r="C11" s="875">
        <f>'Rental Income'!E17</f>
        <v>176760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653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654</v>
      </c>
      <c r="C13" s="875">
        <f>SUM(C11:C12)*D13</f>
        <v>35352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655</v>
      </c>
      <c r="C14" s="886">
        <f>SUM(C11:C13)</f>
        <v>212112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656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657</v>
      </c>
      <c r="C19" s="897">
        <f>SUM(C14:C16)</f>
        <v>212112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658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659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660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652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654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661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655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662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663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656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657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664</v>
      </c>
      <c r="C34" s="904">
        <f>C19+C32</f>
        <v>212112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665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666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667</v>
      </c>
      <c r="C38" s="909" t="s">
        <v>668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669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605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670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429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671</v>
      </c>
      <c r="B46" s="855"/>
      <c r="C46" s="855"/>
      <c r="D46" s="855"/>
      <c r="E46" s="855" t="s">
        <v>672</v>
      </c>
      <c r="F46" s="915"/>
      <c r="G46" s="855"/>
      <c r="H46" s="855"/>
      <c r="I46" s="855"/>
      <c r="J46" s="855"/>
      <c r="K46" s="855"/>
      <c r="L46" s="1397" t="s">
        <v>954</v>
      </c>
      <c r="M46" s="1399">
        <f>'Rental Income'!D15</f>
        <v>252</v>
      </c>
      <c r="N46" s="1394"/>
      <c r="O46" s="1394"/>
      <c r="P46" s="1394"/>
      <c r="Q46" s="855"/>
    </row>
    <row r="47" spans="1:18">
      <c r="A47" s="889"/>
      <c r="B47" s="888" t="s">
        <v>673</v>
      </c>
      <c r="C47" s="916">
        <f>ROUNDDOWN(M46*M47,1)</f>
        <v>126</v>
      </c>
      <c r="D47" s="876"/>
      <c r="E47" s="917"/>
      <c r="F47" s="918"/>
      <c r="G47" s="873" t="s">
        <v>674</v>
      </c>
      <c r="H47" s="919" t="s">
        <v>675</v>
      </c>
      <c r="I47" s="873" t="s">
        <v>676</v>
      </c>
      <c r="J47" s="873" t="s">
        <v>677</v>
      </c>
      <c r="K47" s="855"/>
      <c r="L47" s="1398" t="s">
        <v>955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605</v>
      </c>
      <c r="C48" s="922">
        <f>P65</f>
        <v>0</v>
      </c>
      <c r="D48" s="876"/>
      <c r="E48" s="855" t="s">
        <v>678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679</v>
      </c>
      <c r="C49" s="916">
        <f>SUM(C47:C48)</f>
        <v>126</v>
      </c>
      <c r="D49" s="876"/>
      <c r="E49" s="855" t="s">
        <v>576</v>
      </c>
      <c r="F49" s="855"/>
      <c r="G49" s="923">
        <v>143</v>
      </c>
      <c r="H49" s="884">
        <f>C53*D53</f>
        <v>50068.038461538468</v>
      </c>
      <c r="I49" s="884">
        <f>G49*H49</f>
        <v>7159729.5000000009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680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681</v>
      </c>
      <c r="C51" s="917"/>
      <c r="D51" s="918" t="s">
        <v>682</v>
      </c>
      <c r="E51" s="929" t="s">
        <v>59</v>
      </c>
      <c r="F51" s="929"/>
      <c r="G51" s="929"/>
      <c r="H51" s="930">
        <f>SUM(H48:H50)</f>
        <v>50068.038461538468</v>
      </c>
      <c r="I51" s="930">
        <f>SUM(I48:I50)</f>
        <v>7159729.5000000009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678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576</v>
      </c>
      <c r="C53" s="931">
        <v>126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669</v>
      </c>
      <c r="I53" s="934">
        <f>I51/C49*C47</f>
        <v>7159729.5000000009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680</v>
      </c>
      <c r="C54" s="935">
        <v>0</v>
      </c>
      <c r="D54" s="936">
        <v>425</v>
      </c>
      <c r="E54" s="855"/>
      <c r="F54" s="937"/>
      <c r="G54" s="855"/>
      <c r="H54" s="879" t="s">
        <v>683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679</v>
      </c>
      <c r="C55" s="880">
        <f>SUM(C52:C54)</f>
        <v>126</v>
      </c>
      <c r="D55" s="855"/>
      <c r="E55" s="855"/>
      <c r="F55" s="937"/>
      <c r="G55" s="855"/>
      <c r="H55" s="872" t="s">
        <v>684</v>
      </c>
      <c r="I55" s="939">
        <f>SUM(I53:I54)</f>
        <v>7159729.5000000009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685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686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687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688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689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690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692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693</v>
      </c>
      <c r="C65" s="1743"/>
      <c r="D65" s="1743"/>
      <c r="E65" s="1735"/>
      <c r="F65" s="1745" t="s">
        <v>694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695</v>
      </c>
      <c r="C66" s="1736">
        <f>2000+1000</f>
        <v>3000</v>
      </c>
      <c r="D66" s="1735"/>
      <c r="E66" s="1735"/>
      <c r="F66" s="1737" t="s">
        <v>696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697</v>
      </c>
      <c r="C67" s="1736">
        <v>0</v>
      </c>
      <c r="D67" s="1733">
        <v>0.04</v>
      </c>
      <c r="E67" s="1735"/>
      <c r="F67" s="1737" t="s">
        <v>698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698</v>
      </c>
      <c r="C68" s="1736">
        <v>0</v>
      </c>
      <c r="D68" s="1733">
        <v>0.04</v>
      </c>
      <c r="E68" s="1735"/>
      <c r="F68" s="1735" t="s">
        <v>59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699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59</v>
      </c>
      <c r="C70" s="1736">
        <f>SUM(C66:C69)</f>
        <v>8330</v>
      </c>
      <c r="D70" s="1748"/>
      <c r="E70" s="1735"/>
      <c r="F70" s="1749" t="s">
        <v>700</v>
      </c>
      <c r="G70" s="1750" t="s">
        <v>701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702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695</v>
      </c>
      <c r="C73" s="1736">
        <v>1000</v>
      </c>
      <c r="D73" s="1748" t="s">
        <v>703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704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698</v>
      </c>
      <c r="C75" s="1732">
        <v>0</v>
      </c>
      <c r="D75" s="1733">
        <v>0.02</v>
      </c>
      <c r="E75" s="1735" t="s">
        <v>705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699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59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700</v>
      </c>
      <c r="B79" s="1752" t="s">
        <v>706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abSelected="1" topLeftCell="A37" zoomScaleNormal="100" workbookViewId="0">
      <selection activeCell="L66" sqref="L66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1456282.9525756852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20977713.181641962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20977700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6414879.6250025555</v>
      </c>
    </row>
    <row r="15" spans="2:36">
      <c r="B15" s="556"/>
      <c r="C15" s="560" t="s">
        <v>633</v>
      </c>
      <c r="H15" s="561">
        <f>12*PMT(Data!C24/12,Data!C29*12,-'Debt Calc'!H14)</f>
        <v>1456282.0374997447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11157039.908475433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11157039.908475433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20977700</v>
      </c>
      <c r="E21" s="561">
        <f>$H$15</f>
        <v>1456282.0374997447</v>
      </c>
      <c r="F21" s="561">
        <f>E21-G21</f>
        <v>0</v>
      </c>
      <c r="G21" s="561">
        <f>D21-H21</f>
        <v>1456282.0374997444</v>
      </c>
      <c r="H21" s="561">
        <f>D21-E21</f>
        <v>19521417.962500256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19521417.962500256</v>
      </c>
      <c r="E22" s="561">
        <f t="shared" ref="E22:E50" si="1">$H$15</f>
        <v>1456282.0374997447</v>
      </c>
      <c r="F22" s="561">
        <f t="shared" ref="F22:F50" si="2">E22-G22</f>
        <v>0</v>
      </c>
      <c r="G22" s="561">
        <f t="shared" ref="G22:G50" si="3">D22-H22</f>
        <v>1456282.0374997444</v>
      </c>
      <c r="H22" s="561">
        <f t="shared" ref="H22:H39" si="4">D22-E22</f>
        <v>18065135.925000511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18065135.925000511</v>
      </c>
      <c r="E23" s="561">
        <f t="shared" si="1"/>
        <v>1456282.0374997447</v>
      </c>
      <c r="F23" s="561">
        <f t="shared" si="2"/>
        <v>0</v>
      </c>
      <c r="G23" s="561">
        <f t="shared" si="3"/>
        <v>1456282.0374997444</v>
      </c>
      <c r="H23" s="561">
        <f t="shared" si="4"/>
        <v>16608853.887500767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16608853.887500767</v>
      </c>
      <c r="E24" s="561">
        <f t="shared" si="1"/>
        <v>1456282.0374997447</v>
      </c>
      <c r="F24" s="561">
        <f t="shared" si="2"/>
        <v>0</v>
      </c>
      <c r="G24" s="561">
        <f t="shared" si="3"/>
        <v>1456282.0374997444</v>
      </c>
      <c r="H24" s="561">
        <f t="shared" si="4"/>
        <v>15152571.850001022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15152571.850001022</v>
      </c>
      <c r="E25" s="561">
        <f t="shared" si="1"/>
        <v>1456282.0374997447</v>
      </c>
      <c r="F25" s="561">
        <f t="shared" si="2"/>
        <v>0</v>
      </c>
      <c r="G25" s="561">
        <f t="shared" si="3"/>
        <v>1456282.0374997444</v>
      </c>
      <c r="H25" s="561">
        <f t="shared" si="4"/>
        <v>13696289.812501278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13696289.812501278</v>
      </c>
      <c r="E26" s="561">
        <f t="shared" si="1"/>
        <v>1456282.0374997447</v>
      </c>
      <c r="F26" s="561">
        <f t="shared" si="2"/>
        <v>0</v>
      </c>
      <c r="G26" s="561">
        <f t="shared" si="3"/>
        <v>1456282.0374997444</v>
      </c>
      <c r="H26" s="561">
        <f t="shared" si="4"/>
        <v>12240007.775001533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12240007.775001533</v>
      </c>
      <c r="E27" s="561">
        <f t="shared" si="1"/>
        <v>1456282.0374997447</v>
      </c>
      <c r="F27" s="561">
        <f t="shared" si="2"/>
        <v>0</v>
      </c>
      <c r="G27" s="561">
        <f t="shared" si="3"/>
        <v>1456282.0374997444</v>
      </c>
      <c r="H27" s="561">
        <f t="shared" si="4"/>
        <v>10783725.737501789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10783725.737501789</v>
      </c>
      <c r="E28" s="561">
        <f t="shared" si="1"/>
        <v>1456282.0374997447</v>
      </c>
      <c r="F28" s="561">
        <f t="shared" si="2"/>
        <v>0</v>
      </c>
      <c r="G28" s="561">
        <f t="shared" si="3"/>
        <v>1456282.0374997444</v>
      </c>
      <c r="H28" s="561">
        <f t="shared" si="4"/>
        <v>9327443.7000020444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9327443.7000020444</v>
      </c>
      <c r="E29" s="561">
        <f t="shared" si="1"/>
        <v>1456282.0374997447</v>
      </c>
      <c r="F29" s="561">
        <f t="shared" si="2"/>
        <v>0</v>
      </c>
      <c r="G29" s="561">
        <f t="shared" si="3"/>
        <v>1456282.0374997444</v>
      </c>
      <c r="H29" s="561">
        <f t="shared" si="4"/>
        <v>7871161.6625023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7871161.6625023</v>
      </c>
      <c r="E30" s="561">
        <f t="shared" si="1"/>
        <v>1456282.0374997447</v>
      </c>
      <c r="F30" s="561">
        <f t="shared" si="2"/>
        <v>0</v>
      </c>
      <c r="G30" s="561">
        <f t="shared" si="3"/>
        <v>1456282.0374997444</v>
      </c>
      <c r="H30" s="561">
        <f>D30-E30</f>
        <v>6414879.6250025555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6414879.6250025555</v>
      </c>
      <c r="E31" s="561">
        <f t="shared" si="1"/>
        <v>1456282.0374997447</v>
      </c>
      <c r="F31" s="561">
        <f t="shared" si="2"/>
        <v>0</v>
      </c>
      <c r="G31" s="561">
        <f t="shared" si="3"/>
        <v>1456282.0374997444</v>
      </c>
      <c r="H31" s="561">
        <f t="shared" si="4"/>
        <v>4958597.5875028111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4958597.5875028111</v>
      </c>
      <c r="E32" s="561">
        <f t="shared" si="1"/>
        <v>1456282.0374997447</v>
      </c>
      <c r="F32" s="561">
        <f t="shared" si="2"/>
        <v>0</v>
      </c>
      <c r="G32" s="561">
        <f t="shared" si="3"/>
        <v>1456282.0374997444</v>
      </c>
      <c r="H32" s="561">
        <f t="shared" si="4"/>
        <v>3502315.5500030667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3502315.5500030667</v>
      </c>
      <c r="E33" s="561">
        <f t="shared" si="1"/>
        <v>1456282.0374997447</v>
      </c>
      <c r="F33" s="561">
        <f t="shared" si="2"/>
        <v>0</v>
      </c>
      <c r="G33" s="561">
        <f t="shared" si="3"/>
        <v>1456282.0374997447</v>
      </c>
      <c r="H33" s="561">
        <f t="shared" si="4"/>
        <v>2046033.512503322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2046033.512503322</v>
      </c>
      <c r="E34" s="561">
        <f t="shared" si="1"/>
        <v>1456282.0374997447</v>
      </c>
      <c r="F34" s="561">
        <f t="shared" si="2"/>
        <v>0</v>
      </c>
      <c r="G34" s="561">
        <f t="shared" si="3"/>
        <v>1456282.0374997447</v>
      </c>
      <c r="H34" s="561">
        <f t="shared" si="4"/>
        <v>589751.4750035773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589751.4750035773</v>
      </c>
      <c r="E35" s="561">
        <f t="shared" si="1"/>
        <v>1456282.0374997447</v>
      </c>
      <c r="F35" s="561">
        <f t="shared" si="2"/>
        <v>0</v>
      </c>
      <c r="G35" s="561">
        <f t="shared" si="3"/>
        <v>1456282.0374997447</v>
      </c>
      <c r="H35" s="561">
        <f t="shared" si="4"/>
        <v>-866530.56249616737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-866530.56249616737</v>
      </c>
      <c r="E36" s="561">
        <f t="shared" si="1"/>
        <v>1456282.0374997447</v>
      </c>
      <c r="F36" s="561">
        <f t="shared" si="2"/>
        <v>0</v>
      </c>
      <c r="G36" s="561">
        <f t="shared" si="3"/>
        <v>1456282.0374997447</v>
      </c>
      <c r="H36" s="561">
        <f t="shared" si="4"/>
        <v>-2322812.5999959121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-2322812.5999959121</v>
      </c>
      <c r="E37" s="561">
        <f t="shared" si="1"/>
        <v>1456282.0374997447</v>
      </c>
      <c r="F37" s="561">
        <f t="shared" si="2"/>
        <v>0</v>
      </c>
      <c r="G37" s="561">
        <f t="shared" si="3"/>
        <v>1456282.0374997444</v>
      </c>
      <c r="H37" s="561">
        <f t="shared" si="4"/>
        <v>-3779094.6374956565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-3779094.6374956565</v>
      </c>
      <c r="E38" s="561">
        <f t="shared" si="1"/>
        <v>1456282.0374997447</v>
      </c>
      <c r="F38" s="561">
        <f t="shared" si="2"/>
        <v>0</v>
      </c>
      <c r="G38" s="561">
        <f t="shared" si="3"/>
        <v>1456282.0374997444</v>
      </c>
      <c r="H38" s="561">
        <f>D38-E38</f>
        <v>-5235376.6749954009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-5235376.6749954009</v>
      </c>
      <c r="E39" s="561">
        <f t="shared" si="1"/>
        <v>1456282.0374997447</v>
      </c>
      <c r="F39" s="561">
        <f t="shared" si="2"/>
        <v>0</v>
      </c>
      <c r="G39" s="561">
        <f t="shared" si="3"/>
        <v>1456282.0374997444</v>
      </c>
      <c r="H39" s="561">
        <f t="shared" si="4"/>
        <v>-6691658.7124951454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-6691658.7124951454</v>
      </c>
      <c r="E40" s="561">
        <f t="shared" si="1"/>
        <v>1456282.0374997447</v>
      </c>
      <c r="F40" s="561">
        <f t="shared" si="2"/>
        <v>8147940.7499948898</v>
      </c>
      <c r="G40" s="561">
        <f t="shared" si="3"/>
        <v>-6691658.7124951454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1456282.0374997447</v>
      </c>
      <c r="F41" s="561">
        <f t="shared" si="2"/>
        <v>1456282.0374997447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1456282.0374997447</v>
      </c>
      <c r="F42" s="561">
        <f t="shared" si="2"/>
        <v>1456282.0374997447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1456282.0374997447</v>
      </c>
      <c r="F43" s="561">
        <f t="shared" si="2"/>
        <v>1456282.0374997447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1456282.0374997447</v>
      </c>
      <c r="F44" s="561">
        <f t="shared" si="2"/>
        <v>1456282.0374997447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1456282.0374997447</v>
      </c>
      <c r="F45" s="561">
        <f t="shared" si="2"/>
        <v>1456282.0374997447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1456282.0374997447</v>
      </c>
      <c r="F46" s="561">
        <f t="shared" si="2"/>
        <v>1456282.0374997447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1456282.0374997447</v>
      </c>
      <c r="F47" s="561">
        <f t="shared" si="2"/>
        <v>1456282.0374997447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1456282.0374997447</v>
      </c>
      <c r="F48" s="561">
        <f t="shared" si="2"/>
        <v>1456282.0374997447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1456282.0374997447</v>
      </c>
      <c r="F49" s="561">
        <f t="shared" si="2"/>
        <v>1456282.0374997447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1456282.0374997447</v>
      </c>
      <c r="F50" s="561">
        <f t="shared" si="2"/>
        <v>1456282.0374997447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1061</v>
      </c>
      <c r="E54" s="1657"/>
      <c r="F54" s="561"/>
      <c r="G54" s="1658" t="s">
        <v>1072</v>
      </c>
      <c r="H54" s="1659"/>
    </row>
    <row r="55" spans="2:28">
      <c r="D55" s="1655" t="s">
        <v>1048</v>
      </c>
      <c r="E55" s="1664">
        <f>'Cash Flow'!K15/0.05</f>
        <v>77547251.578510031</v>
      </c>
      <c r="F55" s="561"/>
      <c r="G55" s="1663" t="s">
        <v>1048</v>
      </c>
      <c r="H55" s="1667">
        <f>'Cash Flow'!N15/0.05</f>
        <v>83509908.219413877</v>
      </c>
    </row>
    <row r="56" spans="2:28">
      <c r="D56" s="1653" t="s">
        <v>1049</v>
      </c>
      <c r="E56" s="1665">
        <f>'Cash Flow'!K21/1.2</f>
        <v>1611823.6154561953</v>
      </c>
      <c r="F56" s="561"/>
      <c r="G56" s="1661" t="s">
        <v>1049</v>
      </c>
      <c r="H56" s="1668">
        <f>'Cash Flow'!N21/1.2</f>
        <v>1691595.8005969906</v>
      </c>
    </row>
    <row r="57" spans="2:28">
      <c r="D57" s="1653" t="s">
        <v>1050</v>
      </c>
      <c r="E57" s="1665">
        <f>E55*0.6</f>
        <v>46528350.947106019</v>
      </c>
      <c r="F57" s="561"/>
      <c r="G57" s="1661" t="s">
        <v>1050</v>
      </c>
      <c r="H57" s="1668">
        <f>H55*0.6</f>
        <v>50105944.931648321</v>
      </c>
    </row>
    <row r="58" spans="2:28">
      <c r="D58" s="1653" t="s">
        <v>1051</v>
      </c>
      <c r="E58" s="1665">
        <f>-PV(6.5%,34,E56)</f>
        <v>21883098.874853298</v>
      </c>
      <c r="F58" s="561"/>
      <c r="G58" s="1661" t="s">
        <v>1051</v>
      </c>
      <c r="H58" s="1668">
        <f>-PV(6.5%,30,H56)</f>
        <v>22090001.323951572</v>
      </c>
    </row>
    <row r="59" spans="2:28">
      <c r="D59" s="1652" t="s">
        <v>1052</v>
      </c>
      <c r="E59" s="1665">
        <f>E58-H27</f>
        <v>11099373.137351509</v>
      </c>
      <c r="F59" s="561"/>
      <c r="G59" s="1660" t="s">
        <v>1052</v>
      </c>
      <c r="H59" s="1668">
        <f>H58-H30</f>
        <v>15675121.698949017</v>
      </c>
    </row>
    <row r="60" spans="2:28" ht="13.5" thickBot="1">
      <c r="D60" s="1654" t="s">
        <v>1053</v>
      </c>
      <c r="E60" s="1666">
        <f>E59*GapCalc!I33</f>
        <v>9434467.1667487826</v>
      </c>
      <c r="F60" s="561"/>
      <c r="G60" s="1662" t="s">
        <v>1053</v>
      </c>
      <c r="H60" s="1669">
        <f>H59*GapCalc!I33</f>
        <v>13323853.444106665</v>
      </c>
    </row>
    <row r="61" spans="2:28">
      <c r="E61" s="561"/>
    </row>
    <row r="62" spans="2:28">
      <c r="C62" s="1645"/>
      <c r="E62" s="561"/>
    </row>
    <row r="64" spans="2:28">
      <c r="C64" s="1646"/>
    </row>
    <row r="66" spans="3:12">
      <c r="L66" s="530" t="s">
        <v>1090</v>
      </c>
    </row>
    <row r="67" spans="3:12">
      <c r="H67" s="1647"/>
    </row>
    <row r="68" spans="3:12">
      <c r="H68" s="1648"/>
    </row>
    <row r="70" spans="3:12">
      <c r="H70" s="564"/>
    </row>
    <row r="72" spans="3:12">
      <c r="D72" s="1649"/>
      <c r="E72" s="1649"/>
      <c r="F72" s="1649"/>
      <c r="G72" s="1649"/>
      <c r="H72" s="1649"/>
    </row>
    <row r="73" spans="3:12">
      <c r="C73" s="569"/>
      <c r="D73" s="1649"/>
      <c r="E73" s="1649"/>
      <c r="F73" s="1649"/>
      <c r="G73" s="1649"/>
      <c r="H73" s="1649"/>
    </row>
    <row r="74" spans="3:12">
      <c r="C74" s="569"/>
      <c r="D74" s="564"/>
      <c r="E74" s="564"/>
      <c r="F74" s="1650"/>
      <c r="G74" s="564"/>
      <c r="H74" s="564"/>
    </row>
    <row r="75" spans="3:12">
      <c r="C75" s="569"/>
      <c r="D75" s="564"/>
      <c r="E75" s="564"/>
      <c r="F75" s="1650"/>
      <c r="G75" s="564"/>
      <c r="H75" s="564"/>
    </row>
    <row r="76" spans="3:12">
      <c r="C76" s="569"/>
      <c r="D76" s="564"/>
      <c r="E76" s="564"/>
      <c r="F76" s="1650"/>
      <c r="G76" s="564"/>
      <c r="H76" s="564"/>
    </row>
    <row r="77" spans="3:12">
      <c r="C77" s="569"/>
      <c r="D77" s="564"/>
      <c r="E77" s="564"/>
      <c r="F77" s="1650"/>
      <c r="G77" s="564"/>
      <c r="H77" s="564"/>
    </row>
    <row r="78" spans="3:12">
      <c r="C78" s="569"/>
      <c r="D78" s="564"/>
      <c r="E78" s="564"/>
      <c r="F78" s="1650"/>
      <c r="G78" s="564"/>
      <c r="H78" s="564"/>
    </row>
    <row r="79" spans="3:12">
      <c r="C79" s="569"/>
      <c r="D79" s="564"/>
      <c r="E79" s="564"/>
      <c r="F79" s="1650"/>
      <c r="G79" s="564"/>
      <c r="H79" s="564"/>
    </row>
    <row r="80" spans="3:12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977</v>
      </c>
    </row>
    <row r="3" spans="1:5">
      <c r="B3" s="1401" t="s">
        <v>957</v>
      </c>
      <c r="C3" s="1415">
        <f>'Development Budget'!E18</f>
        <v>16380000</v>
      </c>
      <c r="D3" s="1402" t="s">
        <v>959</v>
      </c>
      <c r="E3" s="1413">
        <v>1.199398E-2</v>
      </c>
    </row>
    <row r="4" spans="1:5" ht="31.5">
      <c r="B4" s="1403" t="s">
        <v>958</v>
      </c>
      <c r="C4" s="1416">
        <f>SUM('Development Budget'!G31+'Development Budget'!G32)</f>
        <v>70793329.5</v>
      </c>
      <c r="D4" s="1404" t="s">
        <v>960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961</v>
      </c>
      <c r="C6" s="1402" t="s">
        <v>962</v>
      </c>
      <c r="D6" s="1405" t="s">
        <v>963</v>
      </c>
      <c r="E6" s="1315"/>
    </row>
    <row r="7" spans="1:5">
      <c r="A7" s="1408"/>
      <c r="B7" s="1417">
        <f>C3*E3</f>
        <v>196461.39239999998</v>
      </c>
      <c r="C7" s="1417">
        <f>C4*E4</f>
        <v>849093.77815640997</v>
      </c>
      <c r="D7" s="1409">
        <f>(1-'Rental Income'!O19)</f>
        <v>7.9365079365079083E-3</v>
      </c>
    </row>
    <row r="8" spans="1:5">
      <c r="A8" s="1410" t="s">
        <v>964</v>
      </c>
      <c r="B8" s="1417">
        <f>B7*D7</f>
        <v>1559.2173999999943</v>
      </c>
      <c r="C8" s="1417">
        <f>C7*D7</f>
        <v>6738.839509177833</v>
      </c>
      <c r="D8" s="1411"/>
    </row>
    <row r="9" spans="1:5">
      <c r="A9" s="1408"/>
      <c r="B9" s="1417"/>
      <c r="C9" s="1417"/>
      <c r="D9" s="1411"/>
    </row>
    <row r="10" spans="1:5">
      <c r="A10" s="1412" t="s">
        <v>965</v>
      </c>
      <c r="B10" s="1418">
        <f>SUM(B8:C8)</f>
        <v>8298.056909177827</v>
      </c>
      <c r="C10" s="1418"/>
      <c r="D10" s="1406"/>
    </row>
    <row r="12" spans="1:5">
      <c r="A12" t="s">
        <v>974</v>
      </c>
    </row>
    <row r="13" spans="1:5">
      <c r="A13" t="s">
        <v>975</v>
      </c>
      <c r="B13">
        <v>6</v>
      </c>
      <c r="C13" s="1425">
        <f>C3*(E3/12)*B13</f>
        <v>98230.696200000006</v>
      </c>
    </row>
    <row r="14" spans="1:5">
      <c r="A14" t="s">
        <v>976</v>
      </c>
      <c r="B14">
        <v>24</v>
      </c>
      <c r="C14" s="1425">
        <f>C3*(E3/12)*B14</f>
        <v>392922.78480000002</v>
      </c>
    </row>
    <row r="15" spans="1:5">
      <c r="A15" s="40" t="s">
        <v>978</v>
      </c>
      <c r="C15" s="1428">
        <f>SUM(C13+C14)</f>
        <v>491153.48100000003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252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3513828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-175970.40000000002</v>
      </c>
      <c r="E18" s="50"/>
      <c r="F18" s="55">
        <v>0.05</v>
      </c>
    </row>
    <row r="19" spans="1:25">
      <c r="A19" s="40" t="s">
        <v>164</v>
      </c>
      <c r="D19" s="57">
        <f>SUM(D15:D18)</f>
        <v>3343437.6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1890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131433</v>
      </c>
      <c r="E22" s="48">
        <v>1043</v>
      </c>
      <c r="F22" s="453" t="s">
        <v>171</v>
      </c>
      <c r="N22" s="428">
        <f>D22*0.8</f>
        <v>105146.40000000001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38918.879999999997</v>
      </c>
      <c r="Y22" s="688">
        <f>T22/5</f>
        <v>154.44</v>
      </c>
    </row>
    <row r="23" spans="1:25">
      <c r="B23" t="s">
        <v>173</v>
      </c>
      <c r="D23" s="48">
        <f>(E23*$D$10-20)/2</f>
        <v>168074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23466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121351.36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1512</v>
      </c>
      <c r="Y25" s="688">
        <f>T25/5</f>
        <v>6</v>
      </c>
    </row>
    <row r="26" spans="1:25">
      <c r="A26" s="40" t="s">
        <v>182</v>
      </c>
      <c r="D26" s="51">
        <f>SUM(D22:D25)</f>
        <v>444324.36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46872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25200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100800</v>
      </c>
      <c r="Y30">
        <v>400</v>
      </c>
    </row>
    <row r="31" spans="1:25">
      <c r="B31" t="s">
        <v>191</v>
      </c>
      <c r="D31" s="48">
        <f>E31*$D$10</f>
        <v>41328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197421.98</v>
      </c>
    </row>
    <row r="32" spans="1:25">
      <c r="A32" s="42"/>
      <c r="B32" s="43" t="s">
        <v>193</v>
      </c>
      <c r="C32" s="43"/>
      <c r="D32" s="50">
        <f>E32*$D$10</f>
        <v>7560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120960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11340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29400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133560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11340</v>
      </c>
      <c r="Y36" s="688">
        <f>T36/6</f>
        <v>45</v>
      </c>
    </row>
    <row r="37" spans="1:25">
      <c r="B37" t="s">
        <v>201</v>
      </c>
      <c r="D37" s="48">
        <f>E37*$D$10</f>
        <v>199080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31500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106092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83580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438732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92988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66982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99792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34272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214200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13860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391164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8298.056909177827</v>
      </c>
      <c r="Y56" s="1309">
        <f>X56/'Rental Income'!D15</f>
        <v>32.92879725864217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436.27870666666666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1936.2787066666667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211680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158.73015873015873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80882.190242511162</v>
      </c>
    </row>
    <row r="65" spans="1:25">
      <c r="B65" t="s">
        <v>249</v>
      </c>
      <c r="D65" s="48">
        <f>E65*$D$10</f>
        <v>37800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301480</v>
      </c>
      <c r="E67" s="48">
        <f>SUM(E62:E66)</f>
        <v>1333.7301587301588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75600</v>
      </c>
      <c r="E69" s="426">
        <v>300</v>
      </c>
    </row>
    <row r="70" spans="1:25">
      <c r="V70" s="40" t="s">
        <v>255</v>
      </c>
      <c r="X70" s="1307">
        <f>SUM(X68,X64,X54,X39,X31)</f>
        <v>528125.1702425112</v>
      </c>
      <c r="Y70" s="1307">
        <f>X70/D10</f>
        <v>2095.7348025496476</v>
      </c>
    </row>
    <row r="71" spans="1:25">
      <c r="A71" s="40" t="s">
        <v>256</v>
      </c>
      <c r="D71" s="48">
        <f>E71*$D$10</f>
        <v>126000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2168172.5940799997</v>
      </c>
      <c r="E73" s="52">
        <f>E71+E69+E67+E54+E59+E45+E43+E41+E33+E26</f>
        <v>11623.008865396827</v>
      </c>
      <c r="G73" s="147"/>
      <c r="H73">
        <f>('Operating Budget'!D73-'Operating Budget'!D69-'Operating Budget'!D57)*-1</f>
        <v>-2092572.5940799997</v>
      </c>
      <c r="Y73" s="1309">
        <f>Y70-6000</f>
        <v>-3904.2651974503524</v>
      </c>
    </row>
    <row r="75" spans="1:25">
      <c r="A75" s="44" t="s">
        <v>259</v>
      </c>
      <c r="B75" s="45"/>
      <c r="C75" s="45"/>
      <c r="D75" s="52">
        <f>D19-D73</f>
        <v>1175265.0059200004</v>
      </c>
      <c r="E75" s="52">
        <f>D75/D10</f>
        <v>4663.7500234920653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212112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88641661.874999985</v>
      </c>
      <c r="C7" s="465">
        <f>'Dev Summary_5-20'!B8</f>
        <v>3190331</v>
      </c>
      <c r="D7" s="465">
        <f t="shared" ref="D7:D14" si="0">B7-C7</f>
        <v>85451330.874999985</v>
      </c>
      <c r="E7" s="477">
        <f t="shared" ref="E7:E15" si="1">D7/B7</f>
        <v>0.96400867343282759</v>
      </c>
      <c r="F7" s="477"/>
      <c r="G7" s="472" t="e">
        <f t="shared" ref="G7:G14" si="2">B7/$B$15</f>
        <v>#REF!</v>
      </c>
      <c r="I7" s="147">
        <f>B7/$H$4</f>
        <v>805833.28977272718</v>
      </c>
      <c r="J7" s="53">
        <f>B7/$H$5</f>
        <v>417.9002690795428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359220.4055422768</v>
      </c>
      <c r="C9" s="446">
        <f>'Dev Summary_5-20'!B10</f>
        <v>50000</v>
      </c>
      <c r="D9" s="446">
        <f t="shared" si="0"/>
        <v>309220.4055422768</v>
      </c>
      <c r="E9" s="477">
        <f t="shared" si="1"/>
        <v>0.86080968890249898</v>
      </c>
      <c r="F9" s="477"/>
      <c r="G9" s="473" t="e">
        <f t="shared" si="2"/>
        <v>#REF!</v>
      </c>
      <c r="I9" s="53">
        <f t="shared" si="3"/>
        <v>3265.6400503843347</v>
      </c>
      <c r="J9" s="53">
        <f t="shared" si="4"/>
        <v>1.6935411742017275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0.15086369465188201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491153.48100000003</v>
      </c>
      <c r="C12" s="446">
        <f>'Dev Summary_5-20'!B13</f>
        <v>2500000</v>
      </c>
      <c r="D12" s="446">
        <f t="shared" si="0"/>
        <v>-2008846.5189999999</v>
      </c>
      <c r="E12" s="477">
        <f t="shared" si="1"/>
        <v>-4.0900586002362056</v>
      </c>
      <c r="F12" s="477"/>
      <c r="G12" s="473" t="e">
        <f t="shared" si="2"/>
        <v>#REF!</v>
      </c>
      <c r="I12" s="53">
        <f t="shared" si="3"/>
        <v>4465.0316454545455</v>
      </c>
      <c r="J12" s="53">
        <f t="shared" si="4"/>
        <v>2.3155383995247796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3975786</v>
      </c>
      <c r="C14" s="467">
        <f>'Dev Summary_5-20'!B14</f>
        <v>282276.62941911275</v>
      </c>
      <c r="D14" s="467">
        <f t="shared" si="0"/>
        <v>3693509.3705808874</v>
      </c>
      <c r="E14" s="478">
        <f t="shared" si="1"/>
        <v>0.92900105050445059</v>
      </c>
      <c r="F14" s="478"/>
      <c r="G14" s="474" t="e">
        <f t="shared" si="2"/>
        <v>#REF!</v>
      </c>
      <c r="I14" s="53">
        <f t="shared" si="3"/>
        <v>36143.509090909094</v>
      </c>
      <c r="J14" s="53">
        <f t="shared" si="4"/>
        <v>18.743805159538358</v>
      </c>
    </row>
    <row r="15" spans="1:10" ht="16.5" thickTop="1">
      <c r="A15" s="463" t="s">
        <v>59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20977713.181641962</v>
      </c>
      <c r="C21" s="48">
        <v>18731659</v>
      </c>
      <c r="D21" s="48">
        <f>B21-C21</f>
        <v>2246054.1816419624</v>
      </c>
      <c r="E21" s="55">
        <f>D21/B21</f>
        <v>0.10706859046998181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10225642.848337203</v>
      </c>
      <c r="C26" s="48">
        <v>12677529</v>
      </c>
      <c r="D26" s="48">
        <f t="shared" si="5"/>
        <v>-2451886.1516627967</v>
      </c>
      <c r="E26" s="55">
        <f t="shared" si="6"/>
        <v>-0.23977819175070242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0</v>
      </c>
      <c r="C28" s="50"/>
      <c r="D28" s="50">
        <f t="shared" si="5"/>
        <v>0</v>
      </c>
      <c r="E28" s="476" t="e">
        <f t="shared" si="6"/>
        <v>#DIV/0!</v>
      </c>
      <c r="F28" s="482"/>
    </row>
    <row r="29" spans="1:6" ht="16.5" thickTop="1">
      <c r="A29" s="451" t="s">
        <v>59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988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989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990</v>
      </c>
      <c r="B3" s="1452" t="s">
        <v>1071</v>
      </c>
      <c r="C3" s="1453"/>
      <c r="D3" s="1453" t="s">
        <v>991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992</v>
      </c>
      <c r="B4" s="1456" t="s">
        <v>993</v>
      </c>
      <c r="C4" s="1457"/>
      <c r="D4" s="1457"/>
      <c r="E4" s="1457" t="s">
        <v>994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995</v>
      </c>
      <c r="D5" s="1457"/>
      <c r="E5" s="1457"/>
      <c r="F5" s="1457"/>
      <c r="G5" s="1457"/>
      <c r="H5" s="1457"/>
      <c r="I5" s="1460" t="s">
        <v>996</v>
      </c>
      <c r="J5" s="1457"/>
      <c r="K5" s="1459"/>
    </row>
    <row r="6" spans="1:11" ht="16.5" thickBot="1">
      <c r="A6" s="1461" t="s">
        <v>997</v>
      </c>
      <c r="B6" s="1462"/>
      <c r="C6" s="1463">
        <v>20</v>
      </c>
      <c r="D6" s="1462"/>
      <c r="E6" s="1462" t="s">
        <v>998</v>
      </c>
      <c r="F6" s="1462"/>
      <c r="G6" s="1462"/>
      <c r="H6" s="1464">
        <f>'Development Budget'!G46+'Development Budget'!G47</f>
        <v>97505828.062499985</v>
      </c>
      <c r="I6" s="1465"/>
      <c r="J6" s="1466"/>
      <c r="K6" s="1467"/>
    </row>
    <row r="7" spans="1:11">
      <c r="A7" s="1468" t="s">
        <v>999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1000</v>
      </c>
      <c r="B8" s="1470"/>
      <c r="C8" s="1470"/>
      <c r="D8" s="1473">
        <f>SUM(H6/1000)*0.9+500</f>
        <v>88255.245256249997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1001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79429.720730625006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1002</v>
      </c>
      <c r="B13" s="1470"/>
      <c r="C13" s="1470"/>
      <c r="D13" s="1473">
        <f>SUM(A14+A15+A16)/100*0.415/12*C6</f>
        <v>706543.22743229161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97505828.062499985</v>
      </c>
      <c r="B14" s="1470" t="s">
        <v>1003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1004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1005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1006</v>
      </c>
      <c r="B17" s="1470"/>
      <c r="C17" s="1470"/>
      <c r="D17" s="1473">
        <f>SUM(H6/1000)*0.23</f>
        <v>22426.340454375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1007</v>
      </c>
      <c r="B19" s="1470"/>
      <c r="C19" s="1470"/>
      <c r="D19" s="1473"/>
      <c r="E19" s="1478">
        <f>SUM(D8:D17)</f>
        <v>896654.53387354163</v>
      </c>
      <c r="F19" s="1470"/>
      <c r="G19" s="1479" t="s">
        <v>1008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1009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1010</v>
      </c>
      <c r="B23" s="1491" t="str">
        <f>B3</f>
        <v>St. James UMC</v>
      </c>
      <c r="C23" s="1491"/>
      <c r="D23" s="1491"/>
      <c r="E23" s="1491" t="s">
        <v>1011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993</v>
      </c>
      <c r="C24" s="1491"/>
      <c r="D24" s="1491"/>
      <c r="E24" s="1491"/>
      <c r="F24" s="1491"/>
      <c r="G24" s="1491"/>
      <c r="H24" s="1491"/>
      <c r="I24" s="1495" t="s">
        <v>996</v>
      </c>
      <c r="J24" s="1491"/>
      <c r="K24" s="1493"/>
    </row>
    <row r="25" spans="1:11" ht="16.5" thickBot="1">
      <c r="A25" s="1496" t="s">
        <v>1012</v>
      </c>
      <c r="B25" s="1497"/>
      <c r="C25" s="1498">
        <v>50</v>
      </c>
      <c r="D25" s="1497"/>
      <c r="E25" s="1497" t="s">
        <v>1013</v>
      </c>
      <c r="F25" s="1497"/>
      <c r="G25" s="1497"/>
      <c r="H25" s="1499">
        <f>SUM(H6*0.8)</f>
        <v>78004662.449999988</v>
      </c>
      <c r="I25" s="1500"/>
      <c r="J25" s="1501"/>
      <c r="K25" s="1502"/>
    </row>
    <row r="26" spans="1:11">
      <c r="A26" s="1503" t="s">
        <v>999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1000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1001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1014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1015</v>
      </c>
      <c r="B32" s="1505"/>
      <c r="C32" s="1505"/>
      <c r="D32" s="1508">
        <f>SUM(A33+A34+A35)/100*0.135+500</f>
        <v>107062.23818749998</v>
      </c>
      <c r="E32" s="1505" t="s">
        <v>1016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78004662.449999988</v>
      </c>
      <c r="B33" s="1505" t="s">
        <v>1017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159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1018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1019</v>
      </c>
      <c r="B36" s="1505"/>
      <c r="C36" s="1505"/>
      <c r="D36" s="1508"/>
      <c r="E36" s="1511">
        <f>SUM(D27:D34)</f>
        <v>114149.73818749998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59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455</v>
      </c>
      <c r="B5" s="1762"/>
      <c r="C5" s="1762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59</v>
      </c>
    </row>
    <row r="6" spans="1:25" s="138" customFormat="1" ht="15">
      <c r="A6" s="1763"/>
      <c r="B6" s="1764"/>
      <c r="C6" s="1764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469</v>
      </c>
      <c r="B5" s="1762"/>
      <c r="C5" s="1762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59</v>
      </c>
    </row>
    <row r="6" spans="1:25" s="138" customFormat="1" ht="15">
      <c r="A6" s="1763"/>
      <c r="B6" s="1764"/>
      <c r="C6" s="1764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1061899.9424999999</v>
      </c>
      <c r="E10" s="748">
        <f>'PreDev Flow of Funds'!Y10+'PreDev Flow of Funds'!Y12</f>
        <v>1395966</v>
      </c>
      <c r="F10" s="748">
        <f>(D10-E10)/18</f>
        <v>-18559.225416666672</v>
      </c>
      <c r="G10" s="748">
        <f>$F$10</f>
        <v>-18559.225416666672</v>
      </c>
      <c r="H10" s="748">
        <f t="shared" ref="H10:W10" si="2">$F$10</f>
        <v>-18559.225416666672</v>
      </c>
      <c r="I10" s="748">
        <f t="shared" si="2"/>
        <v>-18559.225416666672</v>
      </c>
      <c r="J10" s="748">
        <f t="shared" si="2"/>
        <v>-18559.225416666672</v>
      </c>
      <c r="K10" s="748">
        <f t="shared" si="2"/>
        <v>-18559.225416666672</v>
      </c>
      <c r="L10" s="748">
        <f t="shared" si="2"/>
        <v>-18559.225416666672</v>
      </c>
      <c r="M10" s="748">
        <f t="shared" si="2"/>
        <v>-18559.225416666672</v>
      </c>
      <c r="N10" s="748">
        <f t="shared" si="2"/>
        <v>-18559.225416666672</v>
      </c>
      <c r="O10" s="748">
        <f t="shared" si="2"/>
        <v>-18559.225416666672</v>
      </c>
      <c r="P10" s="748">
        <f t="shared" si="2"/>
        <v>-18559.225416666672</v>
      </c>
      <c r="Q10" s="748">
        <f t="shared" si="2"/>
        <v>-18559.225416666672</v>
      </c>
      <c r="R10" s="748">
        <f t="shared" si="2"/>
        <v>-18559.225416666672</v>
      </c>
      <c r="S10" s="748">
        <f t="shared" si="2"/>
        <v>-18559.225416666672</v>
      </c>
      <c r="T10" s="748">
        <f t="shared" si="2"/>
        <v>-18559.225416666672</v>
      </c>
      <c r="U10" s="748">
        <f t="shared" si="2"/>
        <v>-18559.225416666672</v>
      </c>
      <c r="V10" s="748">
        <f t="shared" si="2"/>
        <v>-18559.225416666672</v>
      </c>
      <c r="W10" s="748">
        <f t="shared" si="2"/>
        <v>-18559.225416666672</v>
      </c>
      <c r="X10" s="748"/>
      <c r="Y10" s="748">
        <f>SUM(E10:W10)</f>
        <v>1061899.9425000013</v>
      </c>
    </row>
    <row r="11" spans="1:25" ht="15">
      <c r="A11" s="402"/>
      <c r="B11" s="403" t="s">
        <v>387</v>
      </c>
      <c r="C11" s="748"/>
      <c r="D11" s="748">
        <f>'Development Budget'!G41</f>
        <v>1061899.9424999999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88641661.874999985</v>
      </c>
      <c r="E13" s="748">
        <f>'PreDev Flow of Funds'!Y14</f>
        <v>69798.3</v>
      </c>
      <c r="F13" s="748">
        <f>(D13-E13)/18</f>
        <v>4920659.0874999994</v>
      </c>
      <c r="G13" s="748">
        <f>$F$13</f>
        <v>4920659.0874999994</v>
      </c>
      <c r="H13" s="748">
        <f t="shared" ref="H13:W13" si="5">$F$13</f>
        <v>4920659.0874999994</v>
      </c>
      <c r="I13" s="748">
        <f t="shared" si="5"/>
        <v>4920659.0874999994</v>
      </c>
      <c r="J13" s="748">
        <f t="shared" si="5"/>
        <v>4920659.0874999994</v>
      </c>
      <c r="K13" s="748">
        <f t="shared" si="5"/>
        <v>4920659.0874999994</v>
      </c>
      <c r="L13" s="748">
        <f t="shared" si="5"/>
        <v>4920659.0874999994</v>
      </c>
      <c r="M13" s="748">
        <f t="shared" si="5"/>
        <v>4920659.0874999994</v>
      </c>
      <c r="N13" s="748">
        <f t="shared" si="5"/>
        <v>4920659.0874999994</v>
      </c>
      <c r="O13" s="748">
        <f t="shared" si="5"/>
        <v>4920659.0874999994</v>
      </c>
      <c r="P13" s="748">
        <f t="shared" si="5"/>
        <v>4920659.0874999994</v>
      </c>
      <c r="Q13" s="748">
        <f t="shared" si="5"/>
        <v>4920659.0874999994</v>
      </c>
      <c r="R13" s="748">
        <f t="shared" si="5"/>
        <v>4920659.0874999994</v>
      </c>
      <c r="S13" s="748">
        <f t="shared" si="5"/>
        <v>4920659.0874999994</v>
      </c>
      <c r="T13" s="748">
        <f t="shared" si="5"/>
        <v>4920659.0874999994</v>
      </c>
      <c r="U13" s="748">
        <f t="shared" si="5"/>
        <v>4920659.0874999994</v>
      </c>
      <c r="V13" s="748">
        <f t="shared" si="5"/>
        <v>4920659.0874999994</v>
      </c>
      <c r="W13" s="748">
        <f t="shared" si="5"/>
        <v>4920659.0874999994</v>
      </c>
      <c r="X13" s="748"/>
      <c r="Y13" s="748">
        <f t="shared" si="3"/>
        <v>88641661.875000015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88641661.874999985</v>
      </c>
      <c r="E15" s="748">
        <f>'PreDev Flow of Funds'!Y16+'PreDev Flow of Funds'!Y17+'PreDev Flow of Funds'!Y19</f>
        <v>72500</v>
      </c>
      <c r="F15" s="748">
        <f>(D15-E15)/18</f>
        <v>4920508.993055555</v>
      </c>
      <c r="G15" s="748">
        <f>$F$15</f>
        <v>4920508.993055555</v>
      </c>
      <c r="H15" s="748">
        <f t="shared" ref="H15:W15" si="7">$F$15</f>
        <v>4920508.993055555</v>
      </c>
      <c r="I15" s="748">
        <f t="shared" si="7"/>
        <v>4920508.993055555</v>
      </c>
      <c r="J15" s="748">
        <f t="shared" si="7"/>
        <v>4920508.993055555</v>
      </c>
      <c r="K15" s="748">
        <f t="shared" si="7"/>
        <v>4920508.993055555</v>
      </c>
      <c r="L15" s="748">
        <f t="shared" si="7"/>
        <v>4920508.993055555</v>
      </c>
      <c r="M15" s="748">
        <f t="shared" si="7"/>
        <v>4920508.993055555</v>
      </c>
      <c r="N15" s="748">
        <f t="shared" si="7"/>
        <v>4920508.993055555</v>
      </c>
      <c r="O15" s="748">
        <f t="shared" si="7"/>
        <v>4920508.993055555</v>
      </c>
      <c r="P15" s="748">
        <f t="shared" si="7"/>
        <v>4920508.993055555</v>
      </c>
      <c r="Q15" s="748">
        <f t="shared" si="7"/>
        <v>4920508.993055555</v>
      </c>
      <c r="R15" s="748">
        <f t="shared" si="7"/>
        <v>4920508.993055555</v>
      </c>
      <c r="S15" s="748">
        <f t="shared" si="7"/>
        <v>4920508.993055555</v>
      </c>
      <c r="T15" s="748">
        <f t="shared" si="7"/>
        <v>4920508.993055555</v>
      </c>
      <c r="U15" s="748">
        <f t="shared" si="7"/>
        <v>4920508.993055555</v>
      </c>
      <c r="V15" s="748">
        <f t="shared" si="7"/>
        <v>4920508.993055555</v>
      </c>
      <c r="W15" s="748">
        <f t="shared" si="7"/>
        <v>4920508.993055555</v>
      </c>
      <c r="X15" s="748"/>
      <c r="Y15" s="748">
        <f t="shared" si="3"/>
        <v>88641661.87499997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16555000</v>
      </c>
      <c r="E26" s="748">
        <v>0</v>
      </c>
      <c r="F26" s="748">
        <f>D26/2</f>
        <v>8277500</v>
      </c>
      <c r="G26" s="748">
        <f>F26</f>
        <v>8277500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16555000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70793329.5</v>
      </c>
      <c r="E33" s="748">
        <v>0</v>
      </c>
      <c r="F33" s="748">
        <f>D33</f>
        <v>70793329.5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70793329.5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221604.15468749998</v>
      </c>
      <c r="E43" s="748">
        <f>D43</f>
        <v>221604.15468749998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221604.15468749998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412604.15468749998</v>
      </c>
      <c r="E52" s="748">
        <f>D52</f>
        <v>412604.15468749998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412604.15468749998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3975786</v>
      </c>
      <c r="E58" s="748">
        <f>'PreDev Flow of Funds'!Y46</f>
        <v>96238.814999999988</v>
      </c>
      <c r="F58" s="748">
        <f>(D58-E58)/18</f>
        <v>215530.39916666667</v>
      </c>
      <c r="G58" s="748">
        <f>$F$58</f>
        <v>215530.39916666667</v>
      </c>
      <c r="H58" s="748">
        <f t="shared" ref="H58:W58" si="18">$F$58</f>
        <v>215530.39916666667</v>
      </c>
      <c r="I58" s="748">
        <f t="shared" si="18"/>
        <v>215530.39916666667</v>
      </c>
      <c r="J58" s="748">
        <f t="shared" si="18"/>
        <v>215530.39916666667</v>
      </c>
      <c r="K58" s="748">
        <f t="shared" si="18"/>
        <v>215530.39916666667</v>
      </c>
      <c r="L58" s="748">
        <f t="shared" si="18"/>
        <v>215530.39916666667</v>
      </c>
      <c r="M58" s="748">
        <f t="shared" si="18"/>
        <v>215530.39916666667</v>
      </c>
      <c r="N58" s="748">
        <f t="shared" si="18"/>
        <v>215530.39916666667</v>
      </c>
      <c r="O58" s="748">
        <f t="shared" si="18"/>
        <v>215530.39916666667</v>
      </c>
      <c r="P58" s="748">
        <f t="shared" si="18"/>
        <v>215530.39916666667</v>
      </c>
      <c r="Q58" s="748">
        <f t="shared" si="18"/>
        <v>215530.39916666667</v>
      </c>
      <c r="R58" s="748">
        <f t="shared" si="18"/>
        <v>215530.39916666667</v>
      </c>
      <c r="S58" s="748">
        <f t="shared" si="18"/>
        <v>215530.39916666667</v>
      </c>
      <c r="T58" s="748">
        <f t="shared" si="18"/>
        <v>215530.39916666667</v>
      </c>
      <c r="U58" s="748">
        <f t="shared" si="18"/>
        <v>215530.39916666667</v>
      </c>
      <c r="V58" s="748">
        <f t="shared" si="18"/>
        <v>215530.39916666667</v>
      </c>
      <c r="W58" s="748">
        <f t="shared" si="18"/>
        <v>215530.39916666667</v>
      </c>
      <c r="X58" s="748"/>
      <c r="Y58" s="748">
        <f t="shared" si="3"/>
        <v>3975786.0000000019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359220.4055422768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15479361.384374997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89148665.503889993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-8624875.8876396641</v>
      </c>
      <c r="E87" s="749">
        <f>E80-E84-E85-E86-E88-E89-E90-E91</f>
        <v>638208.30937499553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15479361.384374997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51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926</v>
      </c>
    </row>
    <row r="5" spans="3:6">
      <c r="D5" t="s">
        <v>927</v>
      </c>
    </row>
    <row r="6" spans="3:6">
      <c r="E6" t="s">
        <v>928</v>
      </c>
      <c r="F6" s="1310">
        <f>544</f>
        <v>544</v>
      </c>
    </row>
    <row r="7" spans="3:6">
      <c r="D7" t="s">
        <v>929</v>
      </c>
      <c r="F7" s="1310"/>
    </row>
    <row r="8" spans="3:6">
      <c r="F8" s="1310">
        <v>0</v>
      </c>
    </row>
    <row r="9" spans="3:6">
      <c r="D9" t="s">
        <v>930</v>
      </c>
      <c r="F9" s="1310">
        <v>234</v>
      </c>
    </row>
    <row r="10" spans="3:6">
      <c r="F10" s="1310"/>
    </row>
    <row r="11" spans="3:6">
      <c r="D11" t="s">
        <v>931</v>
      </c>
      <c r="F11" s="1310"/>
    </row>
    <row r="12" spans="3:6">
      <c r="E12" t="s">
        <v>932</v>
      </c>
      <c r="F12" s="1310">
        <v>3437</v>
      </c>
    </row>
    <row r="13" spans="3:6">
      <c r="E13" t="s">
        <v>933</v>
      </c>
      <c r="F13" s="1310">
        <v>426</v>
      </c>
    </row>
    <row r="14" spans="3:6">
      <c r="E14" t="s">
        <v>934</v>
      </c>
      <c r="F14" s="1310">
        <f>950+176+167+200</f>
        <v>1493</v>
      </c>
    </row>
    <row r="15" spans="3:6">
      <c r="E15" t="s">
        <v>935</v>
      </c>
      <c r="F15" s="59">
        <v>1357</v>
      </c>
    </row>
    <row r="16" spans="3:6">
      <c r="F16" s="59"/>
    </row>
    <row r="17" spans="3:6">
      <c r="D17" s="1311" t="s">
        <v>59</v>
      </c>
      <c r="F17" s="1312">
        <f>SUM(F6:F16)</f>
        <v>7491</v>
      </c>
    </row>
    <row r="19" spans="3:6">
      <c r="D19" t="s">
        <v>936</v>
      </c>
    </row>
    <row r="20" spans="3:6">
      <c r="D20" t="s">
        <v>937</v>
      </c>
      <c r="F20" s="1313">
        <v>2379</v>
      </c>
    </row>
    <row r="24" spans="3:6">
      <c r="C24" s="1157" t="s">
        <v>938</v>
      </c>
    </row>
    <row r="27" spans="3:6">
      <c r="D27" t="s">
        <v>939</v>
      </c>
    </row>
    <row r="29" spans="3:6">
      <c r="D29" t="s">
        <v>940</v>
      </c>
      <c r="F29" s="1310">
        <v>37.33</v>
      </c>
    </row>
    <row r="31" spans="3:6">
      <c r="D31" t="s">
        <v>941</v>
      </c>
      <c r="E31" s="1314">
        <v>10000000</v>
      </c>
      <c r="F31" s="1310">
        <v>88992.67</v>
      </c>
    </row>
    <row r="33" spans="4:6">
      <c r="D33" t="s">
        <v>942</v>
      </c>
      <c r="F33" t="s">
        <v>943</v>
      </c>
    </row>
    <row r="34" spans="4:6">
      <c r="E34" t="s">
        <v>944</v>
      </c>
      <c r="F34" s="1310">
        <v>1743.09</v>
      </c>
    </row>
    <row r="35" spans="4:6" ht="31.5">
      <c r="E35" s="1315" t="s">
        <v>945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761"/>
      <c r="B5" s="1762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763"/>
      <c r="B6" s="1774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763"/>
      <c r="B40" s="1774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763"/>
      <c r="B73" s="1764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765" t="s">
        <v>589</v>
      </c>
      <c r="D74" s="1766"/>
      <c r="E74" s="1766"/>
      <c r="F74" s="1766"/>
      <c r="G74" s="1766"/>
      <c r="H74" s="1766"/>
      <c r="I74" s="1767"/>
      <c r="J74" s="1775" t="s">
        <v>582</v>
      </c>
      <c r="K74" s="1776"/>
      <c r="L74" s="1776"/>
      <c r="M74" s="1776"/>
      <c r="N74" s="1776"/>
      <c r="O74" s="1777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-967710.44437499985</v>
      </c>
      <c r="K103" s="162">
        <f>J103+(C116*0.25)/2</f>
        <v>-1935420.8887499997</v>
      </c>
      <c r="L103" s="162">
        <f>K103+((C116-K103)/4)</f>
        <v>-3386986.5553124994</v>
      </c>
      <c r="M103" s="162">
        <f>L103+((C116-K103)/4)</f>
        <v>-4838552.2218749989</v>
      </c>
      <c r="N103" s="162">
        <f>M103+((C116-K103)/4)</f>
        <v>-6290117.8884374984</v>
      </c>
      <c r="O103" s="162">
        <f>N103+((C116-K103)/4)</f>
        <v>-7741683.5549999978</v>
      </c>
      <c r="P103" s="162">
        <f>O103</f>
        <v>-7741683.5549999978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9486304.5633333344</v>
      </c>
      <c r="K104" s="371">
        <f>((C117-1033493)/6)+J104</f>
        <v>18972609.126666669</v>
      </c>
      <c r="L104" s="371">
        <f>((C117-1033493)/6)+K104</f>
        <v>28458913.690000005</v>
      </c>
      <c r="M104" s="371">
        <f>((C117-1033493)/6)+L104</f>
        <v>37945218.253333338</v>
      </c>
      <c r="N104" s="371">
        <f>((C117-1033493)/6)+M104</f>
        <v>47431522.81666667</v>
      </c>
      <c r="O104" s="371">
        <f>((C117-1033493)/6)+N104</f>
        <v>56917827.380000003</v>
      </c>
      <c r="P104" s="371">
        <f>(286645+100000+646848)+O104</f>
        <v>57951320.380000003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8518594.1189583354</v>
      </c>
      <c r="K110" s="371">
        <f t="shared" ref="K110:P110" si="9">SUM(K103:K104)</f>
        <v>17037188.237916671</v>
      </c>
      <c r="L110" s="371">
        <f t="shared" si="9"/>
        <v>25071927.134687506</v>
      </c>
      <c r="M110" s="371">
        <f t="shared" si="9"/>
        <v>33106666.031458341</v>
      </c>
      <c r="N110" s="371">
        <f t="shared" si="9"/>
        <v>41141404.928229168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770">
        <f>'PreDev Flow of Funds'!D47</f>
        <v>14824249.954999998</v>
      </c>
      <c r="D114" s="1769"/>
    </row>
    <row r="115" spans="2:19">
      <c r="B115" s="397" t="s">
        <v>600</v>
      </c>
      <c r="C115" s="1771">
        <f>M102</f>
        <v>1323400.22</v>
      </c>
      <c r="D115" s="1769"/>
    </row>
    <row r="116" spans="2:19">
      <c r="B116" s="397" t="s">
        <v>582</v>
      </c>
      <c r="C116" s="1771">
        <f>'Development Budget'!G37-Predevelopment!D27-Predevelopment!D28-Predevelopment!D29-Timeline!M102-Predevelopment!D17</f>
        <v>-7741683.5549999988</v>
      </c>
      <c r="D116" s="1769"/>
    </row>
    <row r="117" spans="2:19" ht="16.5" thickBot="1">
      <c r="B117" s="398" t="s">
        <v>601</v>
      </c>
      <c r="C117" s="1772">
        <f>C118-C114-C116-C115</f>
        <v>57951320.380000003</v>
      </c>
      <c r="D117" s="1773"/>
    </row>
    <row r="118" spans="2:19" ht="16.5" thickTop="1">
      <c r="B118" s="368" t="s">
        <v>585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51</v>
      </c>
      <c r="F2" s="579">
        <v>0</v>
      </c>
      <c r="K2" s="580"/>
      <c r="L2" s="581"/>
    </row>
    <row r="3" spans="2:13" ht="15.75">
      <c r="B3" s="582"/>
      <c r="C3" s="532" t="s">
        <v>1069</v>
      </c>
      <c r="D3" s="529"/>
      <c r="E3" s="578" t="s">
        <v>52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54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55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59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1070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1070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1070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1070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1070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1070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1070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1070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1070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1070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1070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1070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1070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1070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1070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1070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1070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1070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1070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1070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1070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1070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customXml/itemProps2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