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Gaps\"/>
    </mc:Choice>
  </mc:AlternateContent>
  <xr:revisionPtr revIDLastSave="0" documentId="13_ncr:1_{5BDD487C-A5F9-468B-9C32-983EA2AC51C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<sst xmlns="http://schemas.openxmlformats.org/spreadsheetml/2006/main" count="1995" uniqueCount="1106">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</sst>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34"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2.2231832318162136E-2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2.2231832318162142E-2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-6856310.8751838505</v>
      </c>
      <c r="E18" s="1755">
        <f ca="1">-D18/D28</f>
        <v>0.11158216836870262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37135500</v>
      </c>
      <c r="E22" s="1531">
        <f t="shared" ref="E22:E28" si="0">D22/$D$10</f>
        <v>367678.21782178216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4146549.4259678009</v>
      </c>
      <c r="E25" s="1531">
        <f t="shared" si="0"/>
        <v>41054.944811562382</v>
      </c>
    </row>
    <row r="26" spans="1:6">
      <c r="A26" s="64"/>
      <c r="B26" s="4" t="s">
        <v>20</v>
      </c>
      <c r="C26" s="4"/>
      <c r="D26" s="1531">
        <f>'Development Budget'!G181</f>
        <v>2782184.8458820791</v>
      </c>
      <c r="E26" s="1531">
        <f t="shared" si="0"/>
        <v>27546.384612693852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7300992.0943455547</v>
      </c>
      <c r="E27" s="1532">
        <f t="shared" si="0"/>
        <v>72287.0504390649</v>
      </c>
    </row>
    <row r="28" spans="1:6" ht="16.5" thickTop="1">
      <c r="A28" s="4"/>
      <c r="B28" s="4"/>
      <c r="C28" s="150" t="s">
        <v>14</v>
      </c>
      <c r="D28" s="1533">
        <f>SUM(D21:D27)</f>
        <v>61446295.366195433</v>
      </c>
      <c r="E28" s="1531">
        <f t="shared" si="0"/>
        <v>608379.16204153898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40015016.773082934</v>
      </c>
      <c r="E32" s="1586">
        <f t="shared" si="1"/>
        <v>396188.28488200926</v>
      </c>
    </row>
    <row r="33" spans="1:5">
      <c r="A33" s="64"/>
      <c r="B33" s="4" t="s">
        <v>1052</v>
      </c>
      <c r="C33" s="4"/>
      <c r="D33" s="1587">
        <f>GapCalc!D29</f>
        <v>3214691.7889668741</v>
      </c>
      <c r="E33" s="1586">
        <f>D33/$D$10</f>
        <v>31828.631573929448</v>
      </c>
    </row>
    <row r="34" spans="1:5">
      <c r="A34" s="65"/>
      <c r="B34" s="4" t="s">
        <v>26</v>
      </c>
      <c r="C34" s="4"/>
      <c r="D34" s="1587">
        <f>GapCalc!D30</f>
        <v>18216586.804145619</v>
      </c>
      <c r="E34" s="1586">
        <f>D34/$D$10</f>
        <v>180362.24558560021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61446295.366195425</v>
      </c>
      <c r="E36" s="1586">
        <f>D36/$D$10</f>
        <v>608379.16204153886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37887432.620618381</v>
      </c>
      <c r="E40" s="1586">
        <f t="shared" ref="E40" si="2">D40/$D$10</f>
        <v>375123.09525364731</v>
      </c>
    </row>
    <row r="41" spans="1:5">
      <c r="A41" s="60"/>
      <c r="B41" s="4" t="s">
        <v>1052</v>
      </c>
      <c r="C41" s="4"/>
      <c r="D41" s="1591">
        <f>GapCalc!D29+GapCalc!D38</f>
        <v>3533829.4118365571</v>
      </c>
      <c r="E41" s="1586">
        <f>D41/$D$10</f>
        <v>34988.410018183735</v>
      </c>
    </row>
    <row r="42" spans="1:5">
      <c r="A42" s="60"/>
      <c r="B42" s="1557" t="s">
        <v>26</v>
      </c>
      <c r="C42" s="4"/>
      <c r="D42" s="1592">
        <f>GapCalc!D30+GapCalc!D39</f>
        <v>20025033.333740488</v>
      </c>
      <c r="E42" s="1586">
        <f>D42/$D$10</f>
        <v>198267.6567697078</v>
      </c>
    </row>
    <row r="43" spans="1:5">
      <c r="A43" s="60"/>
      <c r="B43" s="1714" t="s">
        <v>1103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61446295.366195425</v>
      </c>
      <c r="E45" s="1588">
        <f>D45/$D$10</f>
        <v>608379.16204153886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D38" sqref="D38:D39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37135500</v>
      </c>
      <c r="E18" s="1531">
        <f t="shared" ref="E18:E24" si="0">D18/$D$11</f>
        <v>367678.21782178216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4146549.4259678009</v>
      </c>
      <c r="E21" s="1531">
        <f t="shared" si="0"/>
        <v>41054.944811562382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2782184.8458820791</v>
      </c>
      <c r="E22" s="1531">
        <f t="shared" si="0"/>
        <v>27546.384612693852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7300992.0943455547</v>
      </c>
      <c r="E23" s="1532">
        <f t="shared" si="0"/>
        <v>72287.0504390649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61446295.366195433</v>
      </c>
      <c r="E24" s="1531">
        <f t="shared" si="0"/>
        <v>608379.16204153898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0.90969071064926577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40015016.773082934</v>
      </c>
      <c r="E28" s="1586">
        <f t="shared" si="1"/>
        <v>396188.28488200926</v>
      </c>
      <c r="F28" s="62"/>
      <c r="G28" s="1419" t="s">
        <v>609</v>
      </c>
      <c r="H28" s="1608">
        <f>H32/D11</f>
        <v>34988.410018183735</v>
      </c>
      <c r="I28" s="703"/>
    </row>
    <row r="29" spans="1:10" ht="15.75">
      <c r="A29" s="64"/>
      <c r="B29" s="4" t="s">
        <v>1052</v>
      </c>
      <c r="C29" s="4"/>
      <c r="D29" s="1587">
        <v>3214691.7889668741</v>
      </c>
      <c r="E29" s="1586">
        <f>D29/$D$11</f>
        <v>31828.631573929448</v>
      </c>
      <c r="F29" s="520"/>
      <c r="G29" s="1420" t="s">
        <v>972</v>
      </c>
      <c r="H29" s="1609">
        <f>H33/D11</f>
        <v>198267.6567697078</v>
      </c>
      <c r="I29" s="703"/>
    </row>
    <row r="30" spans="1:10" ht="16.5" thickBot="1">
      <c r="A30" s="65"/>
      <c r="B30" s="4" t="s">
        <v>26</v>
      </c>
      <c r="C30" s="4"/>
      <c r="D30" s="1587">
        <v>18216586.804145619</v>
      </c>
      <c r="E30" s="1586">
        <f>D30/$D$11</f>
        <v>180362.24558560021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3533829.4118365571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61446295.366195425</v>
      </c>
      <c r="E33" s="1586">
        <f>D33/$D$11</f>
        <v>608379.16204153886</v>
      </c>
      <c r="F33" s="62"/>
      <c r="G33" s="1441" t="s">
        <v>972</v>
      </c>
      <c r="H33" s="1611">
        <f>D30+D39</f>
        <v>20025033.333740488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23558862.745577045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0.38340574651694803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37887432.620618381</v>
      </c>
      <c r="E37" s="1586">
        <f t="shared" ref="E37" si="2">D37/$D$11</f>
        <v>375123.09525364731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319137.62286968285</v>
      </c>
      <c r="E38" s="1586">
        <f>D38/$D$11</f>
        <v>3159.7784442542857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1808446.5295948698</v>
      </c>
      <c r="E39" s="1586">
        <f>D39/$D$11</f>
        <v>17905.411184107623</v>
      </c>
      <c r="F39" s="62"/>
      <c r="G39" s="1435" t="s">
        <v>609</v>
      </c>
      <c r="H39" s="1616">
        <f>-D32*0.15</f>
        <v>0</v>
      </c>
      <c r="I39" s="1596">
        <f>D29+H39</f>
        <v>3214691.7889668741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18216586.804145619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40015016.773082934</v>
      </c>
      <c r="E42" s="1586">
        <f>D42/$D$11</f>
        <v>396188.28488200926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319137.62286968285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1808446.5295948698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14197169.089834215</v>
      </c>
      <c r="J46" s="1582" t="s">
        <v>1084</v>
      </c>
      <c r="K46" s="1583">
        <f>'Cash Flow'!C76</f>
        <v>2.2231832318162136E-2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4246659.0596200647</v>
      </c>
      <c r="J47" s="1584" t="s">
        <v>1099</v>
      </c>
      <c r="K47" s="1607">
        <f>'Cash Flow'!C70</f>
        <v>23141385.616429769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-5827864.2439062726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2505382.7805589796</v>
      </c>
      <c r="J51" s="1585" t="s">
        <v>1084</v>
      </c>
      <c r="K51" s="1618">
        <f>'Cash Flow'!H76</f>
        <v>2.2231832318162142E-2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3533829.4118365571</v>
      </c>
      <c r="J52" s="1584" t="s">
        <v>1098</v>
      </c>
      <c r="K52" s="1607">
        <f>'Cash Flow'!H70</f>
        <v>4083773.9323111363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-1028446.6312775775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-6856310.8751838505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20927487.270547792</v>
      </c>
      <c r="J58" s="1582" t="s">
        <v>1084</v>
      </c>
      <c r="K58" s="1583">
        <f>'Cash Flow'!C103</f>
        <v>7.0345805085464688E-2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34111804.250992902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902453.93680730462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2837467.803004697</v>
      </c>
      <c r="J63" s="1585" t="s">
        <v>1084</v>
      </c>
      <c r="K63" s="1618">
        <f>'Cash Flow'!H103</f>
        <v>3.0879903353738043E-2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3533829.4118365571</v>
      </c>
      <c r="J64" s="1584" t="s">
        <v>1098</v>
      </c>
      <c r="K64" s="1607">
        <f>'Cash Flow'!H97</f>
        <v>4625072.5188976554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-696361.60883186013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206092.3279754445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11" zoomScale="130" zoomScaleNormal="130" workbookViewId="0">
      <selection activeCell="O22" sqref="O22:U30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228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228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50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4">
        <v>6565000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29588400</v>
      </c>
      <c r="H32" s="1039"/>
      <c r="I32" s="950">
        <f t="shared" si="0"/>
        <v>292954.45544554456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32547240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2958840</v>
      </c>
      <c r="G36" s="854">
        <f>F36</f>
        <v>2958840</v>
      </c>
      <c r="H36" s="950"/>
      <c r="I36" s="950">
        <f t="shared" si="0"/>
        <v>29295.445544554455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2071188.0000000002</v>
      </c>
      <c r="H37" s="1072"/>
      <c r="I37" s="950">
        <f t="shared" si="0"/>
        <v>20506.811881188121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2071188.0000000002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1479420</v>
      </c>
      <c r="H38" s="1072"/>
      <c r="I38" s="950">
        <f t="shared" si="0"/>
        <v>14647.722772277228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1479420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443826</v>
      </c>
      <c r="H40" s="1072"/>
      <c r="I40" s="950">
        <f t="shared" si="0"/>
        <v>4394.3168316831679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443826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443826</v>
      </c>
      <c r="H41" s="1072"/>
      <c r="I41" s="950">
        <f t="shared" si="0"/>
        <v>4394.3168316831679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443826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37135500</v>
      </c>
      <c r="H44" s="1324"/>
      <c r="I44" s="1325">
        <f t="shared" si="0"/>
        <v>367678.21782178216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37135500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37135500</v>
      </c>
      <c r="H46" s="1333"/>
      <c r="I46" s="1325">
        <f t="shared" si="0"/>
        <v>367678.21782178216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37135500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3713550</v>
      </c>
      <c r="H47" s="1039"/>
      <c r="I47" s="950">
        <f t="shared" si="0"/>
        <v>36767.821782178216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3713550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1153881.25</v>
      </c>
      <c r="H59" s="1128"/>
      <c r="I59" s="950">
        <f t="shared" si="0"/>
        <v>11424.566831683169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92838.75</v>
      </c>
      <c r="H67" s="1039"/>
      <c r="I67" s="950">
        <f t="shared" si="0"/>
        <v>919.19554455445541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92838.75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283838.75</v>
      </c>
      <c r="H80" s="1101"/>
      <c r="I80" s="950">
        <f t="shared" si="0"/>
        <v>2810.2846534653463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283838.75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3.0975813735503472E-2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189584.59674894126</v>
      </c>
      <c r="H102" s="1111"/>
      <c r="I102" s="950">
        <f t="shared" si="3"/>
        <v>1877.075215336052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189584.59674894126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174584.59674894126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3489139.2451884588</v>
      </c>
      <c r="N103" s="1172">
        <v>3491691.934978825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189584.59674894126</v>
      </c>
      <c r="H114" s="1101"/>
      <c r="I114" s="950">
        <f t="shared" si="3"/>
        <v>1877.075215336052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189584.59674894126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2821058.682502347</v>
      </c>
      <c r="H116" s="1177"/>
      <c r="I116" s="950">
        <f t="shared" si="3"/>
        <v>27931.274084181652</v>
      </c>
      <c r="J116" s="1178"/>
      <c r="K116" s="1179" t="s">
        <v>823</v>
      </c>
      <c r="L116" s="1073"/>
      <c r="M116" s="1180">
        <f>0.5*Data!C20*Data!C17/12*Data!C19</f>
        <v>2821058.682502347</v>
      </c>
      <c r="N116" s="1181">
        <v>2821058.682502347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2821058.682502347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400150.16773082933</v>
      </c>
      <c r="H117" s="1094"/>
      <c r="I117" s="950">
        <f t="shared" si="3"/>
        <v>3961.8828488200925</v>
      </c>
      <c r="J117" s="1015"/>
      <c r="K117" s="1184" t="s">
        <v>825</v>
      </c>
      <c r="L117" s="1185"/>
      <c r="M117" s="1186">
        <f>0.01*Data!C20</f>
        <v>400150.16773082933</v>
      </c>
      <c r="N117" s="1172">
        <v>400150.16773082933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400150.16773082933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533066.853825</v>
      </c>
      <c r="H121" s="1117"/>
      <c r="I121" s="950">
        <f t="shared" si="3"/>
        <v>5277.8896418316835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533066.853825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533066.853825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70022.525159624405</v>
      </c>
      <c r="H125" s="1111"/>
      <c r="I125" s="950">
        <f t="shared" si="3"/>
        <v>693.29232831311288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70022.525159624405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60022.525159624405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60022.525159624405</v>
      </c>
      <c r="N126" s="1172">
        <v>60022.525159624405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4036549.4259678009</v>
      </c>
      <c r="H148" s="1128"/>
      <c r="I148" s="950">
        <f t="shared" si="6"/>
        <v>39965.835900671293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4036549.4259678009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378874.32620618382</v>
      </c>
      <c r="H151" s="1093"/>
      <c r="I151" s="950">
        <f t="shared" ref="I151:I158" si="7">G151/$F$9</f>
        <v>3751.2309525364735</v>
      </c>
      <c r="J151" s="1094"/>
      <c r="K151" s="1244" t="s">
        <v>863</v>
      </c>
      <c r="L151" s="1245"/>
      <c r="M151" s="1558">
        <f>Data!C31*Data!C30</f>
        <v>378874.32620618382</v>
      </c>
      <c r="N151" s="1345">
        <v>378874.32620618382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3601351.5095774638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2782184.8458820791</v>
      </c>
      <c r="H178" s="1093"/>
      <c r="I178" s="950">
        <f t="shared" si="6"/>
        <v>27546.384612693852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2782184.8458820791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2782184.8458820791</v>
      </c>
      <c r="H181" s="1128"/>
      <c r="I181" s="950">
        <f t="shared" si="6"/>
        <v>27546.384612693852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2782184.8458820791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488462.83092994115</v>
      </c>
      <c r="H233" s="1111"/>
      <c r="I233" s="950">
        <f t="shared" si="8"/>
        <v>4836.2656527716945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488462.83092994115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927212.83092994115</v>
      </c>
      <c r="H234" s="1282"/>
      <c r="I234" s="950">
        <f t="shared" si="8"/>
        <v>9180.3250587122893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927212.83092994115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61446295.366195433</v>
      </c>
      <c r="H250" s="1298"/>
      <c r="I250" s="1299">
        <f>G250/F9</f>
        <v>608379.16204153898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623.01065991600183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40015016.773082934</v>
      </c>
      <c r="D20" s="1375">
        <f>MIN(D22,GapCalc!D24)</f>
        <v>39940091.988027036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39940091.988027036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-2630163.8202657308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2630684.8458820791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49690548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37887432.620618381</v>
      </c>
      <c r="D30" s="1376">
        <f>-PV($C$24/12,$C$29*12,C27/12)</f>
        <v>37894937.979326628</v>
      </c>
      <c r="E30" s="1384"/>
      <c r="F30" t="s">
        <v>438</v>
      </c>
      <c r="G30" s="1381"/>
      <c r="H30" s="1376">
        <f>PV(G23,G29,-'Cash Flow'!E41*H28,)</f>
        <v>4241026.1799589153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2630684.8458820791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49157036.292956352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43266250.847527571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-347757.18494150497</v>
      </c>
      <c r="F19" s="89">
        <f>E19*(1+$D$19)</f>
        <v>-352104.14975327376</v>
      </c>
      <c r="G19" s="89">
        <f t="shared" ref="G19:AH19" si="6">F19*(1+$D$19)</f>
        <v>-356505.45162518969</v>
      </c>
      <c r="H19" s="89">
        <f t="shared" si="6"/>
        <v>-360961.76977050456</v>
      </c>
      <c r="I19" s="89">
        <f t="shared" si="6"/>
        <v>-365473.79189263587</v>
      </c>
      <c r="J19" s="89">
        <f t="shared" si="6"/>
        <v>-370042.21429129381</v>
      </c>
      <c r="K19" s="89">
        <f t="shared" si="6"/>
        <v>-374667.74196993496</v>
      </c>
      <c r="L19" s="89">
        <f t="shared" si="6"/>
        <v>-379351.08874455915</v>
      </c>
      <c r="M19" s="89">
        <f t="shared" si="6"/>
        <v>-384092.9773538661</v>
      </c>
      <c r="N19" s="89">
        <f t="shared" si="6"/>
        <v>-388894.13957078941</v>
      </c>
      <c r="O19" s="89">
        <f t="shared" si="6"/>
        <v>-393755.31631542428</v>
      </c>
      <c r="P19" s="89">
        <f t="shared" si="6"/>
        <v>-398677.25776936708</v>
      </c>
      <c r="Q19" s="89">
        <f t="shared" si="6"/>
        <v>-403660.72349148412</v>
      </c>
      <c r="R19" s="89">
        <f t="shared" si="6"/>
        <v>-408706.48253512767</v>
      </c>
      <c r="S19" s="90">
        <f t="shared" si="6"/>
        <v>-413815.31356681674</v>
      </c>
      <c r="T19" s="89">
        <f t="shared" si="6"/>
        <v>-418988.00498640194</v>
      </c>
      <c r="U19" s="89">
        <f t="shared" si="6"/>
        <v>-424225.35504873196</v>
      </c>
      <c r="V19" s="89">
        <f t="shared" si="6"/>
        <v>-429528.17198684107</v>
      </c>
      <c r="W19" s="89">
        <f t="shared" si="6"/>
        <v>-434897.27413667657</v>
      </c>
      <c r="X19" s="89">
        <f t="shared" si="6"/>
        <v>-440333.49006338499</v>
      </c>
      <c r="Y19" s="89">
        <f t="shared" si="6"/>
        <v>-445837.6586891773</v>
      </c>
      <c r="Z19" s="89">
        <f t="shared" si="6"/>
        <v>-451410.629422792</v>
      </c>
      <c r="AA19" s="89">
        <f t="shared" si="6"/>
        <v>-457053.26229057688</v>
      </c>
      <c r="AB19" s="89">
        <f t="shared" si="6"/>
        <v>-462766.4280692091</v>
      </c>
      <c r="AC19" s="89">
        <f t="shared" si="6"/>
        <v>-468551.00842007418</v>
      </c>
      <c r="AD19" s="89">
        <f t="shared" si="6"/>
        <v>-474407.89602532511</v>
      </c>
      <c r="AE19" s="89">
        <f t="shared" si="6"/>
        <v>-480337.99472564168</v>
      </c>
      <c r="AF19" s="89">
        <f t="shared" si="6"/>
        <v>-486342.21965971217</v>
      </c>
      <c r="AG19" s="89">
        <f t="shared" si="6"/>
        <v>-492421.49740545853</v>
      </c>
      <c r="AH19" s="89">
        <f t="shared" si="6"/>
        <v>-498576.76612302673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3156821.8150584949</v>
      </c>
      <c r="F21" s="95">
        <f t="shared" si="8"/>
        <v>3234786.8252467257</v>
      </c>
      <c r="G21" s="95">
        <f t="shared" si="8"/>
        <v>3314543.1977498098</v>
      </c>
      <c r="H21" s="95">
        <f t="shared" si="8"/>
        <v>3396128.9723388697</v>
      </c>
      <c r="I21" s="95">
        <f t="shared" si="8"/>
        <v>3479582.8884469718</v>
      </c>
      <c r="J21" s="95">
        <f t="shared" si="8"/>
        <v>3564944.3936730167</v>
      </c>
      <c r="K21" s="95">
        <f t="shared" si="8"/>
        <v>3652253.6521812635</v>
      </c>
      <c r="L21" s="95">
        <f t="shared" si="8"/>
        <v>3741551.5529827704</v>
      </c>
      <c r="M21" s="95">
        <f t="shared" si="8"/>
        <v>3832879.7180842813</v>
      </c>
      <c r="N21" s="95">
        <f t="shared" si="8"/>
        <v>3926280.510489312</v>
      </c>
      <c r="O21" s="95">
        <f t="shared" si="8"/>
        <v>4021797.0420354414</v>
      </c>
      <c r="P21" s="95">
        <f t="shared" si="8"/>
        <v>4119473.1810509055</v>
      </c>
      <c r="Q21" s="95">
        <f t="shared" si="8"/>
        <v>4219353.5598128038</v>
      </c>
      <c r="R21" s="95">
        <f t="shared" si="8"/>
        <v>4321483.5817882475</v>
      </c>
      <c r="S21" s="96">
        <f t="shared" si="8"/>
        <v>4425909.4286389016</v>
      </c>
      <c r="T21" s="95">
        <f t="shared" si="8"/>
        <v>4532678.0669683162</v>
      </c>
      <c r="U21" s="95">
        <f t="shared" si="8"/>
        <v>4641837.2547904942</v>
      </c>
      <c r="V21" s="95">
        <f t="shared" si="8"/>
        <v>4753435.5476970049</v>
      </c>
      <c r="W21" s="95">
        <f t="shared" si="8"/>
        <v>4867522.3046988575</v>
      </c>
      <c r="X21" s="95">
        <f t="shared" si="8"/>
        <v>4984147.6937182145</v>
      </c>
      <c r="Y21" s="95">
        <f t="shared" si="8"/>
        <v>5103362.6967037702</v>
      </c>
      <c r="Z21" s="95">
        <f t="shared" si="8"/>
        <v>5225219.1143423757</v>
      </c>
      <c r="AA21" s="95">
        <f t="shared" si="8"/>
        <v>5349769.5703381756</v>
      </c>
      <c r="AB21" s="95">
        <f t="shared" si="8"/>
        <v>5477067.5152291497</v>
      </c>
      <c r="AC21" s="95">
        <f t="shared" si="8"/>
        <v>5607167.2297095153</v>
      </c>
      <c r="AD21" s="95">
        <f t="shared" si="8"/>
        <v>5740123.8274249835</v>
      </c>
      <c r="AE21" s="95">
        <f t="shared" si="8"/>
        <v>5875993.2572062649</v>
      </c>
      <c r="AF21" s="95">
        <f t="shared" si="8"/>
        <v>6014832.3047046717</v>
      </c>
      <c r="AG21" s="95">
        <f t="shared" si="8"/>
        <v>6156698.5933919111</v>
      </c>
      <c r="AH21" s="95">
        <f t="shared" si="8"/>
        <v>6301650.5848844871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-2630684.8458820791</v>
      </c>
      <c r="F22" s="95">
        <f t="shared" ref="F22:AH22" si="9">$E$22</f>
        <v>-2630684.8458820791</v>
      </c>
      <c r="G22" s="95">
        <f t="shared" si="9"/>
        <v>-2630684.8458820791</v>
      </c>
      <c r="H22" s="95">
        <f t="shared" si="9"/>
        <v>-2630684.8458820791</v>
      </c>
      <c r="I22" s="95">
        <f t="shared" si="9"/>
        <v>-2630684.8458820791</v>
      </c>
      <c r="J22" s="95">
        <f t="shared" si="9"/>
        <v>-2630684.8458820791</v>
      </c>
      <c r="K22" s="95">
        <f t="shared" si="9"/>
        <v>-2630684.8458820791</v>
      </c>
      <c r="L22" s="95">
        <f t="shared" si="9"/>
        <v>-2630684.8458820791</v>
      </c>
      <c r="M22" s="95">
        <f t="shared" si="9"/>
        <v>-2630684.8458820791</v>
      </c>
      <c r="N22" s="95">
        <f t="shared" si="9"/>
        <v>-2630684.8458820791</v>
      </c>
      <c r="O22" s="95">
        <f t="shared" si="9"/>
        <v>-2630684.8458820791</v>
      </c>
      <c r="P22" s="95">
        <f t="shared" si="9"/>
        <v>-2630684.8458820791</v>
      </c>
      <c r="Q22" s="95">
        <f t="shared" si="9"/>
        <v>-2630684.8458820791</v>
      </c>
      <c r="R22" s="95">
        <f t="shared" si="9"/>
        <v>-2630684.8458820791</v>
      </c>
      <c r="S22" s="96">
        <f t="shared" si="9"/>
        <v>-2630684.8458820791</v>
      </c>
      <c r="T22" s="95">
        <f t="shared" si="9"/>
        <v>-2630684.8458820791</v>
      </c>
      <c r="U22" s="95">
        <f t="shared" si="9"/>
        <v>-2630684.8458820791</v>
      </c>
      <c r="V22" s="95">
        <f t="shared" si="9"/>
        <v>-2630684.8458820791</v>
      </c>
      <c r="W22" s="95">
        <f t="shared" si="9"/>
        <v>-2630684.8458820791</v>
      </c>
      <c r="X22" s="95">
        <f t="shared" si="9"/>
        <v>-2630684.8458820791</v>
      </c>
      <c r="Y22" s="95">
        <f t="shared" si="9"/>
        <v>-2630684.8458820791</v>
      </c>
      <c r="Z22" s="95">
        <f t="shared" si="9"/>
        <v>-2630684.8458820791</v>
      </c>
      <c r="AA22" s="95">
        <f t="shared" si="9"/>
        <v>-2630684.8458820791</v>
      </c>
      <c r="AB22" s="95">
        <f t="shared" si="9"/>
        <v>-2630684.8458820791</v>
      </c>
      <c r="AC22" s="95">
        <f t="shared" si="9"/>
        <v>-2630684.8458820791</v>
      </c>
      <c r="AD22" s="95">
        <f t="shared" si="9"/>
        <v>-2630684.8458820791</v>
      </c>
      <c r="AE22" s="95">
        <f t="shared" si="9"/>
        <v>-2630684.8458820791</v>
      </c>
      <c r="AF22" s="95">
        <f t="shared" si="9"/>
        <v>-2630684.8458820791</v>
      </c>
      <c r="AG22" s="95">
        <f t="shared" si="9"/>
        <v>-2630684.8458820791</v>
      </c>
      <c r="AH22" s="95">
        <f t="shared" si="9"/>
        <v>-2630684.8458820791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526136.96917641582</v>
      </c>
      <c r="F25" s="119">
        <f t="shared" ref="F25:AH25" si="11">+F21+F22+F23</f>
        <v>604101.9793646466</v>
      </c>
      <c r="G25" s="119">
        <f t="shared" si="11"/>
        <v>683858.35186773073</v>
      </c>
      <c r="H25" s="119">
        <f t="shared" si="11"/>
        <v>765444.1264567906</v>
      </c>
      <c r="I25" s="119">
        <f t="shared" si="11"/>
        <v>848898.04256489268</v>
      </c>
      <c r="J25" s="119">
        <f t="shared" si="11"/>
        <v>934259.54779093759</v>
      </c>
      <c r="K25" s="119">
        <f t="shared" si="11"/>
        <v>1021568.8062991844</v>
      </c>
      <c r="L25" s="119">
        <f t="shared" si="11"/>
        <v>1110866.7071006913</v>
      </c>
      <c r="M25" s="119">
        <f t="shared" si="11"/>
        <v>1202194.8722022022</v>
      </c>
      <c r="N25" s="119">
        <f t="shared" si="11"/>
        <v>1295595.6646072329</v>
      </c>
      <c r="O25" s="119">
        <f t="shared" si="11"/>
        <v>1391112.1961533623</v>
      </c>
      <c r="P25" s="119">
        <f t="shared" si="11"/>
        <v>1488788.3351688264</v>
      </c>
      <c r="Q25" s="119">
        <f t="shared" si="11"/>
        <v>1588668.7139307247</v>
      </c>
      <c r="R25" s="119">
        <f t="shared" si="11"/>
        <v>1690798.7359061684</v>
      </c>
      <c r="S25" s="160">
        <f t="shared" si="11"/>
        <v>1795224.5827568225</v>
      </c>
      <c r="T25" s="119">
        <f t="shared" si="11"/>
        <v>1901993.2210862371</v>
      </c>
      <c r="U25" s="119">
        <f t="shared" si="11"/>
        <v>2011152.4089084151</v>
      </c>
      <c r="V25" s="119">
        <f t="shared" si="11"/>
        <v>2122750.7018149258</v>
      </c>
      <c r="W25" s="119">
        <f t="shared" si="11"/>
        <v>2236837.4588167784</v>
      </c>
      <c r="X25" s="119">
        <f t="shared" si="11"/>
        <v>2353462.8478361354</v>
      </c>
      <c r="Y25" s="119">
        <f t="shared" si="11"/>
        <v>2472677.8508216911</v>
      </c>
      <c r="Z25" s="119">
        <f t="shared" si="11"/>
        <v>2594534.2684602966</v>
      </c>
      <c r="AA25" s="119">
        <f t="shared" si="11"/>
        <v>2719084.7244560965</v>
      </c>
      <c r="AB25" s="119">
        <f t="shared" si="11"/>
        <v>2846382.6693470706</v>
      </c>
      <c r="AC25" s="119">
        <f t="shared" si="11"/>
        <v>2976482.3838274362</v>
      </c>
      <c r="AD25" s="119">
        <f t="shared" si="11"/>
        <v>3109438.9815429044</v>
      </c>
      <c r="AE25" s="119">
        <f t="shared" si="11"/>
        <v>3245308.4113241858</v>
      </c>
      <c r="AF25" s="119">
        <f t="shared" si="11"/>
        <v>3384147.4588225926</v>
      </c>
      <c r="AG25" s="119">
        <f t="shared" si="11"/>
        <v>3526013.747509832</v>
      </c>
      <c r="AH25" s="119">
        <f t="shared" si="11"/>
        <v>3670965.739002408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1.2296367732190623</v>
      </c>
      <c r="G27" s="122">
        <f t="shared" si="12"/>
        <v>1.2599544954760364</v>
      </c>
      <c r="H27" s="122">
        <f t="shared" si="12"/>
        <v>1.2909676267968671</v>
      </c>
      <c r="I27" s="122">
        <f t="shared" si="12"/>
        <v>1.3226908931693997</v>
      </c>
      <c r="J27" s="122">
        <f t="shared" si="12"/>
        <v>1.3551392897759582</v>
      </c>
      <c r="K27" s="122">
        <f t="shared" si="12"/>
        <v>1.3883280841862486</v>
      </c>
      <c r="L27" s="122">
        <f t="shared" si="12"/>
        <v>1.422272819505376</v>
      </c>
      <c r="M27" s="122">
        <f t="shared" si="12"/>
        <v>1.4569893174714745</v>
      </c>
      <c r="N27" s="122">
        <f t="shared" si="12"/>
        <v>1.4924936814971519</v>
      </c>
      <c r="O27" s="122">
        <f t="shared" si="12"/>
        <v>1.5288022996486745</v>
      </c>
      <c r="P27" s="122">
        <f t="shared" si="12"/>
        <v>1.5659318475564601</v>
      </c>
      <c r="Q27" s="122">
        <f t="shared" si="12"/>
        <v>1.6038992912501602</v>
      </c>
      <c r="R27" s="122">
        <f t="shared" si="12"/>
        <v>1.6427218899112321</v>
      </c>
      <c r="S27" s="161">
        <f t="shared" si="12"/>
        <v>1.6824171985355687</v>
      </c>
      <c r="T27" s="122">
        <f t="shared" si="12"/>
        <v>1.7230030704983559</v>
      </c>
      <c r="U27" s="122">
        <f t="shared" si="12"/>
        <v>1.7644976600129643</v>
      </c>
      <c r="V27" s="122">
        <f t="shared" si="12"/>
        <v>1.8069194244752487</v>
      </c>
      <c r="W27" s="122">
        <f t="shared" si="12"/>
        <v>1.8502871266842145</v>
      </c>
      <c r="X27" s="122">
        <f t="shared" si="12"/>
        <v>1.8946198369295773</v>
      </c>
      <c r="Y27" s="122">
        <f t="shared" si="12"/>
        <v>1.9399369349362685</v>
      </c>
      <c r="Z27" s="122">
        <f t="shared" si="12"/>
        <v>1.986258111655461</v>
      </c>
      <c r="AA27" s="122">
        <f t="shared" si="12"/>
        <v>2.0336033708911936</v>
      </c>
      <c r="AB27" s="122">
        <f t="shared" si="12"/>
        <v>2.0819930307511494</v>
      </c>
      <c r="AC27" s="122">
        <f t="shared" si="12"/>
        <v>2.1314477249095987</v>
      </c>
      <c r="AD27" s="122">
        <f t="shared" si="12"/>
        <v>2.1819884036699566</v>
      </c>
      <c r="AE27" s="122">
        <f t="shared" si="12"/>
        <v>2.2336363348138044</v>
      </c>
      <c r="AF27" s="122">
        <f t="shared" si="12"/>
        <v>2.2864131042226288</v>
      </c>
      <c r="AG27" s="122">
        <f t="shared" si="12"/>
        <v>2.3403406162578726</v>
      </c>
      <c r="AH27" s="122">
        <f t="shared" si="12"/>
        <v>2.3954410938842501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526136.96917641582</v>
      </c>
      <c r="F41" s="129">
        <f t="shared" ref="F41:S41" si="20">F25+F37</f>
        <v>604101.9793646466</v>
      </c>
      <c r="G41" s="129">
        <f t="shared" si="20"/>
        <v>683858.35186773073</v>
      </c>
      <c r="H41" s="129">
        <f t="shared" si="20"/>
        <v>765444.1264567906</v>
      </c>
      <c r="I41" s="129">
        <f t="shared" si="20"/>
        <v>848898.04256489268</v>
      </c>
      <c r="J41" s="129">
        <f t="shared" si="20"/>
        <v>934259.54779093759</v>
      </c>
      <c r="K41" s="129">
        <f t="shared" si="20"/>
        <v>1021568.8062991844</v>
      </c>
      <c r="L41" s="129">
        <f t="shared" si="20"/>
        <v>1110866.7071006913</v>
      </c>
      <c r="M41" s="129">
        <f t="shared" si="20"/>
        <v>1202194.8722022022</v>
      </c>
      <c r="N41" s="129">
        <f t="shared" si="20"/>
        <v>1295595.6646072329</v>
      </c>
      <c r="O41" s="129">
        <f t="shared" si="20"/>
        <v>1391112.1961533623</v>
      </c>
      <c r="P41" s="129">
        <f t="shared" si="20"/>
        <v>1488788.3351688264</v>
      </c>
      <c r="Q41" s="129">
        <f t="shared" si="20"/>
        <v>1588668.7139307247</v>
      </c>
      <c r="R41" s="129">
        <f t="shared" si="20"/>
        <v>1690798.7359061684</v>
      </c>
      <c r="S41" s="130">
        <f t="shared" si="20"/>
        <v>1795224.5827568225</v>
      </c>
      <c r="T41" s="130">
        <f t="shared" ref="T41:AH41" si="21">T25+T37</f>
        <v>1901993.2210862371</v>
      </c>
      <c r="U41" s="130">
        <f t="shared" si="21"/>
        <v>2011152.4089084151</v>
      </c>
      <c r="V41" s="130">
        <f t="shared" si="21"/>
        <v>2122750.7018149258</v>
      </c>
      <c r="W41" s="130">
        <f t="shared" si="21"/>
        <v>2236837.4588167784</v>
      </c>
      <c r="X41" s="130">
        <f t="shared" si="21"/>
        <v>2353462.8478361354</v>
      </c>
      <c r="Y41" s="130">
        <f t="shared" si="21"/>
        <v>2472677.8508216911</v>
      </c>
      <c r="Z41" s="130">
        <f t="shared" si="21"/>
        <v>2594534.2684602966</v>
      </c>
      <c r="AA41" s="130">
        <f t="shared" si="21"/>
        <v>2719084.7244560965</v>
      </c>
      <c r="AB41" s="130">
        <f t="shared" si="21"/>
        <v>2846382.6693470706</v>
      </c>
      <c r="AC41" s="130">
        <f t="shared" si="21"/>
        <v>2976482.3838274362</v>
      </c>
      <c r="AD41" s="130">
        <f t="shared" si="21"/>
        <v>3109438.9815429044</v>
      </c>
      <c r="AE41" s="130">
        <f t="shared" si="21"/>
        <v>3245308.4113241858</v>
      </c>
      <c r="AF41" s="130">
        <f t="shared" si="21"/>
        <v>3384147.4588225926</v>
      </c>
      <c r="AG41" s="130">
        <f t="shared" si="21"/>
        <v>3526013.747509832</v>
      </c>
      <c r="AH41" s="130">
        <f t="shared" si="21"/>
        <v>3670965.739002408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447216.42379995342</v>
      </c>
      <c r="F42" s="129">
        <f t="shared" ref="F42:S42" si="22">((F41*$C$42))</f>
        <v>513486.68245994957</v>
      </c>
      <c r="G42" s="129">
        <f t="shared" si="22"/>
        <v>581279.59908757114</v>
      </c>
      <c r="H42" s="129">
        <f t="shared" si="22"/>
        <v>650627.50748827204</v>
      </c>
      <c r="I42" s="129">
        <f t="shared" si="22"/>
        <v>721563.33618015877</v>
      </c>
      <c r="J42" s="129">
        <f t="shared" si="22"/>
        <v>794120.61562229693</v>
      </c>
      <c r="K42" s="129">
        <f t="shared" si="22"/>
        <v>868333.48535430676</v>
      </c>
      <c r="L42" s="129">
        <f t="shared" si="22"/>
        <v>944236.70103558758</v>
      </c>
      <c r="M42" s="129">
        <f t="shared" si="22"/>
        <v>1021865.6413718718</v>
      </c>
      <c r="N42" s="129">
        <f t="shared" si="22"/>
        <v>1101256.3149161479</v>
      </c>
      <c r="O42" s="129">
        <f t="shared" si="22"/>
        <v>1182445.366730358</v>
      </c>
      <c r="P42" s="129">
        <f t="shared" si="22"/>
        <v>1265470.0848935023</v>
      </c>
      <c r="Q42" s="129">
        <f t="shared" si="22"/>
        <v>1350368.406841116</v>
      </c>
      <c r="R42" s="129">
        <f t="shared" si="22"/>
        <v>1437178.9255202431</v>
      </c>
      <c r="S42" s="129">
        <f t="shared" si="22"/>
        <v>1525940.895343299</v>
      </c>
      <c r="T42" s="129">
        <f t="shared" ref="T42:AH42" si="23">((T41*$C$42))</f>
        <v>1616694.2379233015</v>
      </c>
      <c r="U42" s="129">
        <f t="shared" si="23"/>
        <v>1709479.5475721529</v>
      </c>
      <c r="V42" s="129">
        <f t="shared" si="23"/>
        <v>1804338.0965426869</v>
      </c>
      <c r="W42" s="129">
        <f t="shared" si="23"/>
        <v>1901311.8399942615</v>
      </c>
      <c r="X42" s="129">
        <f t="shared" si="23"/>
        <v>2000443.4206607151</v>
      </c>
      <c r="Y42" s="129">
        <f t="shared" si="23"/>
        <v>2101776.1731984373</v>
      </c>
      <c r="Z42" s="129">
        <f t="shared" si="23"/>
        <v>2205354.1281912522</v>
      </c>
      <c r="AA42" s="129">
        <f t="shared" si="23"/>
        <v>2311222.015787682</v>
      </c>
      <c r="AB42" s="129">
        <f t="shared" si="23"/>
        <v>2419425.2689450099</v>
      </c>
      <c r="AC42" s="129">
        <f t="shared" si="23"/>
        <v>2530010.0262533207</v>
      </c>
      <c r="AD42" s="129">
        <f t="shared" si="23"/>
        <v>2643023.1343114688</v>
      </c>
      <c r="AE42" s="129">
        <f t="shared" si="23"/>
        <v>2758512.1496255579</v>
      </c>
      <c r="AF42" s="129">
        <f t="shared" si="23"/>
        <v>2876525.3399992036</v>
      </c>
      <c r="AG42" s="129">
        <f t="shared" si="23"/>
        <v>2997111.6853833571</v>
      </c>
      <c r="AH42" s="129">
        <f t="shared" si="23"/>
        <v>3120320.8781520468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78920.545376462382</v>
      </c>
      <c r="F43" s="108">
        <f t="shared" ref="F43:S43" si="24">$C$43*(F41)</f>
        <v>90615.29690469701</v>
      </c>
      <c r="G43" s="108">
        <f t="shared" si="24"/>
        <v>102578.75278015963</v>
      </c>
      <c r="H43" s="108">
        <f t="shared" si="24"/>
        <v>114816.61896851861</v>
      </c>
      <c r="I43" s="108">
        <f t="shared" si="24"/>
        <v>127334.70638473392</v>
      </c>
      <c r="J43" s="108">
        <f t="shared" si="24"/>
        <v>140138.93216864066</v>
      </c>
      <c r="K43" s="108">
        <f t="shared" si="24"/>
        <v>153235.32094487769</v>
      </c>
      <c r="L43" s="108">
        <f t="shared" si="24"/>
        <v>166630.00606510372</v>
      </c>
      <c r="M43" s="108">
        <f t="shared" si="24"/>
        <v>180329.23083033037</v>
      </c>
      <c r="N43" s="108">
        <f t="shared" si="24"/>
        <v>194339.34969108496</v>
      </c>
      <c r="O43" s="108">
        <f t="shared" si="24"/>
        <v>208666.82942300438</v>
      </c>
      <c r="P43" s="108">
        <f t="shared" si="24"/>
        <v>223318.25027532398</v>
      </c>
      <c r="Q43" s="108">
        <f t="shared" si="24"/>
        <v>238300.30708960874</v>
      </c>
      <c r="R43" s="108">
        <f t="shared" si="24"/>
        <v>253619.81038592529</v>
      </c>
      <c r="S43" s="108">
        <f t="shared" si="24"/>
        <v>269283.68741352338</v>
      </c>
      <c r="T43" s="108">
        <f t="shared" ref="T43:AH43" si="25">$C$43*(T41)</f>
        <v>285298.98316293559</v>
      </c>
      <c r="U43" s="108">
        <f t="shared" si="25"/>
        <v>301672.86133626231</v>
      </c>
      <c r="V43" s="108">
        <f t="shared" si="25"/>
        <v>318412.6052722389</v>
      </c>
      <c r="W43" s="108">
        <f t="shared" si="25"/>
        <v>335525.61882251682</v>
      </c>
      <c r="X43" s="108">
        <f t="shared" si="25"/>
        <v>353019.42717542034</v>
      </c>
      <c r="Y43" s="108">
        <f t="shared" si="25"/>
        <v>370901.67762325372</v>
      </c>
      <c r="Z43" s="108">
        <f t="shared" si="25"/>
        <v>389180.14026904455</v>
      </c>
      <c r="AA43" s="108">
        <f t="shared" si="25"/>
        <v>407862.70866841456</v>
      </c>
      <c r="AB43" s="108">
        <f t="shared" si="25"/>
        <v>426957.40040206065</v>
      </c>
      <c r="AC43" s="108">
        <f t="shared" si="25"/>
        <v>446472.35757411551</v>
      </c>
      <c r="AD43" s="108">
        <f t="shared" si="25"/>
        <v>466415.84723143571</v>
      </c>
      <c r="AE43" s="108">
        <f t="shared" si="25"/>
        <v>486796.26169862796</v>
      </c>
      <c r="AF43" s="108">
        <f t="shared" si="25"/>
        <v>507622.11882338894</v>
      </c>
      <c r="AG43" s="108">
        <f t="shared" si="25"/>
        <v>528902.06212647492</v>
      </c>
      <c r="AH43" s="108">
        <f t="shared" si="25"/>
        <v>550644.86085036129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2.6273962215579413E-2</v>
      </c>
      <c r="F47" s="142">
        <f>F41/GapCalc!$H$33</f>
        <v>3.0167339514326093E-2</v>
      </c>
      <c r="G47" s="142">
        <f>G41/GapCalc!$H$33</f>
        <v>3.4150172959536963E-2</v>
      </c>
      <c r="H47" s="142">
        <f>H41/GapCalc!$H$33</f>
        <v>3.8224362162088486E-2</v>
      </c>
      <c r="I47" s="142">
        <f>I41/GapCalc!$H$33</f>
        <v>4.2391841672221903E-2</v>
      </c>
      <c r="J47" s="142">
        <f>J41/GapCalc!$H$33</f>
        <v>4.6654581404206169E-2</v>
      </c>
      <c r="K47" s="142">
        <f>K41/GapCalc!$H$33</f>
        <v>5.1014587055789186E-2</v>
      </c>
      <c r="L47" s="142">
        <f>L41/GapCalc!$H$33</f>
        <v>5.5473900521752183E-2</v>
      </c>
      <c r="M47" s="142">
        <f>M41/GapCalc!$H$33</f>
        <v>6.0034600300844718E-2</v>
      </c>
      <c r="N47" s="142">
        <f>N41/GapCalc!$H$33</f>
        <v>6.4698801895338859E-2</v>
      </c>
      <c r="O47" s="142">
        <f>O41/GapCalc!$H$33</f>
        <v>6.9468658202403888E-2</v>
      </c>
      <c r="P47" s="142">
        <f>P41/GapCalc!$H$33</f>
        <v>7.4346359896457395E-2</v>
      </c>
      <c r="Q47" s="142">
        <f>Q41/GapCalc!$H$33</f>
        <v>7.9334135801609487E-2</v>
      </c>
      <c r="R47" s="142">
        <f>R41/GapCalc!$H$33</f>
        <v>8.4434253253267519E-2</v>
      </c>
      <c r="S47" s="142">
        <f>S41/GapCalc!$H$33</f>
        <v>8.9649018447925416E-2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2.2332867883242499E-2</v>
      </c>
      <c r="F48" s="142">
        <f>F43/GapCalc!$H$32</f>
        <v>2.5642238587177183E-2</v>
      </c>
      <c r="G48" s="142">
        <f>G43/GapCalc!$H$32</f>
        <v>2.9027647015606419E-2</v>
      </c>
      <c r="H48" s="142">
        <f>H43/GapCalc!$H$32</f>
        <v>3.2490707837775218E-2</v>
      </c>
      <c r="I48" s="142">
        <f>I43/GapCalc!$H$32</f>
        <v>3.6033065421388615E-2</v>
      </c>
      <c r="J48" s="142">
        <f>J43/GapCalc!$H$32</f>
        <v>3.9656394193575244E-2</v>
      </c>
      <c r="K48" s="142">
        <f>K43/GapCalc!$H$32</f>
        <v>4.3362398997420809E-2</v>
      </c>
      <c r="L48" s="142">
        <f>L43/GapCalc!$H$32</f>
        <v>4.7152815443489357E-2</v>
      </c>
      <c r="M48" s="142">
        <f>M43/GapCalc!$H$32</f>
        <v>5.1029410255718013E-2</v>
      </c>
      <c r="N48" s="142">
        <f>N43/GapCalc!$H$32</f>
        <v>5.499398161103803E-2</v>
      </c>
      <c r="O48" s="142">
        <f>O43/GapCalc!$H$32</f>
        <v>5.9048359472043302E-2</v>
      </c>
      <c r="P48" s="142">
        <f>P43/GapCalc!$H$32</f>
        <v>6.3194405911988785E-2</v>
      </c>
      <c r="Q48" s="142">
        <f>Q43/GapCalc!$H$32</f>
        <v>6.7434015431368066E-2</v>
      </c>
      <c r="R48" s="142">
        <f>R43/GapCalc!$H$32</f>
        <v>7.1769115265277392E-2</v>
      </c>
      <c r="S48" s="142">
        <f>S43/GapCalc!$H$32</f>
        <v>7.6201665680736608E-2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14197169.089834215</v>
      </c>
      <c r="D66" s="1544"/>
      <c r="E66" s="1564" t="s">
        <v>285</v>
      </c>
      <c r="G66" s="1520" t="s">
        <v>1073</v>
      </c>
      <c r="H66" s="1565">
        <f>H70/1.63</f>
        <v>2505382.7805589796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4576627.6499925088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807640.17352808989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18564757.966437262</v>
      </c>
      <c r="D69" s="1546">
        <v>0.9</v>
      </c>
      <c r="G69" s="1521" t="s">
        <v>1075</v>
      </c>
      <c r="H69" s="1568">
        <f>'Debt Calc'!E59*C43</f>
        <v>3276133.7587830466</v>
      </c>
      <c r="I69" s="1546">
        <v>0.9</v>
      </c>
    </row>
    <row r="70" spans="2:10">
      <c r="B70" s="1523" t="s">
        <v>1042</v>
      </c>
      <c r="C70" s="1577">
        <f>C67+C68+C69</f>
        <v>23141385.616429769</v>
      </c>
      <c r="D70" s="1545" t="s">
        <v>68</v>
      </c>
      <c r="G70" s="1523" t="s">
        <v>1042</v>
      </c>
      <c r="H70" s="1577">
        <f>H67+H68+H69</f>
        <v>4083773.9323111363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0.62999999999999978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8.9999999999999969E-2</v>
      </c>
      <c r="I73" s="1548"/>
    </row>
    <row r="74" spans="2:10" ht="13.5" thickBot="1">
      <c r="B74" s="1578" t="s">
        <v>1080</v>
      </c>
      <c r="C74" s="1581">
        <f>GapCalc!H33</f>
        <v>20025033.333740488</v>
      </c>
      <c r="D74" s="1549"/>
      <c r="F74" s="1559"/>
      <c r="G74" s="1578" t="s">
        <v>1082</v>
      </c>
      <c r="H74" s="1581">
        <f>GapCalc!H32</f>
        <v>3533829.4118365571</v>
      </c>
      <c r="I74" s="1549"/>
    </row>
    <row r="75" spans="2:10">
      <c r="B75" s="70" t="s">
        <v>1081</v>
      </c>
      <c r="C75" s="1579">
        <f>(C70-C74)/C74</f>
        <v>0.15562282622713494</v>
      </c>
      <c r="G75" s="70" t="s">
        <v>1081</v>
      </c>
      <c r="H75" s="1579">
        <f>(H70-H74)/H74</f>
        <v>0.155622826227135</v>
      </c>
    </row>
    <row r="76" spans="2:10">
      <c r="B76" s="70" t="s">
        <v>1045</v>
      </c>
      <c r="C76" s="1579">
        <f>C75/7</f>
        <v>2.2231832318162136E-2</v>
      </c>
      <c r="G76" s="70" t="s">
        <v>1045</v>
      </c>
      <c r="H76" s="1579">
        <f>H75/7</f>
        <v>2.2231832318162142E-2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4246659.0596200647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7643986.3073161161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7643986.3073161161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20927487.270547792</v>
      </c>
      <c r="D93" s="1544"/>
      <c r="E93" s="1564" t="s">
        <v>288</v>
      </c>
      <c r="G93" s="1520" t="s">
        <v>1073</v>
      </c>
      <c r="H93" s="1565">
        <f>H97/1.63</f>
        <v>2837467.803004697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7643986.3073161161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1348938.760114609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26467817.943676788</v>
      </c>
      <c r="D96" s="1546">
        <v>0.9</v>
      </c>
      <c r="G96" s="1521" t="s">
        <v>1075</v>
      </c>
      <c r="H96" s="1568">
        <f>'Debt Calc'!E59*C43</f>
        <v>3276133.7587830466</v>
      </c>
      <c r="I96" s="1546">
        <v>0.9</v>
      </c>
    </row>
    <row r="97" spans="2:9">
      <c r="B97" s="1523" t="s">
        <v>1042</v>
      </c>
      <c r="C97" s="1577">
        <f>C94+C95+C96</f>
        <v>34111804.250992902</v>
      </c>
      <c r="D97" s="1545" t="s">
        <v>68</v>
      </c>
      <c r="G97" s="1523" t="s">
        <v>1042</v>
      </c>
      <c r="H97" s="1577">
        <f>H94+H95+H96</f>
        <v>4625072.5188976554</v>
      </c>
      <c r="I97" s="1545" t="s">
        <v>68</v>
      </c>
    </row>
    <row r="98" spans="2:9">
      <c r="B98" s="1523" t="s">
        <v>1043</v>
      </c>
      <c r="C98" s="1571">
        <f>C97/C93</f>
        <v>1.6300000000000001</v>
      </c>
      <c r="D98" s="1547"/>
      <c r="G98" s="1523" t="s">
        <v>1043</v>
      </c>
      <c r="H98" s="1571">
        <f>H97/H93</f>
        <v>1.6299999999999997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0.62999999999999978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8.9999999999999969E-2</v>
      </c>
      <c r="I100" s="1548"/>
    </row>
    <row r="101" spans="2:9" ht="13.5" thickBot="1">
      <c r="B101" s="1578" t="s">
        <v>1080</v>
      </c>
      <c r="C101" s="1581">
        <f>GapCalc!H33</f>
        <v>20025033.333740488</v>
      </c>
      <c r="D101" s="1549"/>
      <c r="G101" s="1578" t="s">
        <v>1082</v>
      </c>
      <c r="H101" s="1581">
        <f>GapCalc!H32</f>
        <v>3533829.4118365571</v>
      </c>
      <c r="I101" s="1549"/>
    </row>
    <row r="102" spans="2:9">
      <c r="B102" s="70" t="s">
        <v>1081</v>
      </c>
      <c r="C102" s="1579">
        <f>(C97-C101)/C101</f>
        <v>0.70345805085464685</v>
      </c>
      <c r="G102" s="70" t="s">
        <v>1081</v>
      </c>
      <c r="H102" s="1579">
        <f>(H97-H101)/H101</f>
        <v>0.30879903353738042</v>
      </c>
    </row>
    <row r="103" spans="2:9">
      <c r="B103" s="70" t="s">
        <v>1045</v>
      </c>
      <c r="C103" s="1579">
        <f>C102/10</f>
        <v>7.0345805085464688E-2</v>
      </c>
      <c r="G103" s="70" t="s">
        <v>1045</v>
      </c>
      <c r="H103" s="1579">
        <f>H102/10</f>
        <v>3.0879903353738043E-2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50.5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2630684.8458820791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37894937.979326628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37894900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11588077.906610783</v>
      </c>
    </row>
    <row r="15" spans="2:36">
      <c r="B15" s="556"/>
      <c r="C15" s="560" t="s">
        <v>634</v>
      </c>
      <c r="H15" s="561">
        <f>12*PMT(Data!C24/12,Data!C29*12,-'Debt Calc'!H14)</f>
        <v>2630682.2093389211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5983841.6268672049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5983841.6268672049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37894900</v>
      </c>
      <c r="E21" s="561">
        <f>$H$15</f>
        <v>2630682.2093389211</v>
      </c>
      <c r="F21" s="561">
        <f>E21-G21</f>
        <v>0</v>
      </c>
      <c r="G21" s="561">
        <f>D21-H21</f>
        <v>2630682.2093389183</v>
      </c>
      <c r="H21" s="561">
        <f>D21-E21</f>
        <v>35264217.790661082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35264217.790661082</v>
      </c>
      <c r="E22" s="561">
        <f t="shared" ref="E22:E50" si="1">$H$15</f>
        <v>2630682.2093389211</v>
      </c>
      <c r="F22" s="561">
        <f t="shared" ref="F22:F50" si="2">E22-G22</f>
        <v>0</v>
      </c>
      <c r="G22" s="561">
        <f t="shared" ref="G22:G50" si="3">D22-H22</f>
        <v>2630682.2093389221</v>
      </c>
      <c r="H22" s="561">
        <f t="shared" ref="H22:H39" si="4">D22-E22</f>
        <v>32633535.58132216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32633535.58132216</v>
      </c>
      <c r="E23" s="561">
        <f t="shared" si="1"/>
        <v>2630682.2093389211</v>
      </c>
      <c r="F23" s="561">
        <f t="shared" si="2"/>
        <v>0</v>
      </c>
      <c r="G23" s="561">
        <f t="shared" si="3"/>
        <v>2630682.2093389221</v>
      </c>
      <c r="H23" s="561">
        <f t="shared" si="4"/>
        <v>30002853.371983238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30002853.371983238</v>
      </c>
      <c r="E24" s="561">
        <f t="shared" si="1"/>
        <v>2630682.2093389211</v>
      </c>
      <c r="F24" s="561">
        <f t="shared" si="2"/>
        <v>0</v>
      </c>
      <c r="G24" s="561">
        <f t="shared" si="3"/>
        <v>2630682.2093389221</v>
      </c>
      <c r="H24" s="561">
        <f t="shared" si="4"/>
        <v>27372171.162644316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27372171.162644316</v>
      </c>
      <c r="E25" s="561">
        <f t="shared" si="1"/>
        <v>2630682.2093389211</v>
      </c>
      <c r="F25" s="561">
        <f t="shared" si="2"/>
        <v>0</v>
      </c>
      <c r="G25" s="561">
        <f t="shared" si="3"/>
        <v>2630682.2093389221</v>
      </c>
      <c r="H25" s="561">
        <f t="shared" si="4"/>
        <v>24741488.953305393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24741488.953305393</v>
      </c>
      <c r="E26" s="561">
        <f t="shared" si="1"/>
        <v>2630682.2093389211</v>
      </c>
      <c r="F26" s="561">
        <f t="shared" si="2"/>
        <v>0</v>
      </c>
      <c r="G26" s="561">
        <f t="shared" si="3"/>
        <v>2630682.2093389221</v>
      </c>
      <c r="H26" s="561">
        <f t="shared" si="4"/>
        <v>22110806.743966471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22110806.743966471</v>
      </c>
      <c r="E27" s="561">
        <f t="shared" si="1"/>
        <v>2630682.2093389211</v>
      </c>
      <c r="F27" s="561">
        <f t="shared" si="2"/>
        <v>0</v>
      </c>
      <c r="G27" s="561">
        <f t="shared" si="3"/>
        <v>2630682.2093389221</v>
      </c>
      <c r="H27" s="561">
        <f t="shared" si="4"/>
        <v>19480124.534627549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19480124.534627549</v>
      </c>
      <c r="E28" s="561">
        <f t="shared" si="1"/>
        <v>2630682.2093389211</v>
      </c>
      <c r="F28" s="561">
        <f t="shared" si="2"/>
        <v>0</v>
      </c>
      <c r="G28" s="561">
        <f t="shared" si="3"/>
        <v>2630682.2093389221</v>
      </c>
      <c r="H28" s="561">
        <f t="shared" si="4"/>
        <v>16849442.325288627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16849442.325288627</v>
      </c>
      <c r="E29" s="561">
        <f t="shared" si="1"/>
        <v>2630682.2093389211</v>
      </c>
      <c r="F29" s="561">
        <f t="shared" si="2"/>
        <v>0</v>
      </c>
      <c r="G29" s="561">
        <f t="shared" si="3"/>
        <v>2630682.2093389221</v>
      </c>
      <c r="H29" s="561">
        <f t="shared" si="4"/>
        <v>14218760.115949705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14218760.115949705</v>
      </c>
      <c r="E30" s="561">
        <f t="shared" si="1"/>
        <v>2630682.2093389211</v>
      </c>
      <c r="F30" s="561">
        <f t="shared" si="2"/>
        <v>0</v>
      </c>
      <c r="G30" s="561">
        <f t="shared" si="3"/>
        <v>2630682.2093389221</v>
      </c>
      <c r="H30" s="561">
        <f>D30-E30</f>
        <v>11588077.906610783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11588077.906610783</v>
      </c>
      <c r="E31" s="561">
        <f t="shared" si="1"/>
        <v>2630682.2093389211</v>
      </c>
      <c r="F31" s="561">
        <f t="shared" si="2"/>
        <v>0</v>
      </c>
      <c r="G31" s="561">
        <f t="shared" si="3"/>
        <v>2630682.2093389221</v>
      </c>
      <c r="H31" s="561">
        <f t="shared" si="4"/>
        <v>8957395.6972718611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8957395.6972718611</v>
      </c>
      <c r="E32" s="561">
        <f t="shared" si="1"/>
        <v>2630682.2093389211</v>
      </c>
      <c r="F32" s="561">
        <f t="shared" si="2"/>
        <v>0</v>
      </c>
      <c r="G32" s="561">
        <f t="shared" si="3"/>
        <v>2630682.2093389211</v>
      </c>
      <c r="H32" s="561">
        <f t="shared" si="4"/>
        <v>6326713.48793294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6326713.48793294</v>
      </c>
      <c r="E33" s="561">
        <f t="shared" si="1"/>
        <v>2630682.2093389211</v>
      </c>
      <c r="F33" s="561">
        <f t="shared" si="2"/>
        <v>0</v>
      </c>
      <c r="G33" s="561">
        <f t="shared" si="3"/>
        <v>2630682.2093389211</v>
      </c>
      <c r="H33" s="561">
        <f t="shared" si="4"/>
        <v>3696031.2785940189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3696031.2785940189</v>
      </c>
      <c r="E34" s="561">
        <f t="shared" si="1"/>
        <v>2630682.2093389211</v>
      </c>
      <c r="F34" s="561">
        <f t="shared" si="2"/>
        <v>0</v>
      </c>
      <c r="G34" s="561">
        <f t="shared" si="3"/>
        <v>2630682.2093389211</v>
      </c>
      <c r="H34" s="561">
        <f t="shared" si="4"/>
        <v>1065349.0692550978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1065349.0692550978</v>
      </c>
      <c r="E35" s="561">
        <f t="shared" si="1"/>
        <v>2630682.2093389211</v>
      </c>
      <c r="F35" s="561">
        <f t="shared" si="2"/>
        <v>0</v>
      </c>
      <c r="G35" s="561">
        <f t="shared" si="3"/>
        <v>2630682.2093389211</v>
      </c>
      <c r="H35" s="561">
        <f t="shared" si="4"/>
        <v>-1565333.1400838234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-1565333.1400838234</v>
      </c>
      <c r="E36" s="561">
        <f t="shared" si="1"/>
        <v>2630682.2093389211</v>
      </c>
      <c r="F36" s="561">
        <f t="shared" si="2"/>
        <v>0</v>
      </c>
      <c r="G36" s="561">
        <f t="shared" si="3"/>
        <v>2630682.2093389211</v>
      </c>
      <c r="H36" s="561">
        <f t="shared" si="4"/>
        <v>-4196015.3494227445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-4196015.3494227445</v>
      </c>
      <c r="E37" s="561">
        <f t="shared" si="1"/>
        <v>2630682.2093389211</v>
      </c>
      <c r="F37" s="561">
        <f t="shared" si="2"/>
        <v>0</v>
      </c>
      <c r="G37" s="561">
        <f t="shared" si="3"/>
        <v>2630682.2093389211</v>
      </c>
      <c r="H37" s="561">
        <f t="shared" si="4"/>
        <v>-6826697.5587616656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-6826697.5587616656</v>
      </c>
      <c r="E38" s="561">
        <f t="shared" si="1"/>
        <v>2630682.2093389211</v>
      </c>
      <c r="F38" s="561">
        <f t="shared" si="2"/>
        <v>0</v>
      </c>
      <c r="G38" s="561">
        <f t="shared" si="3"/>
        <v>2630682.2093389202</v>
      </c>
      <c r="H38" s="561">
        <f>D38-E38</f>
        <v>-9457379.7681005858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-9457379.7681005858</v>
      </c>
      <c r="E39" s="561">
        <f t="shared" si="1"/>
        <v>2630682.2093389211</v>
      </c>
      <c r="F39" s="561">
        <f t="shared" si="2"/>
        <v>0</v>
      </c>
      <c r="G39" s="561">
        <f t="shared" si="3"/>
        <v>2630682.2093389221</v>
      </c>
      <c r="H39" s="561">
        <f t="shared" si="4"/>
        <v>-12088061.977439508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-12088061.977439508</v>
      </c>
      <c r="E40" s="561">
        <f t="shared" si="1"/>
        <v>2630682.2093389211</v>
      </c>
      <c r="F40" s="561">
        <f t="shared" si="2"/>
        <v>14718744.18677843</v>
      </c>
      <c r="G40" s="561">
        <f t="shared" si="3"/>
        <v>-12088061.977439508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2630682.2093389211</v>
      </c>
      <c r="F41" s="561">
        <f t="shared" si="2"/>
        <v>2630682.2093389211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2630682.2093389211</v>
      </c>
      <c r="F42" s="561">
        <f t="shared" si="2"/>
        <v>2630682.2093389211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2630682.2093389211</v>
      </c>
      <c r="F43" s="561">
        <f t="shared" si="2"/>
        <v>2630682.2093389211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2630682.2093389211</v>
      </c>
      <c r="F44" s="561">
        <f t="shared" si="2"/>
        <v>2630682.2093389211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2630682.2093389211</v>
      </c>
      <c r="F45" s="561">
        <f t="shared" si="2"/>
        <v>2630682.2093389211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2630682.2093389211</v>
      </c>
      <c r="F46" s="561">
        <f t="shared" si="2"/>
        <v>2630682.2093389211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2630682.2093389211</v>
      </c>
      <c r="F47" s="561">
        <f t="shared" si="2"/>
        <v>2630682.2093389211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2630682.2093389211</v>
      </c>
      <c r="F48" s="561">
        <f t="shared" si="2"/>
        <v>2630682.2093389211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2630682.2093389211</v>
      </c>
      <c r="F49" s="561">
        <f t="shared" si="2"/>
        <v>2630682.2093389211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2630682.2093389211</v>
      </c>
      <c r="F50" s="561">
        <f t="shared" si="2"/>
        <v>2630682.2093389211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96043002.438319489</v>
      </c>
      <c r="F55" s="561"/>
      <c r="G55" s="1663" t="s">
        <v>1064</v>
      </c>
      <c r="H55" s="1667">
        <f>'Cash Flow'!N15/0.05</f>
        <v>103427808.92267834</v>
      </c>
    </row>
    <row r="56" spans="2:28">
      <c r="D56" s="1653" t="s">
        <v>1065</v>
      </c>
      <c r="E56" s="1665">
        <f>'Cash Flow'!K21/1.2</f>
        <v>3043544.710151053</v>
      </c>
      <c r="F56" s="561"/>
      <c r="G56" s="1661" t="s">
        <v>1065</v>
      </c>
      <c r="H56" s="1668">
        <f>'Cash Flow'!N21/1.2</f>
        <v>3271900.4254077603</v>
      </c>
    </row>
    <row r="57" spans="2:28">
      <c r="D57" s="1653" t="s">
        <v>1066</v>
      </c>
      <c r="E57" s="1665">
        <f>E55*0.6</f>
        <v>57625801.462991692</v>
      </c>
      <c r="F57" s="561"/>
      <c r="G57" s="1661" t="s">
        <v>1066</v>
      </c>
      <c r="H57" s="1668">
        <f>H55*0.6</f>
        <v>62056685.353606999</v>
      </c>
    </row>
    <row r="58" spans="2:28">
      <c r="D58" s="1653" t="s">
        <v>1067</v>
      </c>
      <c r="E58" s="1665">
        <f>-PV(6.5%,34,E56)</f>
        <v>41321016.259847857</v>
      </c>
      <c r="F58" s="561"/>
      <c r="G58" s="1661" t="s">
        <v>1067</v>
      </c>
      <c r="H58" s="1668">
        <f>-PV(6.5%,30,H56)</f>
        <v>42726687.252112888</v>
      </c>
    </row>
    <row r="59" spans="2:28">
      <c r="D59" s="1652" t="s">
        <v>1068</v>
      </c>
      <c r="E59" s="1665">
        <f>E58-H27</f>
        <v>21840891.725220308</v>
      </c>
      <c r="F59" s="561"/>
      <c r="G59" s="1660" t="s">
        <v>1068</v>
      </c>
      <c r="H59" s="1668">
        <f>H58-H30</f>
        <v>31138609.345502105</v>
      </c>
    </row>
    <row r="60" spans="2:28" ht="13.5" thickBot="1">
      <c r="D60" s="1654" t="s">
        <v>1069</v>
      </c>
      <c r="E60" s="1666">
        <f>E59*GapCalc!I33</f>
        <v>18564757.966437262</v>
      </c>
      <c r="F60" s="561"/>
      <c r="G60" s="1662" t="s">
        <v>1069</v>
      </c>
      <c r="H60" s="1669">
        <f>H59*GapCalc!I33</f>
        <v>26467817.943676788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6565000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29588400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78740.478699999992</v>
      </c>
      <c r="C7" s="1417">
        <f>C4*E4</f>
        <v>354882.67783200002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63148.304700000001</v>
      </c>
      <c r="C8" s="1417">
        <f>C7*D7</f>
        <v>284608.88024150499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347757.18494150497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39370.239350000003</v>
      </c>
    </row>
    <row r="14" spans="1:5">
      <c r="A14" t="s">
        <v>992</v>
      </c>
      <c r="B14">
        <v>24</v>
      </c>
      <c r="C14" s="1425">
        <f>C3*(E3/12)*B14</f>
        <v>157480.95740000001</v>
      </c>
    </row>
    <row r="15" spans="1:5">
      <c r="A15" s="40" t="s">
        <v>994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347757.18494150497</v>
      </c>
      <c r="Y56" s="1309">
        <f>X56/'Rental Income'!D15</f>
        <v>3443.1404449653955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420341.31827483827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731743.69160817168</v>
      </c>
      <c r="Y70" s="1307">
        <f>X70/D10</f>
        <v>7244.9870456254621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1244.9870456254621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37135500</v>
      </c>
      <c r="C7" s="465">
        <f>'Dev Summary_5-20'!B8</f>
        <v>3190331</v>
      </c>
      <c r="D7" s="465">
        <f t="shared" ref="D7:D14" si="0">B7-C7</f>
        <v>33945169</v>
      </c>
      <c r="E7" s="477">
        <f t="shared" ref="E7:E15" si="1">D7/B7</f>
        <v>0.91408945618074344</v>
      </c>
      <c r="F7" s="477"/>
      <c r="G7" s="472" t="e">
        <f t="shared" ref="G7:G14" si="2">B7/$B$15</f>
        <v>#REF!</v>
      </c>
      <c r="I7" s="147">
        <f>B7/$H$4</f>
        <v>337595.45454545453</v>
      </c>
      <c r="J7" s="53">
        <f>B7/$H$5</f>
        <v>376.52086628543617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189584.59674894126</v>
      </c>
      <c r="C9" s="446">
        <f>'Dev Summary_5-20'!B10</f>
        <v>50000</v>
      </c>
      <c r="D9" s="446">
        <f t="shared" si="0"/>
        <v>139584.59674894126</v>
      </c>
      <c r="E9" s="477">
        <f t="shared" si="1"/>
        <v>0.73626549383538342</v>
      </c>
      <c r="F9" s="477"/>
      <c r="G9" s="473" t="e">
        <f t="shared" si="2"/>
        <v>#REF!</v>
      </c>
      <c r="I9" s="53">
        <f t="shared" si="3"/>
        <v>1723.4963340812842</v>
      </c>
      <c r="J9" s="53">
        <f t="shared" si="4"/>
        <v>1.9222188095565282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37887432.620618381</v>
      </c>
      <c r="C21" s="48">
        <v>18731659</v>
      </c>
      <c r="D21" s="48">
        <f>B21-C21</f>
        <v>19155773.620618381</v>
      </c>
      <c r="E21" s="55">
        <f>D21/B21</f>
        <v>0.50559703563006242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319137.62286968285</v>
      </c>
      <c r="C26" s="48">
        <v>12677529</v>
      </c>
      <c r="D26" s="48">
        <f t="shared" si="5"/>
        <v>-12358391.377130317</v>
      </c>
      <c r="E26" s="55">
        <f t="shared" si="6"/>
        <v>-38.724332361705791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40849050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37264.145000000004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33537.730500000005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314667.17916666664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40849050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9395.281500000001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394864.33616666665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32679240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45872.917880000001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32679240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52960.417880000001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443826</v>
      </c>
      <c r="E10" s="748">
        <f>'PreDev Flow of Funds'!Y10+'PreDev Flow of Funds'!Y12</f>
        <v>1395966</v>
      </c>
      <c r="F10" s="748">
        <f>(D10-E10)/18</f>
        <v>-52896.666666666664</v>
      </c>
      <c r="G10" s="748">
        <f>$F$10</f>
        <v>-52896.666666666664</v>
      </c>
      <c r="H10" s="748">
        <f t="shared" ref="H10:W10" si="2">$F$10</f>
        <v>-52896.666666666664</v>
      </c>
      <c r="I10" s="748">
        <f t="shared" si="2"/>
        <v>-52896.666666666664</v>
      </c>
      <c r="J10" s="748">
        <f t="shared" si="2"/>
        <v>-52896.666666666664</v>
      </c>
      <c r="K10" s="748">
        <f t="shared" si="2"/>
        <v>-52896.666666666664</v>
      </c>
      <c r="L10" s="748">
        <f t="shared" si="2"/>
        <v>-52896.666666666664</v>
      </c>
      <c r="M10" s="748">
        <f t="shared" si="2"/>
        <v>-52896.666666666664</v>
      </c>
      <c r="N10" s="748">
        <f t="shared" si="2"/>
        <v>-52896.666666666664</v>
      </c>
      <c r="O10" s="748">
        <f t="shared" si="2"/>
        <v>-52896.666666666664</v>
      </c>
      <c r="P10" s="748">
        <f t="shared" si="2"/>
        <v>-52896.666666666664</v>
      </c>
      <c r="Q10" s="748">
        <f t="shared" si="2"/>
        <v>-52896.666666666664</v>
      </c>
      <c r="R10" s="748">
        <f t="shared" si="2"/>
        <v>-52896.666666666664</v>
      </c>
      <c r="S10" s="748">
        <f t="shared" si="2"/>
        <v>-52896.666666666664</v>
      </c>
      <c r="T10" s="748">
        <f t="shared" si="2"/>
        <v>-52896.666666666664</v>
      </c>
      <c r="U10" s="748">
        <f t="shared" si="2"/>
        <v>-52896.666666666664</v>
      </c>
      <c r="V10" s="748">
        <f t="shared" si="2"/>
        <v>-52896.666666666664</v>
      </c>
      <c r="W10" s="748">
        <f t="shared" si="2"/>
        <v>-52896.666666666664</v>
      </c>
      <c r="X10" s="748"/>
      <c r="Y10" s="748">
        <f>SUM(E10:W10)</f>
        <v>443825.99999999988</v>
      </c>
    </row>
    <row r="11" spans="1:25" ht="15">
      <c r="A11" s="402"/>
      <c r="B11" s="403" t="s">
        <v>388</v>
      </c>
      <c r="C11" s="748"/>
      <c r="D11" s="748">
        <f>'Development Budget'!G41</f>
        <v>443826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37135500</v>
      </c>
      <c r="E13" s="748">
        <f>'PreDev Flow of Funds'!Y14</f>
        <v>69798.3</v>
      </c>
      <c r="F13" s="748">
        <f>(D13-E13)/18</f>
        <v>2059205.6500000001</v>
      </c>
      <c r="G13" s="748">
        <f>$F$13</f>
        <v>2059205.6500000001</v>
      </c>
      <c r="H13" s="748">
        <f t="shared" ref="H13:W13" si="5">$F$13</f>
        <v>2059205.6500000001</v>
      </c>
      <c r="I13" s="748">
        <f t="shared" si="5"/>
        <v>2059205.6500000001</v>
      </c>
      <c r="J13" s="748">
        <f t="shared" si="5"/>
        <v>2059205.6500000001</v>
      </c>
      <c r="K13" s="748">
        <f t="shared" si="5"/>
        <v>2059205.6500000001</v>
      </c>
      <c r="L13" s="748">
        <f t="shared" si="5"/>
        <v>2059205.6500000001</v>
      </c>
      <c r="M13" s="748">
        <f t="shared" si="5"/>
        <v>2059205.6500000001</v>
      </c>
      <c r="N13" s="748">
        <f t="shared" si="5"/>
        <v>2059205.6500000001</v>
      </c>
      <c r="O13" s="748">
        <f t="shared" si="5"/>
        <v>2059205.6500000001</v>
      </c>
      <c r="P13" s="748">
        <f t="shared" si="5"/>
        <v>2059205.6500000001</v>
      </c>
      <c r="Q13" s="748">
        <f t="shared" si="5"/>
        <v>2059205.6500000001</v>
      </c>
      <c r="R13" s="748">
        <f t="shared" si="5"/>
        <v>2059205.6500000001</v>
      </c>
      <c r="S13" s="748">
        <f t="shared" si="5"/>
        <v>2059205.6500000001</v>
      </c>
      <c r="T13" s="748">
        <f t="shared" si="5"/>
        <v>2059205.6500000001</v>
      </c>
      <c r="U13" s="748">
        <f t="shared" si="5"/>
        <v>2059205.6500000001</v>
      </c>
      <c r="V13" s="748">
        <f t="shared" si="5"/>
        <v>2059205.6500000001</v>
      </c>
      <c r="W13" s="748">
        <f t="shared" si="5"/>
        <v>2059205.6500000001</v>
      </c>
      <c r="X13" s="748"/>
      <c r="Y13" s="748">
        <f t="shared" si="3"/>
        <v>37135499.999999993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37135500</v>
      </c>
      <c r="E15" s="748">
        <f>'PreDev Flow of Funds'!Y16+'PreDev Flow of Funds'!Y17+'PreDev Flow of Funds'!Y19</f>
        <v>72500</v>
      </c>
      <c r="F15" s="748">
        <f>(D15-E15)/18</f>
        <v>2059055.5555555555</v>
      </c>
      <c r="G15" s="748">
        <f>$F$15</f>
        <v>2059055.5555555555</v>
      </c>
      <c r="H15" s="748">
        <f t="shared" ref="H15:W15" si="7">$F$15</f>
        <v>2059055.5555555555</v>
      </c>
      <c r="I15" s="748">
        <f t="shared" si="7"/>
        <v>2059055.5555555555</v>
      </c>
      <c r="J15" s="748">
        <f t="shared" si="7"/>
        <v>2059055.5555555555</v>
      </c>
      <c r="K15" s="748">
        <f t="shared" si="7"/>
        <v>2059055.5555555555</v>
      </c>
      <c r="L15" s="748">
        <f t="shared" si="7"/>
        <v>2059055.5555555555</v>
      </c>
      <c r="M15" s="748">
        <f t="shared" si="7"/>
        <v>2059055.5555555555</v>
      </c>
      <c r="N15" s="748">
        <f t="shared" si="7"/>
        <v>2059055.5555555555</v>
      </c>
      <c r="O15" s="748">
        <f t="shared" si="7"/>
        <v>2059055.5555555555</v>
      </c>
      <c r="P15" s="748">
        <f t="shared" si="7"/>
        <v>2059055.5555555555</v>
      </c>
      <c r="Q15" s="748">
        <f t="shared" si="7"/>
        <v>2059055.5555555555</v>
      </c>
      <c r="R15" s="748">
        <f t="shared" si="7"/>
        <v>2059055.5555555555</v>
      </c>
      <c r="S15" s="748">
        <f t="shared" si="7"/>
        <v>2059055.5555555555</v>
      </c>
      <c r="T15" s="748">
        <f t="shared" si="7"/>
        <v>2059055.5555555555</v>
      </c>
      <c r="U15" s="748">
        <f t="shared" si="7"/>
        <v>2059055.5555555555</v>
      </c>
      <c r="V15" s="748">
        <f t="shared" si="7"/>
        <v>2059055.5555555555</v>
      </c>
      <c r="W15" s="748">
        <f t="shared" si="7"/>
        <v>2059055.5555555555</v>
      </c>
      <c r="X15" s="748"/>
      <c r="Y15" s="748">
        <f t="shared" si="3"/>
        <v>37135500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29588400</v>
      </c>
      <c r="E33" s="748">
        <v>0</v>
      </c>
      <c r="F33" s="748">
        <f>D33</f>
        <v>29588400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29588400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92838.75</v>
      </c>
      <c r="E43" s="748">
        <f>D43</f>
        <v>92838.75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92838.75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283838.75</v>
      </c>
      <c r="E52" s="748">
        <f>D52</f>
        <v>283838.75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283838.75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189584.59674894126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15221830.574999997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40015016.773082934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-12442650.721033126</v>
      </c>
      <c r="E87" s="749">
        <f>E80-E84-E85-E86-E88-E89-E90-E91</f>
        <v>380677.49999999627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15221830.574999997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66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66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7" t="s">
        <v>590</v>
      </c>
      <c r="D74" s="1768"/>
      <c r="E74" s="1768"/>
      <c r="F74" s="1768"/>
      <c r="G74" s="1768"/>
      <c r="H74" s="1768"/>
      <c r="I74" s="1769"/>
      <c r="J74" s="1770" t="s">
        <v>583</v>
      </c>
      <c r="K74" s="1771"/>
      <c r="L74" s="1771"/>
      <c r="M74" s="1771"/>
      <c r="N74" s="1771"/>
      <c r="O74" s="177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-1328253.5774999999</v>
      </c>
      <c r="K103" s="162">
        <f>J103+(C116*0.25)/2</f>
        <v>-2656507.1549999998</v>
      </c>
      <c r="L103" s="162">
        <f>K103+((C116-K103)/4)</f>
        <v>-4648887.5212500002</v>
      </c>
      <c r="M103" s="162">
        <f>L103+((C116-K103)/4)</f>
        <v>-6641267.8875000002</v>
      </c>
      <c r="N103" s="162">
        <f>M103+((C116-K103)/4)</f>
        <v>-8633648.2537500001</v>
      </c>
      <c r="O103" s="162">
        <f>N103+((C116-K103)/4)</f>
        <v>-10626028.620000001</v>
      </c>
      <c r="P103" s="162">
        <f>O103</f>
        <v>-10626028.620000001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9967028.7408333328</v>
      </c>
      <c r="K104" s="371">
        <f>((C117-1033493)/6)+J104</f>
        <v>19934057.481666666</v>
      </c>
      <c r="L104" s="371">
        <f>((C117-1033493)/6)+K104</f>
        <v>29901086.222499996</v>
      </c>
      <c r="M104" s="371">
        <f>((C117-1033493)/6)+L104</f>
        <v>39868114.963333331</v>
      </c>
      <c r="N104" s="371">
        <f>((C117-1033493)/6)+M104</f>
        <v>49835143.704166666</v>
      </c>
      <c r="O104" s="371">
        <f>((C117-1033493)/6)+N104</f>
        <v>59802172.445</v>
      </c>
      <c r="P104" s="371">
        <f>(286645+100000+646848)+O104</f>
        <v>60835665.445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8638775.1633333322</v>
      </c>
      <c r="K110" s="371">
        <f t="shared" ref="K110:P110" si="9">SUM(K103:K104)</f>
        <v>17277550.326666664</v>
      </c>
      <c r="L110" s="371">
        <f t="shared" si="9"/>
        <v>25252198.701249994</v>
      </c>
      <c r="M110" s="371">
        <f t="shared" si="9"/>
        <v>33226847.075833332</v>
      </c>
      <c r="N110" s="371">
        <f t="shared" si="9"/>
        <v>41201495.450416669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5">
        <f>'PreDev Flow of Funds'!D47</f>
        <v>14824249.954999998</v>
      </c>
      <c r="D114" s="1774"/>
    </row>
    <row r="115" spans="2:19">
      <c r="B115" s="397" t="s">
        <v>601</v>
      </c>
      <c r="C115" s="1776">
        <f>M102</f>
        <v>1323400.22</v>
      </c>
      <c r="D115" s="1774"/>
    </row>
    <row r="116" spans="2:19">
      <c r="B116" s="397" t="s">
        <v>583</v>
      </c>
      <c r="C116" s="1776">
        <f>'Development Budget'!G37-Predevelopment!D27-Predevelopment!D28-Predevelopment!D29-Timeline!M102-Predevelopment!D17</f>
        <v>-10626028.619999999</v>
      </c>
      <c r="D116" s="1774"/>
    </row>
    <row r="117" spans="2:19" ht="16.5" thickBot="1">
      <c r="B117" s="398" t="s">
        <v>602</v>
      </c>
      <c r="C117" s="1777">
        <f>C118-C114-C116-C115</f>
        <v>60835665.445</v>
      </c>
      <c r="D117" s="1778"/>
    </row>
    <row r="118" spans="2:19" ht="16.5" thickTop="1">
      <c r="B118" s="368" t="s">
        <v>586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