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Gaps\"/>
    </mc:Choice>
  </mc:AlternateContent>
  <xr:revisionPtr revIDLastSave="0" documentId="13_ncr:1_{8D75E45D-477E-44F0-9BB9-EBC0312FF79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0" i="10" l="1"/>
  <c r="M116" i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H33" i="2" l="1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<sst xmlns="http://schemas.openxmlformats.org/spreadsheetml/2006/main" count="1995" uniqueCount="1106">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</sst>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7" workbookViewId="0">
      <selection activeCell="H19" sqref="H19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147144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147144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3.554829373500362E-3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3.5548293735003407E-3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-14681961.205706466</v>
      </c>
      <c r="E18" s="1754">
        <f ca="1">D18/-D28</f>
        <v>0.15309745403118441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66589.403973509936</v>
      </c>
    </row>
    <row r="22" spans="1:6">
      <c r="A22" s="64"/>
      <c r="B22" s="4" t="s">
        <v>16</v>
      </c>
      <c r="C22" s="4"/>
      <c r="D22" s="1531">
        <f>'Development Budget'!G44</f>
        <v>60727208.750000007</v>
      </c>
      <c r="E22" s="1531">
        <f t="shared" ref="E22:E28" si="0">D22/$D$10</f>
        <v>402166.94536423846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2622699</v>
      </c>
      <c r="E24" s="1531">
        <f t="shared" si="0"/>
        <v>17368.867549668874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6506389.6529755723</v>
      </c>
      <c r="E25" s="1531">
        <f t="shared" si="0"/>
        <v>43088.673198513723</v>
      </c>
    </row>
    <row r="26" spans="1:6">
      <c r="A26" s="64"/>
      <c r="B26" s="4" t="s">
        <v>20</v>
      </c>
      <c r="C26" s="4"/>
      <c r="D26" s="1531">
        <f>'Development Budget'!G181</f>
        <v>4138391.6579796812</v>
      </c>
      <c r="E26" s="1531">
        <f t="shared" si="0"/>
        <v>27406.567271388616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9986038.1154549867</v>
      </c>
      <c r="E27" s="1532">
        <f t="shared" si="0"/>
        <v>66132.70275135753</v>
      </c>
    </row>
    <row r="28" spans="1:6" ht="16.5" thickTop="1">
      <c r="A28" s="4"/>
      <c r="B28" s="4"/>
      <c r="C28" s="150" t="s">
        <v>14</v>
      </c>
      <c r="D28" s="1533">
        <f>SUM(D21:D27)</f>
        <v>95899447.176410243</v>
      </c>
      <c r="E28" s="1531">
        <f t="shared" si="0"/>
        <v>635095.67666496849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62334640.66466666</v>
      </c>
      <c r="E32" s="1586">
        <f t="shared" si="1"/>
        <v>412812.18983222952</v>
      </c>
    </row>
    <row r="33" spans="1:5">
      <c r="A33" s="64"/>
      <c r="B33" s="4" t="s">
        <v>1052</v>
      </c>
      <c r="C33" s="4"/>
      <c r="D33" s="1587">
        <f>GapCalc!D29</f>
        <v>5034720.9767615367</v>
      </c>
      <c r="E33" s="1586">
        <f>D33/$D$10</f>
        <v>33342.523024910835</v>
      </c>
    </row>
    <row r="34" spans="1:5">
      <c r="A34" s="65"/>
      <c r="B34" s="4" t="s">
        <v>26</v>
      </c>
      <c r="C34" s="4"/>
      <c r="D34" s="1587">
        <f>GapCalc!D30</f>
        <v>28530085.534982041</v>
      </c>
      <c r="E34" s="1586">
        <f>D34/$D$10</f>
        <v>188940.96380782808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95899447.176410243</v>
      </c>
      <c r="E36" s="1586">
        <f>D36/$D$10</f>
        <v>635095.67666496849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56350684.496865101</v>
      </c>
      <c r="E40" s="1586">
        <f t="shared" ref="E40" si="2">D40/$D$10</f>
        <v>373183.34103884175</v>
      </c>
    </row>
    <row r="41" spans="1:5">
      <c r="A41" s="60"/>
      <c r="B41" s="4" t="s">
        <v>1052</v>
      </c>
      <c r="C41" s="4"/>
      <c r="D41" s="1591">
        <f>GapCalc!D29+GapCalc!D38</f>
        <v>5932314.4019317701</v>
      </c>
      <c r="E41" s="1586">
        <f>D41/$D$10</f>
        <v>39286.85034391901</v>
      </c>
    </row>
    <row r="42" spans="1:5">
      <c r="A42" s="60"/>
      <c r="B42" s="1557" t="s">
        <v>26</v>
      </c>
      <c r="C42" s="4"/>
      <c r="D42" s="1592">
        <f>GapCalc!D30+GapCalc!D39</f>
        <v>33616448.277613364</v>
      </c>
      <c r="E42" s="1586">
        <f>D42/$D$10</f>
        <v>222625.48528220772</v>
      </c>
    </row>
    <row r="43" spans="1:5">
      <c r="A43" s="60"/>
      <c r="B43" s="1714" t="s">
        <v>1103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95899447.176410228</v>
      </c>
      <c r="E45" s="1588">
        <f>D45/$D$10</f>
        <v>635095.67666496837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" zoomScaleNormal="100" workbookViewId="0">
      <selection activeCell="D46" sqref="D46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147144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147144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60727208.750000007</v>
      </c>
      <c r="E18" s="1531">
        <f t="shared" ref="E18:E24" si="0">D18/$D$11</f>
        <v>402166.94536423846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2622699</v>
      </c>
      <c r="E20" s="1531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6506389.6529755723</v>
      </c>
      <c r="E21" s="1531">
        <f t="shared" si="0"/>
        <v>43088.673198513723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4138391.6579796812</v>
      </c>
      <c r="E22" s="1531">
        <f t="shared" si="0"/>
        <v>27406.567271388616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9986038.1154549867</v>
      </c>
      <c r="E23" s="1532">
        <f t="shared" si="0"/>
        <v>66132.70275135753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95899447.176410243</v>
      </c>
      <c r="E24" s="1531">
        <f t="shared" si="0"/>
        <v>635095.67666496849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0.84869422549857676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62334640.66466666</v>
      </c>
      <c r="E28" s="1586">
        <f t="shared" si="1"/>
        <v>412812.18983222952</v>
      </c>
      <c r="F28" s="62"/>
      <c r="G28" s="1419" t="s">
        <v>609</v>
      </c>
      <c r="H28" s="1608">
        <f>H32/D11</f>
        <v>39286.85034391901</v>
      </c>
      <c r="I28" s="703"/>
    </row>
    <row r="29" spans="1:10" ht="15.75">
      <c r="A29" s="64"/>
      <c r="B29" s="4" t="s">
        <v>1052</v>
      </c>
      <c r="C29" s="4"/>
      <c r="D29" s="1587">
        <v>5034720.9767615367</v>
      </c>
      <c r="E29" s="1586">
        <f>D29/$D$11</f>
        <v>33342.523024910835</v>
      </c>
      <c r="F29" s="520"/>
      <c r="G29" s="1420" t="s">
        <v>972</v>
      </c>
      <c r="H29" s="1609">
        <f>H33/D11</f>
        <v>222625.48528220772</v>
      </c>
      <c r="I29" s="703"/>
    </row>
    <row r="30" spans="1:10" ht="16.5" thickBot="1">
      <c r="A30" s="65"/>
      <c r="B30" s="4" t="s">
        <v>26</v>
      </c>
      <c r="C30" s="4"/>
      <c r="D30" s="1587">
        <v>28530085.534982041</v>
      </c>
      <c r="E30" s="1586">
        <f>D30/$D$11</f>
        <v>188940.96380782808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5932314.4019317701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95899447.176410243</v>
      </c>
      <c r="E33" s="1586">
        <f>D33/$D$11</f>
        <v>635095.67666496849</v>
      </c>
      <c r="F33" s="62"/>
      <c r="G33" s="1441" t="s">
        <v>972</v>
      </c>
      <c r="H33" s="1611">
        <f>D30+D39</f>
        <v>33616448.277613364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39548762.679545134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0.41239823423375799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56350684.496865101</v>
      </c>
      <c r="E37" s="1586">
        <f t="shared" ref="E37" si="2">D37/$D$11</f>
        <v>373183.34103884175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897593.42517023382</v>
      </c>
      <c r="E38" s="1586">
        <f>D38/$D$11</f>
        <v>5944.3273190081709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5086362.7426313246</v>
      </c>
      <c r="E39" s="1586">
        <f>D39/$D$11</f>
        <v>33684.521474379631</v>
      </c>
      <c r="F39" s="62"/>
      <c r="G39" s="1435" t="s">
        <v>609</v>
      </c>
      <c r="H39" s="1616">
        <f>-D32*0.15</f>
        <v>0</v>
      </c>
      <c r="I39" s="1596">
        <f>D29+H39</f>
        <v>5034720.9767615367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28530085.534982041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62334640.66466666</v>
      </c>
      <c r="E42" s="1586">
        <f>D42/$D$11</f>
        <v>412812.18983222952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897593.42517023382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5086362.7426313246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21136781.252762869</v>
      </c>
      <c r="J46" s="1582" t="s">
        <v>1084</v>
      </c>
      <c r="K46" s="1583">
        <f>'Cash Flow'!C76</f>
        <v>3.554829373500362E-3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6326611.1987358127</v>
      </c>
      <c r="J47" s="1584" t="s">
        <v>1099</v>
      </c>
      <c r="K47" s="1607">
        <f>'Cash Flow'!C70</f>
        <v>34452953.442003474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-12479667.024850495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3730020.2210757998</v>
      </c>
      <c r="J51" s="1585" t="s">
        <v>1084</v>
      </c>
      <c r="K51" s="1618">
        <f>'Cash Flow'!H76</f>
        <v>3.5548293735003407E-3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5932314.4019317701</v>
      </c>
      <c r="J52" s="1584" t="s">
        <v>1098</v>
      </c>
      <c r="K52" s="1607">
        <f>'Cash Flow'!H70</f>
        <v>6079932.9603535533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-2202294.1808559704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-14681961.205706466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31162136.297866821</v>
      </c>
      <c r="J58" s="1582" t="s">
        <v>1084</v>
      </c>
      <c r="K58" s="1583">
        <f>'Cash Flow'!C103</f>
        <v>5.1099490779188031E-2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50794282.165522918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-2454311.9797465429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4225094.4289547233</v>
      </c>
      <c r="J63" s="1585" t="s">
        <v>1084</v>
      </c>
      <c r="K63" s="1618">
        <f>'Cash Flow'!H103</f>
        <v>1.6091350737472372E-2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5932314.4019317701</v>
      </c>
      <c r="J64" s="1584" t="s">
        <v>1098</v>
      </c>
      <c r="K64" s="1607">
        <f>'Cash Flow'!H97</f>
        <v>6886903.9191961978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-1707219.9729770469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-4161531.9527235897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E43" zoomScale="130" zoomScaleNormal="130" workbookViewId="0">
      <selection activeCell="N55" sqref="N5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0.19867549668874171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0.79470198675496684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33</v>
      </c>
      <c r="E9" s="278">
        <f>IF(D9="","",D9/D$15)</f>
        <v>0.2185430463576159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30</v>
      </c>
      <c r="O9" s="332">
        <f t="shared" si="0"/>
        <v>0.19867549668874171</v>
      </c>
    </row>
    <row r="10" spans="2:19" ht="12.75" customHeight="1">
      <c r="B10" s="268"/>
      <c r="C10" s="209" t="s">
        <v>53</v>
      </c>
      <c r="D10" s="210">
        <f>SUM(E24,E33,E42,E51,E60,E78,E69,E87,E96,E116,E106)</f>
        <v>26</v>
      </c>
      <c r="E10" s="278">
        <f>IF(D10="","",D10/D$15)</f>
        <v>0.17218543046357615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92</v>
      </c>
      <c r="E11" s="278">
        <f>IF(D11="","",D11/D$15)</f>
        <v>0.60927152317880795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120</v>
      </c>
      <c r="O13" s="332">
        <f>N13/$N$18</f>
        <v>0.79470198675496684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122620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543947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0.19867549668874171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15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6000</v>
      </c>
      <c r="K41" s="292">
        <f>E41*I41</f>
        <v>29115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8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5360</v>
      </c>
      <c r="K42" s="292">
        <f>E42*I42</f>
        <v>16640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7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7000</v>
      </c>
      <c r="K43" s="292">
        <f>E43*I43</f>
        <v>17472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30</v>
      </c>
      <c r="F46" s="203"/>
      <c r="G46" s="203"/>
      <c r="H46" s="246"/>
      <c r="I46" s="247"/>
      <c r="J46" s="296">
        <f>SUM(J41:J45)</f>
        <v>18360</v>
      </c>
      <c r="K46" s="297">
        <f>SUM(K41:K45)</f>
        <v>63227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18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7200</v>
      </c>
      <c r="K50" s="292">
        <f>E50*I50</f>
        <v>43200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18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12060</v>
      </c>
      <c r="K51" s="292">
        <f>E51*I51</f>
        <v>56160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84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84000</v>
      </c>
      <c r="K52" s="292">
        <f>E52*I52</f>
        <v>381360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120</v>
      </c>
      <c r="F55" s="247"/>
      <c r="G55" s="247"/>
      <c r="H55" s="246"/>
      <c r="I55" s="247"/>
      <c r="J55" s="296">
        <f>SUM(J50:J54)</f>
        <v>103260</v>
      </c>
      <c r="K55" s="297">
        <f>SUM(K50:K54)</f>
        <v>480720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SUM(E116:E118)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zoomScaleNormal="100" workbookViewId="0">
      <selection activeCell="F9" sqref="F9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65430.463576158938</v>
      </c>
      <c r="J18" s="1015"/>
      <c r="K18" s="1016"/>
      <c r="L18" s="1016"/>
      <c r="M18" s="1431">
        <f>F9*N17</f>
        <v>9815000</v>
      </c>
      <c r="N18" s="1674">
        <v>9880000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66589.403973509936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48461767</v>
      </c>
      <c r="H32" s="1039"/>
      <c r="I32" s="950">
        <f t="shared" si="0"/>
        <v>320938.85430463578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53307943.700000003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44143200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4318567.0000000009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4846176.7</v>
      </c>
      <c r="G36" s="854">
        <f>F36</f>
        <v>4846176.7</v>
      </c>
      <c r="H36" s="950"/>
      <c r="I36" s="950">
        <f t="shared" si="0"/>
        <v>32093.885430463579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3392323.6900000004</v>
      </c>
      <c r="H37" s="1072"/>
      <c r="I37" s="950">
        <f t="shared" si="0"/>
        <v>22465.719801324507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3392323.6900000004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2423088.35</v>
      </c>
      <c r="H38" s="1072"/>
      <c r="I38" s="950">
        <f t="shared" si="0"/>
        <v>16046.942715231789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2423088.35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726926.505</v>
      </c>
      <c r="H40" s="1072"/>
      <c r="I40" s="950">
        <f t="shared" si="0"/>
        <v>4814.0828145695368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726926.505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726926.505</v>
      </c>
      <c r="H41" s="1072"/>
      <c r="I41" s="950">
        <f t="shared" si="0"/>
        <v>4814.0828145695368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726926.505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60727208.750000007</v>
      </c>
      <c r="H44" s="1324"/>
      <c r="I44" s="1325">
        <f t="shared" si="0"/>
        <v>402166.94536423846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60727208.750000007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60727208.750000007</v>
      </c>
      <c r="H46" s="1333"/>
      <c r="I46" s="1325">
        <f t="shared" si="0"/>
        <v>402166.94536423846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60727208.750000007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6072720.8750000009</v>
      </c>
      <c r="H47" s="1039"/>
      <c r="I47" s="950">
        <f t="shared" si="0"/>
        <v>40216.694536423849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6072720.8750000009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1520901.9781249999</v>
      </c>
      <c r="H59" s="1128"/>
      <c r="I59" s="950">
        <f t="shared" si="0"/>
        <v>10072.198530629139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151818.02187500003</v>
      </c>
      <c r="H67" s="1039"/>
      <c r="I67" s="950">
        <f t="shared" si="0"/>
        <v>1005.4173634105963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151818.02187500003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342818.02187500003</v>
      </c>
      <c r="H80" s="1101"/>
      <c r="I80" s="950">
        <f t="shared" si="0"/>
        <v>2270.3180256622518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342818.02187500003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2522699</v>
      </c>
      <c r="H90" s="1111"/>
      <c r="I90" s="950">
        <f t="shared" si="3"/>
        <v>16706.615894039736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2522699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662.25165562913912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1779837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1779837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2622699</v>
      </c>
      <c r="H97" s="1101"/>
      <c r="I97" s="950">
        <f t="shared" si="3"/>
        <v>17368.867549668874</v>
      </c>
      <c r="J97" s="1102"/>
      <c r="K97" s="1166">
        <f>I97/I250</f>
        <v>2.7348426682538195E-2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2622699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252447.76871126809</v>
      </c>
      <c r="H102" s="1111"/>
      <c r="I102" s="950">
        <f t="shared" si="3"/>
        <v>1671.8395278891926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252447.76871126809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237447.76871126809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4671106.3315664539</v>
      </c>
      <c r="N103" s="1172">
        <v>4748955.3742253613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252447.76871126809</v>
      </c>
      <c r="H114" s="1101"/>
      <c r="I114" s="950">
        <f t="shared" si="3"/>
        <v>1671.8395278891926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252447.76871126809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4497719.2800543327</v>
      </c>
      <c r="H116" s="1177"/>
      <c r="I116" s="950">
        <f t="shared" si="3"/>
        <v>29786.220397710811</v>
      </c>
      <c r="J116" s="1178"/>
      <c r="K116" s="1179" t="s">
        <v>823</v>
      </c>
      <c r="L116" s="1073"/>
      <c r="M116" s="1180">
        <f>0.5*Data!C20*Data!C17/12*Data!C19</f>
        <v>4394592.166859</v>
      </c>
      <c r="N116" s="1181">
        <v>4497719.2800543327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4497719.2800543327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637974.36596515356</v>
      </c>
      <c r="H117" s="1094"/>
      <c r="I117" s="950">
        <f t="shared" si="3"/>
        <v>4224.9958010937326</v>
      </c>
      <c r="J117" s="1015"/>
      <c r="K117" s="1184" t="s">
        <v>825</v>
      </c>
      <c r="L117" s="1185"/>
      <c r="M117" s="1186">
        <f>0.01*Data!C20</f>
        <v>623346.40664666658</v>
      </c>
      <c r="N117" s="1172">
        <v>637974.36596515356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637974.36596515356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1961.929178807947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843348.54606131243</v>
      </c>
      <c r="H121" s="1117"/>
      <c r="I121" s="950">
        <f t="shared" si="3"/>
        <v>5585.0897090153139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843348.54606131243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843348.54606131243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105696.15489477303</v>
      </c>
      <c r="H125" s="1111"/>
      <c r="I125" s="950">
        <f t="shared" si="3"/>
        <v>699.97453572697373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105696.15489477303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95696.154894773033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93501.960996999987</v>
      </c>
      <c r="N126" s="1172">
        <v>95696.154894773033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6396389.6529755723</v>
      </c>
      <c r="H148" s="1128"/>
      <c r="I148" s="950">
        <f t="shared" si="6"/>
        <v>42360.19637732167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6396389.6529755723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562224.77195673715</v>
      </c>
      <c r="H151" s="1093"/>
      <c r="I151" s="950">
        <f t="shared" ref="I151:I158" si="7">G151/$F$9</f>
        <v>3723.3428606406433</v>
      </c>
      <c r="J151" s="1094"/>
      <c r="K151" s="1244" t="s">
        <v>863</v>
      </c>
      <c r="L151" s="1245"/>
      <c r="M151" s="1558">
        <f>Data!C31*Data!C30</f>
        <v>563506.84496865107</v>
      </c>
      <c r="N151" s="1345">
        <v>562224.77195673715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5610117.6598199997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4138391.6579796812</v>
      </c>
      <c r="H178" s="1093"/>
      <c r="I178" s="950">
        <f t="shared" si="6"/>
        <v>27406.567271388616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4138391.6579796812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4138391.6579796812</v>
      </c>
      <c r="H181" s="1128"/>
      <c r="I181" s="950">
        <f t="shared" si="6"/>
        <v>27406.567271388616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4138391.6579796812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716324.80507707607</v>
      </c>
      <c r="H233" s="1111"/>
      <c r="I233" s="950">
        <f t="shared" si="8"/>
        <v>4743.8728813051393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716324.80507707607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1155074.805077076</v>
      </c>
      <c r="H234" s="1282"/>
      <c r="I234" s="950">
        <f t="shared" si="8"/>
        <v>7649.5020203779868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1155074.805077076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95899447.176410243</v>
      </c>
      <c r="H250" s="1298"/>
      <c r="I250" s="1299">
        <f>G250/F9</f>
        <v>635095.67666496849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651.73875371343888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147144</v>
      </c>
      <c r="D5" t="s">
        <v>428</v>
      </c>
      <c r="G5" s="510"/>
    </row>
    <row r="6" spans="1:15">
      <c r="B6" s="1350" t="s">
        <v>12</v>
      </c>
      <c r="C6" s="700">
        <f>'Construction Calculation'!C14</f>
        <v>147144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24524</v>
      </c>
      <c r="D8" t="s">
        <v>428</v>
      </c>
      <c r="G8" s="510"/>
    </row>
    <row r="9" spans="1:15">
      <c r="B9" s="1350" t="s">
        <v>430</v>
      </c>
      <c r="C9" s="700">
        <f>'Construction Calculation'!C47</f>
        <v>75.5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62334640.66466666</v>
      </c>
      <c r="D20" s="1375">
        <f>MIN(D22,GapCalc!D24)</f>
        <v>62334640.66466666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62334640.66466666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-3911891.6579796635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3911891.6579796812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74475561.599999994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56350684.496865101</v>
      </c>
      <c r="D30" s="1376">
        <f>-PV($C$24/12,$C$29*12,C27/12)</f>
        <v>56350684.496865101</v>
      </c>
      <c r="E30" s="1384"/>
      <c r="F30" t="s">
        <v>438</v>
      </c>
      <c r="G30" s="1381"/>
      <c r="H30" s="1376">
        <f>PV(G23,G29,-'Cash Flow'!E41*H28,)</f>
        <v>6306507.9652640298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3911891.6579796812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76719557.741128191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64337955.961330004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6527364</v>
      </c>
      <c r="F12" s="89">
        <f>E12*(1+$D$12)</f>
        <v>6690548.0999999996</v>
      </c>
      <c r="G12" s="89">
        <f t="shared" ref="G12:AH12" si="0">F12*(1+$D$12)</f>
        <v>6857811.8024999993</v>
      </c>
      <c r="H12" s="89">
        <f t="shared" si="0"/>
        <v>7029257.0975624984</v>
      </c>
      <c r="I12" s="89">
        <f t="shared" si="0"/>
        <v>7204988.5250015603</v>
      </c>
      <c r="J12" s="89">
        <f t="shared" si="0"/>
        <v>7385113.2381265983</v>
      </c>
      <c r="K12" s="89">
        <f t="shared" si="0"/>
        <v>7569741.0690797623</v>
      </c>
      <c r="L12" s="89">
        <f t="shared" si="0"/>
        <v>7758984.5958067561</v>
      </c>
      <c r="M12" s="89">
        <f t="shared" si="0"/>
        <v>7952959.2107019238</v>
      </c>
      <c r="N12" s="89">
        <f t="shared" si="0"/>
        <v>8151783.1909694709</v>
      </c>
      <c r="O12" s="89">
        <f t="shared" si="0"/>
        <v>8355577.7707437072</v>
      </c>
      <c r="P12" s="89">
        <f t="shared" si="0"/>
        <v>8564467.2150122989</v>
      </c>
      <c r="Q12" s="89">
        <f t="shared" si="0"/>
        <v>8778578.8953876048</v>
      </c>
      <c r="R12" s="89">
        <f t="shared" si="0"/>
        <v>8998043.3677722942</v>
      </c>
      <c r="S12" s="90">
        <f t="shared" si="0"/>
        <v>9222994.4519666005</v>
      </c>
      <c r="T12" s="89">
        <f t="shared" si="0"/>
        <v>9453569.3132657651</v>
      </c>
      <c r="U12" s="89">
        <f t="shared" si="0"/>
        <v>9689908.546097409</v>
      </c>
      <c r="V12" s="89">
        <f t="shared" si="0"/>
        <v>9932156.2597498428</v>
      </c>
      <c r="W12" s="89">
        <f t="shared" si="0"/>
        <v>10180460.166243589</v>
      </c>
      <c r="X12" s="89">
        <f t="shared" si="0"/>
        <v>10434971.670399677</v>
      </c>
      <c r="Y12" s="89">
        <f t="shared" si="0"/>
        <v>10695845.962159667</v>
      </c>
      <c r="Z12" s="89">
        <f t="shared" si="0"/>
        <v>10963242.111213658</v>
      </c>
      <c r="AA12" s="89">
        <f t="shared" si="0"/>
        <v>11237323.163993999</v>
      </c>
      <c r="AB12" s="89">
        <f t="shared" si="0"/>
        <v>11518256.243093848</v>
      </c>
      <c r="AC12" s="89">
        <f t="shared" si="0"/>
        <v>11806212.649171194</v>
      </c>
      <c r="AD12" s="89">
        <f t="shared" si="0"/>
        <v>12101367.965400472</v>
      </c>
      <c r="AE12" s="89">
        <f t="shared" si="0"/>
        <v>12403902.164535483</v>
      </c>
      <c r="AF12" s="89">
        <f t="shared" si="0"/>
        <v>12713999.71864887</v>
      </c>
      <c r="AG12" s="89">
        <f t="shared" si="0"/>
        <v>13031849.711615089</v>
      </c>
      <c r="AH12" s="89">
        <f t="shared" si="0"/>
        <v>13357645.954405466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-326647.2</v>
      </c>
      <c r="F14" s="100">
        <f t="shared" ref="F14:AH14" si="2">-((F12+F13)*$C$14)</f>
        <v>-334813.38</v>
      </c>
      <c r="G14" s="100">
        <f t="shared" si="2"/>
        <v>-343183.7145</v>
      </c>
      <c r="H14" s="100">
        <f t="shared" si="2"/>
        <v>-351763.30736249994</v>
      </c>
      <c r="I14" s="100">
        <f t="shared" si="2"/>
        <v>-360557.39004656242</v>
      </c>
      <c r="J14" s="100">
        <f t="shared" si="2"/>
        <v>-369571.32479772641</v>
      </c>
      <c r="K14" s="100">
        <f t="shared" si="2"/>
        <v>-378810.60791766952</v>
      </c>
      <c r="L14" s="100">
        <f t="shared" si="2"/>
        <v>-388280.87311561126</v>
      </c>
      <c r="M14" s="100">
        <f t="shared" si="2"/>
        <v>-397987.89494350151</v>
      </c>
      <c r="N14" s="100">
        <f t="shared" si="2"/>
        <v>-407937.59231708897</v>
      </c>
      <c r="O14" s="100">
        <f t="shared" si="2"/>
        <v>-418136.03212501621</v>
      </c>
      <c r="P14" s="100">
        <f t="shared" si="2"/>
        <v>-428589.4329281415</v>
      </c>
      <c r="Q14" s="100">
        <f t="shared" si="2"/>
        <v>-439304.16875134496</v>
      </c>
      <c r="R14" s="100">
        <f t="shared" si="2"/>
        <v>-450286.77297012857</v>
      </c>
      <c r="S14" s="101">
        <f t="shared" si="2"/>
        <v>-461543.94229438179</v>
      </c>
      <c r="T14" s="100">
        <f t="shared" si="2"/>
        <v>-473082.54085174121</v>
      </c>
      <c r="U14" s="100">
        <f t="shared" si="2"/>
        <v>-484909.60437303479</v>
      </c>
      <c r="V14" s="100">
        <f t="shared" si="2"/>
        <v>-497032.34448236052</v>
      </c>
      <c r="W14" s="100">
        <f t="shared" si="2"/>
        <v>-509458.15309441957</v>
      </c>
      <c r="X14" s="100">
        <f t="shared" si="2"/>
        <v>-522194.60692177992</v>
      </c>
      <c r="Y14" s="100">
        <f t="shared" si="2"/>
        <v>-535249.47209482442</v>
      </c>
      <c r="Z14" s="100">
        <f t="shared" si="2"/>
        <v>-548630.70889719494</v>
      </c>
      <c r="AA14" s="100">
        <f t="shared" si="2"/>
        <v>-562346.47661962488</v>
      </c>
      <c r="AB14" s="100">
        <f t="shared" si="2"/>
        <v>-576405.1385351154</v>
      </c>
      <c r="AC14" s="100">
        <f t="shared" si="2"/>
        <v>-590815.26699849323</v>
      </c>
      <c r="AD14" s="100">
        <f t="shared" si="2"/>
        <v>-605585.64867345558</v>
      </c>
      <c r="AE14" s="100">
        <f t="shared" si="2"/>
        <v>-620725.28989029187</v>
      </c>
      <c r="AF14" s="100">
        <f t="shared" si="2"/>
        <v>-636243.42213754915</v>
      </c>
      <c r="AG14" s="100">
        <f t="shared" si="2"/>
        <v>-652149.50769098778</v>
      </c>
      <c r="AH14" s="100">
        <f t="shared" si="2"/>
        <v>-668453.2453832624</v>
      </c>
    </row>
    <row r="15" spans="1:34">
      <c r="A15" s="76"/>
      <c r="B15" s="102" t="s">
        <v>312</v>
      </c>
      <c r="C15" s="76"/>
      <c r="D15" s="76"/>
      <c r="E15" s="95">
        <f>SUM(E12:E14)</f>
        <v>6206296.7999999998</v>
      </c>
      <c r="F15" s="95">
        <f t="shared" ref="F15:AH15" si="3">SUM(F12:F14)</f>
        <v>6361454.2199999997</v>
      </c>
      <c r="G15" s="103">
        <f t="shared" si="3"/>
        <v>6520490.5754999993</v>
      </c>
      <c r="H15" s="104">
        <f t="shared" si="3"/>
        <v>6683502.8398874989</v>
      </c>
      <c r="I15" s="104">
        <f t="shared" si="3"/>
        <v>6850590.4108846858</v>
      </c>
      <c r="J15" s="95">
        <f t="shared" si="3"/>
        <v>7021855.1711568013</v>
      </c>
      <c r="K15" s="103">
        <f t="shared" si="3"/>
        <v>7197401.5504357209</v>
      </c>
      <c r="L15" s="95">
        <f t="shared" si="3"/>
        <v>7377336.5891966131</v>
      </c>
      <c r="M15" s="95">
        <f t="shared" si="3"/>
        <v>7561770.0039265277</v>
      </c>
      <c r="N15" s="95">
        <f t="shared" si="3"/>
        <v>7750814.25402469</v>
      </c>
      <c r="O15" s="95">
        <f t="shared" si="3"/>
        <v>7944584.6103753075</v>
      </c>
      <c r="P15" s="95">
        <f t="shared" si="3"/>
        <v>8143199.2256346885</v>
      </c>
      <c r="Q15" s="95">
        <f t="shared" si="3"/>
        <v>8346779.2062755534</v>
      </c>
      <c r="R15" s="95">
        <f t="shared" si="3"/>
        <v>8555448.6864324417</v>
      </c>
      <c r="S15" s="96">
        <f t="shared" si="3"/>
        <v>8769334.9035932533</v>
      </c>
      <c r="T15" s="95">
        <f t="shared" si="3"/>
        <v>8988568.2761830818</v>
      </c>
      <c r="U15" s="95">
        <f t="shared" si="3"/>
        <v>9213282.4830876607</v>
      </c>
      <c r="V15" s="95">
        <f t="shared" si="3"/>
        <v>9443614.5451648496</v>
      </c>
      <c r="W15" s="95">
        <f t="shared" si="3"/>
        <v>9679704.9087939709</v>
      </c>
      <c r="X15" s="95">
        <f t="shared" si="3"/>
        <v>9921697.5315138176</v>
      </c>
      <c r="Y15" s="95">
        <f t="shared" si="3"/>
        <v>10169739.969801662</v>
      </c>
      <c r="Z15" s="95">
        <f t="shared" si="3"/>
        <v>10423983.469046703</v>
      </c>
      <c r="AA15" s="95">
        <f t="shared" si="3"/>
        <v>10684583.055772871</v>
      </c>
      <c r="AB15" s="95">
        <f t="shared" si="3"/>
        <v>10951697.632167192</v>
      </c>
      <c r="AC15" s="95">
        <f t="shared" si="3"/>
        <v>11225490.07297137</v>
      </c>
      <c r="AD15" s="95">
        <f t="shared" si="3"/>
        <v>11506127.324795654</v>
      </c>
      <c r="AE15" s="95">
        <f t="shared" si="3"/>
        <v>11793780.507915545</v>
      </c>
      <c r="AF15" s="95">
        <f t="shared" si="3"/>
        <v>12088625.020613432</v>
      </c>
      <c r="AG15" s="95">
        <f t="shared" si="3"/>
        <v>12390840.646128766</v>
      </c>
      <c r="AH15" s="95">
        <f t="shared" si="3"/>
        <v>12700611.662281984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-560726.81042438315</v>
      </c>
      <c r="F19" s="89">
        <f>E19*(1+$D$19)</f>
        <v>-567735.89555468794</v>
      </c>
      <c r="G19" s="89">
        <f t="shared" ref="G19:AH19" si="6">F19*(1+$D$19)</f>
        <v>-574832.5942491215</v>
      </c>
      <c r="H19" s="89">
        <f t="shared" si="6"/>
        <v>-582018.00167723547</v>
      </c>
      <c r="I19" s="89">
        <f t="shared" si="6"/>
        <v>-589293.22669820092</v>
      </c>
      <c r="J19" s="89">
        <f t="shared" si="6"/>
        <v>-596659.39203192841</v>
      </c>
      <c r="K19" s="89">
        <f t="shared" si="6"/>
        <v>-604117.63443232747</v>
      </c>
      <c r="L19" s="89">
        <f t="shared" si="6"/>
        <v>-611669.10486273153</v>
      </c>
      <c r="M19" s="89">
        <f t="shared" si="6"/>
        <v>-619314.9686735156</v>
      </c>
      <c r="N19" s="89">
        <f t="shared" si="6"/>
        <v>-627056.4057819345</v>
      </c>
      <c r="O19" s="89">
        <f t="shared" si="6"/>
        <v>-634894.6108542087</v>
      </c>
      <c r="P19" s="89">
        <f t="shared" si="6"/>
        <v>-642830.79348988633</v>
      </c>
      <c r="Q19" s="89">
        <f t="shared" si="6"/>
        <v>-650866.17840850994</v>
      </c>
      <c r="R19" s="89">
        <f t="shared" si="6"/>
        <v>-659002.00563861628</v>
      </c>
      <c r="S19" s="90">
        <f t="shared" si="6"/>
        <v>-667239.53070909891</v>
      </c>
      <c r="T19" s="89">
        <f t="shared" si="6"/>
        <v>-675580.02484296262</v>
      </c>
      <c r="U19" s="89">
        <f t="shared" si="6"/>
        <v>-684024.77515349968</v>
      </c>
      <c r="V19" s="89">
        <f t="shared" si="6"/>
        <v>-692575.08484291844</v>
      </c>
      <c r="W19" s="89">
        <f t="shared" si="6"/>
        <v>-701232.27340345492</v>
      </c>
      <c r="X19" s="89">
        <f t="shared" si="6"/>
        <v>-709997.67682099808</v>
      </c>
      <c r="Y19" s="89">
        <f t="shared" si="6"/>
        <v>-718872.64778126054</v>
      </c>
      <c r="Z19" s="89">
        <f t="shared" si="6"/>
        <v>-727858.5558785263</v>
      </c>
      <c r="AA19" s="89">
        <f t="shared" si="6"/>
        <v>-736956.78782700782</v>
      </c>
      <c r="AB19" s="89">
        <f t="shared" si="6"/>
        <v>-746168.74767484539</v>
      </c>
      <c r="AC19" s="89">
        <f t="shared" si="6"/>
        <v>-755495.85702078091</v>
      </c>
      <c r="AD19" s="89">
        <f t="shared" si="6"/>
        <v>-764939.5552335406</v>
      </c>
      <c r="AE19" s="89">
        <f t="shared" si="6"/>
        <v>-774501.29967395985</v>
      </c>
      <c r="AF19" s="89">
        <f t="shared" si="6"/>
        <v>-784182.56591988436</v>
      </c>
      <c r="AG19" s="89">
        <f t="shared" si="6"/>
        <v>-793984.84799388284</v>
      </c>
      <c r="AH19" s="89">
        <f t="shared" si="6"/>
        <v>-803909.65859380632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4694269.989575617</v>
      </c>
      <c r="F21" s="95">
        <f t="shared" si="8"/>
        <v>4810708.3244453119</v>
      </c>
      <c r="G21" s="95">
        <f t="shared" si="8"/>
        <v>4929828.1312508779</v>
      </c>
      <c r="H21" s="95">
        <f t="shared" si="8"/>
        <v>5051686.4434602633</v>
      </c>
      <c r="I21" s="95">
        <f t="shared" si="8"/>
        <v>5176341.3456202354</v>
      </c>
      <c r="J21" s="95">
        <f t="shared" si="8"/>
        <v>5303851.986208804</v>
      </c>
      <c r="K21" s="95">
        <f t="shared" si="8"/>
        <v>5434278.5903352629</v>
      </c>
      <c r="L21" s="95">
        <f t="shared" si="8"/>
        <v>5567682.472267366</v>
      </c>
      <c r="M21" s="95">
        <f t="shared" si="8"/>
        <v>5704126.0477641691</v>
      </c>
      <c r="N21" s="95">
        <f t="shared" si="8"/>
        <v>5843672.846191803</v>
      </c>
      <c r="O21" s="95">
        <f t="shared" si="8"/>
        <v>5986387.5223983638</v>
      </c>
      <c r="P21" s="95">
        <f t="shared" si="8"/>
        <v>6132335.868322771</v>
      </c>
      <c r="Q21" s="95">
        <f t="shared" si="8"/>
        <v>6281584.8243112415</v>
      </c>
      <c r="R21" s="95">
        <f t="shared" si="8"/>
        <v>6434202.4901135704</v>
      </c>
      <c r="S21" s="96">
        <f t="shared" si="8"/>
        <v>6590258.13553009</v>
      </c>
      <c r="T21" s="95">
        <f t="shared" si="8"/>
        <v>6749822.2106786631</v>
      </c>
      <c r="U21" s="95">
        <f t="shared" si="8"/>
        <v>6912966.3558495538</v>
      </c>
      <c r="V21" s="95">
        <f t="shared" si="8"/>
        <v>7079763.4109143633</v>
      </c>
      <c r="W21" s="95">
        <f t="shared" si="8"/>
        <v>7250287.4242536835</v>
      </c>
      <c r="X21" s="95">
        <f t="shared" si="8"/>
        <v>7424613.6611661976</v>
      </c>
      <c r="Y21" s="95">
        <f t="shared" si="8"/>
        <v>7602818.6117203487</v>
      </c>
      <c r="Z21" s="95">
        <f t="shared" si="8"/>
        <v>7784979.9980076207</v>
      </c>
      <c r="AA21" s="95">
        <f t="shared" si="8"/>
        <v>7971176.7807546891</v>
      </c>
      <c r="AB21" s="95">
        <f t="shared" si="8"/>
        <v>8161489.1652494818</v>
      </c>
      <c r="AC21" s="95">
        <f t="shared" si="8"/>
        <v>8355998.606534224</v>
      </c>
      <c r="AD21" s="95">
        <f t="shared" si="8"/>
        <v>8554787.8138161767</v>
      </c>
      <c r="AE21" s="95">
        <f t="shared" si="8"/>
        <v>8757940.7540445402</v>
      </c>
      <c r="AF21" s="95">
        <f t="shared" si="8"/>
        <v>8965542.654599607</v>
      </c>
      <c r="AG21" s="95">
        <f t="shared" si="8"/>
        <v>9177680.0050376542</v>
      </c>
      <c r="AH21" s="95">
        <f t="shared" si="8"/>
        <v>9394440.5578325465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-3911891.6579796812</v>
      </c>
      <c r="F22" s="95">
        <f t="shared" ref="F22:AH22" si="9">$E$22</f>
        <v>-3911891.6579796812</v>
      </c>
      <c r="G22" s="95">
        <f t="shared" si="9"/>
        <v>-3911891.6579796812</v>
      </c>
      <c r="H22" s="95">
        <f t="shared" si="9"/>
        <v>-3911891.6579796812</v>
      </c>
      <c r="I22" s="95">
        <f t="shared" si="9"/>
        <v>-3911891.6579796812</v>
      </c>
      <c r="J22" s="95">
        <f t="shared" si="9"/>
        <v>-3911891.6579796812</v>
      </c>
      <c r="K22" s="95">
        <f t="shared" si="9"/>
        <v>-3911891.6579796812</v>
      </c>
      <c r="L22" s="95">
        <f t="shared" si="9"/>
        <v>-3911891.6579796812</v>
      </c>
      <c r="M22" s="95">
        <f t="shared" si="9"/>
        <v>-3911891.6579796812</v>
      </c>
      <c r="N22" s="95">
        <f t="shared" si="9"/>
        <v>-3911891.6579796812</v>
      </c>
      <c r="O22" s="95">
        <f t="shared" si="9"/>
        <v>-3911891.6579796812</v>
      </c>
      <c r="P22" s="95">
        <f t="shared" si="9"/>
        <v>-3911891.6579796812</v>
      </c>
      <c r="Q22" s="95">
        <f t="shared" si="9"/>
        <v>-3911891.6579796812</v>
      </c>
      <c r="R22" s="95">
        <f t="shared" si="9"/>
        <v>-3911891.6579796812</v>
      </c>
      <c r="S22" s="96">
        <f t="shared" si="9"/>
        <v>-3911891.6579796812</v>
      </c>
      <c r="T22" s="95">
        <f t="shared" si="9"/>
        <v>-3911891.6579796812</v>
      </c>
      <c r="U22" s="95">
        <f t="shared" si="9"/>
        <v>-3911891.6579796812</v>
      </c>
      <c r="V22" s="95">
        <f t="shared" si="9"/>
        <v>-3911891.6579796812</v>
      </c>
      <c r="W22" s="95">
        <f t="shared" si="9"/>
        <v>-3911891.6579796812</v>
      </c>
      <c r="X22" s="95">
        <f t="shared" si="9"/>
        <v>-3911891.6579796812</v>
      </c>
      <c r="Y22" s="95">
        <f t="shared" si="9"/>
        <v>-3911891.6579796812</v>
      </c>
      <c r="Z22" s="95">
        <f t="shared" si="9"/>
        <v>-3911891.6579796812</v>
      </c>
      <c r="AA22" s="95">
        <f t="shared" si="9"/>
        <v>-3911891.6579796812</v>
      </c>
      <c r="AB22" s="95">
        <f t="shared" si="9"/>
        <v>-3911891.6579796812</v>
      </c>
      <c r="AC22" s="95">
        <f t="shared" si="9"/>
        <v>-3911891.6579796812</v>
      </c>
      <c r="AD22" s="95">
        <f t="shared" si="9"/>
        <v>-3911891.6579796812</v>
      </c>
      <c r="AE22" s="95">
        <f t="shared" si="9"/>
        <v>-3911891.6579796812</v>
      </c>
      <c r="AF22" s="95">
        <f t="shared" si="9"/>
        <v>-3911891.6579796812</v>
      </c>
      <c r="AG22" s="95">
        <f t="shared" si="9"/>
        <v>-3911891.6579796812</v>
      </c>
      <c r="AH22" s="95">
        <f t="shared" si="9"/>
        <v>-3911891.6579796812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782378.33159593586</v>
      </c>
      <c r="F25" s="119">
        <f t="shared" ref="F25:AH25" si="11">+F21+F22+F23</f>
        <v>898816.66646563075</v>
      </c>
      <c r="G25" s="119">
        <f t="shared" si="11"/>
        <v>1017936.4732711967</v>
      </c>
      <c r="H25" s="119">
        <f t="shared" si="11"/>
        <v>1139794.7854805822</v>
      </c>
      <c r="I25" s="119">
        <f t="shared" si="11"/>
        <v>1264449.6876405543</v>
      </c>
      <c r="J25" s="119">
        <f t="shared" si="11"/>
        <v>1391960.3282291228</v>
      </c>
      <c r="K25" s="119">
        <f t="shared" si="11"/>
        <v>1522386.9323555818</v>
      </c>
      <c r="L25" s="119">
        <f t="shared" si="11"/>
        <v>1655790.8142876849</v>
      </c>
      <c r="M25" s="119">
        <f t="shared" si="11"/>
        <v>1792234.3897844879</v>
      </c>
      <c r="N25" s="119">
        <f t="shared" si="11"/>
        <v>1931781.1882121218</v>
      </c>
      <c r="O25" s="119">
        <f t="shared" si="11"/>
        <v>2074495.8644186826</v>
      </c>
      <c r="P25" s="119">
        <f t="shared" si="11"/>
        <v>2220444.2103430899</v>
      </c>
      <c r="Q25" s="119">
        <f t="shared" si="11"/>
        <v>2369693.1663315604</v>
      </c>
      <c r="R25" s="119">
        <f t="shared" si="11"/>
        <v>2522310.8321338892</v>
      </c>
      <c r="S25" s="160">
        <f t="shared" si="11"/>
        <v>2678366.4775504088</v>
      </c>
      <c r="T25" s="119">
        <f t="shared" si="11"/>
        <v>2837930.5526989819</v>
      </c>
      <c r="U25" s="119">
        <f t="shared" si="11"/>
        <v>3001074.6978698727</v>
      </c>
      <c r="V25" s="119">
        <f t="shared" si="11"/>
        <v>3167871.7529346822</v>
      </c>
      <c r="W25" s="119">
        <f t="shared" si="11"/>
        <v>3338395.7662740024</v>
      </c>
      <c r="X25" s="119">
        <f t="shared" si="11"/>
        <v>3512722.0031865165</v>
      </c>
      <c r="Y25" s="119">
        <f t="shared" si="11"/>
        <v>3690926.9537406676</v>
      </c>
      <c r="Z25" s="119">
        <f t="shared" si="11"/>
        <v>3873088.3400279395</v>
      </c>
      <c r="AA25" s="119">
        <f t="shared" si="11"/>
        <v>4059285.122775008</v>
      </c>
      <c r="AB25" s="119">
        <f t="shared" si="11"/>
        <v>4249597.5072698006</v>
      </c>
      <c r="AC25" s="119">
        <f t="shared" si="11"/>
        <v>4444106.9485545428</v>
      </c>
      <c r="AD25" s="119">
        <f t="shared" si="11"/>
        <v>4642896.1558364956</v>
      </c>
      <c r="AE25" s="119">
        <f t="shared" si="11"/>
        <v>4846049.0960648591</v>
      </c>
      <c r="AF25" s="119">
        <f t="shared" si="11"/>
        <v>5053650.9966199258</v>
      </c>
      <c r="AG25" s="119">
        <f t="shared" si="11"/>
        <v>5265788.347057973</v>
      </c>
      <c r="AH25" s="119">
        <f t="shared" si="11"/>
        <v>5482548.8998528654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1.2297652248707291</v>
      </c>
      <c r="G27" s="122">
        <f t="shared" si="12"/>
        <v>1.2602159165616862</v>
      </c>
      <c r="H27" s="122">
        <f t="shared" si="12"/>
        <v>1.2913666545839964</v>
      </c>
      <c r="I27" s="122">
        <f t="shared" si="12"/>
        <v>1.3232322871369058</v>
      </c>
      <c r="J27" s="122">
        <f t="shared" si="12"/>
        <v>1.3558279343932569</v>
      </c>
      <c r="K27" s="122">
        <f t="shared" si="12"/>
        <v>1.3891689917460104</v>
      </c>
      <c r="L27" s="122">
        <f t="shared" si="12"/>
        <v>1.4232711330105772</v>
      </c>
      <c r="M27" s="122">
        <f t="shared" si="12"/>
        <v>1.458150313577472</v>
      </c>
      <c r="N27" s="122">
        <f t="shared" si="12"/>
        <v>1.4938227735094793</v>
      </c>
      <c r="O27" s="122">
        <f t="shared" si="12"/>
        <v>1.5303050405772403</v>
      </c>
      <c r="P27" s="122">
        <f t="shared" si="12"/>
        <v>1.5676139332268346</v>
      </c>
      <c r="Q27" s="122">
        <f t="shared" si="12"/>
        <v>1.6057665634726197</v>
      </c>
      <c r="R27" s="122">
        <f t="shared" si="12"/>
        <v>1.6447803397082197</v>
      </c>
      <c r="S27" s="161">
        <f t="shared" si="12"/>
        <v>1.6846729694282143</v>
      </c>
      <c r="T27" s="122">
        <f t="shared" si="12"/>
        <v>1.7254624618527006</v>
      </c>
      <c r="U27" s="122">
        <f t="shared" si="12"/>
        <v>1.7671671304464998</v>
      </c>
      <c r="V27" s="122">
        <f t="shared" si="12"/>
        <v>1.8098055953243726</v>
      </c>
      <c r="W27" s="122">
        <f t="shared" si="12"/>
        <v>1.8533967855332005</v>
      </c>
      <c r="X27" s="122">
        <f t="shared" si="12"/>
        <v>1.8979599412016135</v>
      </c>
      <c r="Y27" s="122">
        <f t="shared" si="12"/>
        <v>1.9435146155471157</v>
      </c>
      <c r="Z27" s="122">
        <f t="shared" si="12"/>
        <v>1.9900806767302492</v>
      </c>
      <c r="AA27" s="122">
        <f t="shared" si="12"/>
        <v>2.0376783095448632</v>
      </c>
      <c r="AB27" s="122">
        <f t="shared" si="12"/>
        <v>2.0863280169329967</v>
      </c>
      <c r="AC27" s="122">
        <f t="shared" si="12"/>
        <v>2.1360506213123824</v>
      </c>
      <c r="AD27" s="122">
        <f t="shared" si="12"/>
        <v>2.1868672657039654</v>
      </c>
      <c r="AE27" s="122">
        <f t="shared" si="12"/>
        <v>2.2387994146462709</v>
      </c>
      <c r="AF27" s="122">
        <f t="shared" si="12"/>
        <v>2.2918688548828352</v>
      </c>
      <c r="AG27" s="122">
        <f t="shared" si="12"/>
        <v>2.3460976958082522</v>
      </c>
      <c r="AH27" s="122">
        <f t="shared" si="12"/>
        <v>2.4015083696577526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782378.33159593586</v>
      </c>
      <c r="F41" s="129">
        <f t="shared" ref="F41:S41" si="20">F25+F37</f>
        <v>898816.66646563075</v>
      </c>
      <c r="G41" s="129">
        <f t="shared" si="20"/>
        <v>1017936.4732711967</v>
      </c>
      <c r="H41" s="129">
        <f t="shared" si="20"/>
        <v>1139794.7854805822</v>
      </c>
      <c r="I41" s="129">
        <f t="shared" si="20"/>
        <v>1264449.6876405543</v>
      </c>
      <c r="J41" s="129">
        <f t="shared" si="20"/>
        <v>1391960.3282291228</v>
      </c>
      <c r="K41" s="129">
        <f t="shared" si="20"/>
        <v>1522386.9323555818</v>
      </c>
      <c r="L41" s="129">
        <f t="shared" si="20"/>
        <v>1655790.8142876849</v>
      </c>
      <c r="M41" s="129">
        <f t="shared" si="20"/>
        <v>1792234.3897844879</v>
      </c>
      <c r="N41" s="129">
        <f t="shared" si="20"/>
        <v>1931781.1882121218</v>
      </c>
      <c r="O41" s="129">
        <f t="shared" si="20"/>
        <v>2074495.8644186826</v>
      </c>
      <c r="P41" s="129">
        <f t="shared" si="20"/>
        <v>2220444.2103430899</v>
      </c>
      <c r="Q41" s="129">
        <f t="shared" si="20"/>
        <v>2369693.1663315604</v>
      </c>
      <c r="R41" s="129">
        <f t="shared" si="20"/>
        <v>2522310.8321338892</v>
      </c>
      <c r="S41" s="130">
        <f t="shared" si="20"/>
        <v>2678366.4775504088</v>
      </c>
      <c r="T41" s="130">
        <f t="shared" ref="T41:AH41" si="21">T25+T37</f>
        <v>2837930.5526989819</v>
      </c>
      <c r="U41" s="130">
        <f t="shared" si="21"/>
        <v>3001074.6978698727</v>
      </c>
      <c r="V41" s="130">
        <f t="shared" si="21"/>
        <v>3167871.7529346822</v>
      </c>
      <c r="W41" s="130">
        <f t="shared" si="21"/>
        <v>3338395.7662740024</v>
      </c>
      <c r="X41" s="130">
        <f t="shared" si="21"/>
        <v>3512722.0031865165</v>
      </c>
      <c r="Y41" s="130">
        <f t="shared" si="21"/>
        <v>3690926.9537406676</v>
      </c>
      <c r="Z41" s="130">
        <f t="shared" si="21"/>
        <v>3873088.3400279395</v>
      </c>
      <c r="AA41" s="130">
        <f t="shared" si="21"/>
        <v>4059285.122775008</v>
      </c>
      <c r="AB41" s="130">
        <f t="shared" si="21"/>
        <v>4249597.5072698006</v>
      </c>
      <c r="AC41" s="130">
        <f t="shared" si="21"/>
        <v>4444106.9485545428</v>
      </c>
      <c r="AD41" s="130">
        <f t="shared" si="21"/>
        <v>4642896.1558364956</v>
      </c>
      <c r="AE41" s="130">
        <f t="shared" si="21"/>
        <v>4846049.0960648591</v>
      </c>
      <c r="AF41" s="130">
        <f t="shared" si="21"/>
        <v>5053650.9966199258</v>
      </c>
      <c r="AG41" s="130">
        <f t="shared" si="21"/>
        <v>5265788.347057973</v>
      </c>
      <c r="AH41" s="130">
        <f t="shared" si="21"/>
        <v>5482548.8998528654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665021.58185654541</v>
      </c>
      <c r="F42" s="129">
        <f t="shared" ref="F42:S42" si="22">((F41*$C$42))</f>
        <v>763994.16649578616</v>
      </c>
      <c r="G42" s="129">
        <f t="shared" si="22"/>
        <v>865246.00228051713</v>
      </c>
      <c r="H42" s="129">
        <f t="shared" si="22"/>
        <v>968825.56765849481</v>
      </c>
      <c r="I42" s="129">
        <f t="shared" si="22"/>
        <v>1074782.234494471</v>
      </c>
      <c r="J42" s="129">
        <f t="shared" si="22"/>
        <v>1183166.2789947544</v>
      </c>
      <c r="K42" s="129">
        <f t="shared" si="22"/>
        <v>1294028.8925022446</v>
      </c>
      <c r="L42" s="129">
        <f t="shared" si="22"/>
        <v>1407422.192144532</v>
      </c>
      <c r="M42" s="129">
        <f t="shared" si="22"/>
        <v>1523399.2313168147</v>
      </c>
      <c r="N42" s="129">
        <f t="shared" si="22"/>
        <v>1642014.0099803035</v>
      </c>
      <c r="O42" s="129">
        <f t="shared" si="22"/>
        <v>1763321.4847558802</v>
      </c>
      <c r="P42" s="129">
        <f t="shared" si="22"/>
        <v>1887377.5787916263</v>
      </c>
      <c r="Q42" s="129">
        <f t="shared" si="22"/>
        <v>2014239.1913818263</v>
      </c>
      <c r="R42" s="129">
        <f t="shared" si="22"/>
        <v>2143964.2073138058</v>
      </c>
      <c r="S42" s="129">
        <f t="shared" si="22"/>
        <v>2276611.5059178476</v>
      </c>
      <c r="T42" s="129">
        <f t="shared" ref="T42:AH42" si="23">((T41*$C$42))</f>
        <v>2412240.9697941346</v>
      </c>
      <c r="U42" s="129">
        <f t="shared" si="23"/>
        <v>2550913.4931893917</v>
      </c>
      <c r="V42" s="129">
        <f t="shared" si="23"/>
        <v>2692690.9899944798</v>
      </c>
      <c r="W42" s="129">
        <f t="shared" si="23"/>
        <v>2837636.4013329018</v>
      </c>
      <c r="X42" s="129">
        <f t="shared" si="23"/>
        <v>2985813.7027085391</v>
      </c>
      <c r="Y42" s="129">
        <f t="shared" si="23"/>
        <v>3137287.9106795671</v>
      </c>
      <c r="Z42" s="129">
        <f t="shared" si="23"/>
        <v>3292125.0890237484</v>
      </c>
      <c r="AA42" s="129">
        <f t="shared" si="23"/>
        <v>3450392.3543587569</v>
      </c>
      <c r="AB42" s="129">
        <f t="shared" si="23"/>
        <v>3612157.8811793304</v>
      </c>
      <c r="AC42" s="129">
        <f t="shared" si="23"/>
        <v>3777490.9062713613</v>
      </c>
      <c r="AD42" s="129">
        <f t="shared" si="23"/>
        <v>3946461.7324610213</v>
      </c>
      <c r="AE42" s="129">
        <f t="shared" si="23"/>
        <v>4119141.7316551302</v>
      </c>
      <c r="AF42" s="129">
        <f t="shared" si="23"/>
        <v>4295603.3471269365</v>
      </c>
      <c r="AG42" s="129">
        <f t="shared" si="23"/>
        <v>4475920.094999277</v>
      </c>
      <c r="AH42" s="129">
        <f t="shared" si="23"/>
        <v>4660166.5648749359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117356.74973939038</v>
      </c>
      <c r="F43" s="108">
        <f t="shared" ref="F43:S43" si="24">$C$43*(F41)</f>
        <v>134822.49996984462</v>
      </c>
      <c r="G43" s="108">
        <f t="shared" si="24"/>
        <v>152690.47099067949</v>
      </c>
      <c r="H43" s="108">
        <f t="shared" si="24"/>
        <v>170969.21782208732</v>
      </c>
      <c r="I43" s="108">
        <f t="shared" si="24"/>
        <v>189667.45314608313</v>
      </c>
      <c r="J43" s="108">
        <f t="shared" si="24"/>
        <v>208794.0492343684</v>
      </c>
      <c r="K43" s="108">
        <f t="shared" si="24"/>
        <v>228358.03985333725</v>
      </c>
      <c r="L43" s="108">
        <f t="shared" si="24"/>
        <v>248368.62214315272</v>
      </c>
      <c r="M43" s="108">
        <f t="shared" si="24"/>
        <v>268835.15846767317</v>
      </c>
      <c r="N43" s="108">
        <f t="shared" si="24"/>
        <v>289767.17823181825</v>
      </c>
      <c r="O43" s="108">
        <f t="shared" si="24"/>
        <v>311174.37966280238</v>
      </c>
      <c r="P43" s="108">
        <f t="shared" si="24"/>
        <v>333066.63155146345</v>
      </c>
      <c r="Q43" s="108">
        <f t="shared" si="24"/>
        <v>355453.97494973405</v>
      </c>
      <c r="R43" s="108">
        <f t="shared" si="24"/>
        <v>378346.62482008338</v>
      </c>
      <c r="S43" s="108">
        <f t="shared" si="24"/>
        <v>401754.9716325613</v>
      </c>
      <c r="T43" s="108">
        <f t="shared" ref="T43:AH43" si="25">$C$43*(T41)</f>
        <v>425689.58290484728</v>
      </c>
      <c r="U43" s="108">
        <f t="shared" si="25"/>
        <v>450161.20468048088</v>
      </c>
      <c r="V43" s="108">
        <f t="shared" si="25"/>
        <v>475180.76294020232</v>
      </c>
      <c r="W43" s="108">
        <f t="shared" si="25"/>
        <v>500759.36494110036</v>
      </c>
      <c r="X43" s="108">
        <f t="shared" si="25"/>
        <v>526908.30047797749</v>
      </c>
      <c r="Y43" s="108">
        <f t="shared" si="25"/>
        <v>553639.04306110006</v>
      </c>
      <c r="Z43" s="108">
        <f t="shared" si="25"/>
        <v>580963.25100419088</v>
      </c>
      <c r="AA43" s="108">
        <f t="shared" si="25"/>
        <v>608892.76841625117</v>
      </c>
      <c r="AB43" s="108">
        <f t="shared" si="25"/>
        <v>637439.62609047012</v>
      </c>
      <c r="AC43" s="108">
        <f t="shared" si="25"/>
        <v>666616.04228318145</v>
      </c>
      <c r="AD43" s="108">
        <f t="shared" si="25"/>
        <v>696434.42337547429</v>
      </c>
      <c r="AE43" s="108">
        <f t="shared" si="25"/>
        <v>726907.36440972879</v>
      </c>
      <c r="AF43" s="108">
        <f t="shared" si="25"/>
        <v>758047.64949298883</v>
      </c>
      <c r="AG43" s="108">
        <f t="shared" si="25"/>
        <v>789868.25205869589</v>
      </c>
      <c r="AH43" s="108">
        <f t="shared" si="25"/>
        <v>822382.33497792983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2.3273676181815889E-2</v>
      </c>
      <c r="F47" s="142">
        <f>F41/GapCalc!$H$33</f>
        <v>2.673740720741731E-2</v>
      </c>
      <c r="G47" s="142">
        <f>G41/GapCalc!$H$33</f>
        <v>3.0280904897055538E-2</v>
      </c>
      <c r="H47" s="142">
        <f>H41/GapCalc!$H$33</f>
        <v>3.3905865844834668E-2</v>
      </c>
      <c r="I47" s="142">
        <f>I41/GapCalc!$H$33</f>
        <v>3.7614017911660393E-2</v>
      </c>
      <c r="J47" s="142">
        <f>J41/GapCalc!$H$33</f>
        <v>4.1407120607565462E-2</v>
      </c>
      <c r="K47" s="142">
        <f>K41/GapCalc!$H$33</f>
        <v>4.5286965469502158E-2</v>
      </c>
      <c r="L47" s="142">
        <f>L41/GapCalc!$H$33</f>
        <v>4.9255376433992491E-2</v>
      </c>
      <c r="M47" s="142">
        <f>M41/GapCalc!$H$33</f>
        <v>5.3314210203997479E-2</v>
      </c>
      <c r="N47" s="142">
        <f>N41/GapCalc!$H$33</f>
        <v>5.7465356609329186E-2</v>
      </c>
      <c r="O47" s="142">
        <f>O41/GapCalc!$H$33</f>
        <v>6.1710738959897156E-2</v>
      </c>
      <c r="P47" s="142">
        <f>P41/GapCalc!$H$33</f>
        <v>6.6052314391041103E-2</v>
      </c>
      <c r="Q47" s="142">
        <f>Q41/GapCalc!$H$33</f>
        <v>7.04920742001659E-2</v>
      </c>
      <c r="R47" s="142">
        <f>R41/GapCalc!$H$33</f>
        <v>7.5032044173851772E-2</v>
      </c>
      <c r="S47" s="142">
        <f>S41/GapCalc!$H$33</f>
        <v>7.9674284904572984E-2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1.9782624754543503E-2</v>
      </c>
      <c r="F48" s="142">
        <f>F43/GapCalc!$H$32</f>
        <v>2.2726796126304714E-2</v>
      </c>
      <c r="G48" s="142">
        <f>G43/GapCalc!$H$32</f>
        <v>2.5738769162497205E-2</v>
      </c>
      <c r="H48" s="142">
        <f>H43/GapCalc!$H$32</f>
        <v>2.8819985968109467E-2</v>
      </c>
      <c r="I48" s="142">
        <f>I43/GapCalc!$H$32</f>
        <v>3.1971915224911336E-2</v>
      </c>
      <c r="J48" s="142">
        <f>J43/GapCalc!$H$32</f>
        <v>3.519605251643064E-2</v>
      </c>
      <c r="K48" s="142">
        <f>K43/GapCalc!$H$32</f>
        <v>3.8493920649076835E-2</v>
      </c>
      <c r="L48" s="142">
        <f>L43/GapCalc!$H$32</f>
        <v>4.1867069968893618E-2</v>
      </c>
      <c r="M48" s="142">
        <f>M43/GapCalc!$H$32</f>
        <v>4.5317078673397855E-2</v>
      </c>
      <c r="N48" s="142">
        <f>N43/GapCalc!$H$32</f>
        <v>4.8845553117929805E-2</v>
      </c>
      <c r="O48" s="142">
        <f>O43/GapCalc!$H$32</f>
        <v>5.2454128115912581E-2</v>
      </c>
      <c r="P48" s="142">
        <f>P43/GapCalc!$H$32</f>
        <v>5.6144467232384927E-2</v>
      </c>
      <c r="Q48" s="142">
        <f>Q43/GapCalc!$H$32</f>
        <v>5.991826307014101E-2</v>
      </c>
      <c r="R48" s="142">
        <f>R43/GapCalc!$H$32</f>
        <v>6.3777237547774007E-2</v>
      </c>
      <c r="S48" s="142">
        <f>S43/GapCalc!$H$32</f>
        <v>6.7723142168887029E-2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21136781.252762869</v>
      </c>
      <c r="D66" s="1544"/>
      <c r="E66" s="1564" t="s">
        <v>285</v>
      </c>
      <c r="G66" s="1520" t="s">
        <v>1073</v>
      </c>
      <c r="H66" s="1565">
        <f>H70/1.63</f>
        <v>3730020.2210757998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6815064.7242828123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1202658.4807557906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27637888.717720658</v>
      </c>
      <c r="D69" s="1546">
        <v>0.9</v>
      </c>
      <c r="G69" s="1521" t="s">
        <v>1075</v>
      </c>
      <c r="H69" s="1568">
        <f>'Debt Calc'!E59*C43</f>
        <v>4877274.4795977632</v>
      </c>
      <c r="I69" s="1546">
        <v>0.9</v>
      </c>
    </row>
    <row r="70" spans="2:10">
      <c r="B70" s="1523" t="s">
        <v>1042</v>
      </c>
      <c r="C70" s="1577">
        <f>C67+C68+C69</f>
        <v>34452953.442003474</v>
      </c>
      <c r="D70" s="1545" t="s">
        <v>68</v>
      </c>
      <c r="G70" s="1523" t="s">
        <v>1042</v>
      </c>
      <c r="H70" s="1577">
        <f>H67+H68+H69</f>
        <v>6079932.9603535533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33616448.277613364</v>
      </c>
      <c r="D74" s="1549"/>
      <c r="F74" s="1559"/>
      <c r="G74" s="1578" t="s">
        <v>1082</v>
      </c>
      <c r="H74" s="1581">
        <f>GapCalc!H32</f>
        <v>5932314.4019317701</v>
      </c>
      <c r="I74" s="1549"/>
    </row>
    <row r="75" spans="2:10">
      <c r="B75" s="70" t="s">
        <v>1081</v>
      </c>
      <c r="C75" s="1579">
        <f>(C70-C74)/C74</f>
        <v>2.4883805614502534E-2</v>
      </c>
      <c r="G75" s="70" t="s">
        <v>1081</v>
      </c>
      <c r="H75" s="1579">
        <f>(H70-H74)/H74</f>
        <v>2.4883805614502385E-2</v>
      </c>
    </row>
    <row r="76" spans="2:10">
      <c r="B76" s="70" t="s">
        <v>1045</v>
      </c>
      <c r="C76" s="1579">
        <f>C75/7</f>
        <v>3.554829373500362E-3</v>
      </c>
      <c r="G76" s="70" t="s">
        <v>1045</v>
      </c>
      <c r="H76" s="1579">
        <f>H75/7</f>
        <v>3.5548293735003407E-3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6326611.1987358127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11387900.157724462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11387900.157724462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31162136.297866821</v>
      </c>
      <c r="D93" s="1544"/>
      <c r="E93" s="1564" t="s">
        <v>288</v>
      </c>
      <c r="G93" s="1520" t="s">
        <v>1073</v>
      </c>
      <c r="H93" s="1565">
        <f>H97/1.63</f>
        <v>4225094.4289547233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11387900.157724462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2009629.4395984346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39406382.007798456</v>
      </c>
      <c r="D96" s="1546">
        <v>0.9</v>
      </c>
      <c r="G96" s="1521" t="s">
        <v>1075</v>
      </c>
      <c r="H96" s="1568">
        <f>'Debt Calc'!E59*C43</f>
        <v>4877274.4795977632</v>
      </c>
      <c r="I96" s="1546">
        <v>0.9</v>
      </c>
    </row>
    <row r="97" spans="2:9">
      <c r="B97" s="1523" t="s">
        <v>1042</v>
      </c>
      <c r="C97" s="1577">
        <f>C94+C95+C96</f>
        <v>50794282.165522918</v>
      </c>
      <c r="D97" s="1545" t="s">
        <v>68</v>
      </c>
      <c r="G97" s="1523" t="s">
        <v>1042</v>
      </c>
      <c r="H97" s="1577">
        <f>H94+H95+H96</f>
        <v>6886903.9191961978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1.6299999999999997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0.62999999999999967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8.9999999999999955E-2</v>
      </c>
      <c r="I100" s="1548"/>
    </row>
    <row r="101" spans="2:9" ht="13.5" thickBot="1">
      <c r="B101" s="1578" t="s">
        <v>1080</v>
      </c>
      <c r="C101" s="1581">
        <f>GapCalc!H33</f>
        <v>33616448.277613364</v>
      </c>
      <c r="D101" s="1549"/>
      <c r="G101" s="1578" t="s">
        <v>1082</v>
      </c>
      <c r="H101" s="1581">
        <f>GapCalc!H32</f>
        <v>5932314.4019317701</v>
      </c>
      <c r="I101" s="1549"/>
    </row>
    <row r="102" spans="2:9">
      <c r="B102" s="70" t="s">
        <v>1081</v>
      </c>
      <c r="C102" s="1579">
        <f>(C97-C101)/C101</f>
        <v>0.51099490779188028</v>
      </c>
      <c r="G102" s="70" t="s">
        <v>1081</v>
      </c>
      <c r="H102" s="1579">
        <f>(H97-H101)/H101</f>
        <v>0.16091350737472371</v>
      </c>
    </row>
    <row r="103" spans="2:9">
      <c r="B103" s="70" t="s">
        <v>1045</v>
      </c>
      <c r="C103" s="1579">
        <f>C102/10</f>
        <v>5.1099490779188031E-2</v>
      </c>
      <c r="G103" s="70" t="s">
        <v>1045</v>
      </c>
      <c r="H103" s="1579">
        <f>H102/10</f>
        <v>1.6091350737472372E-2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122620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24524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147144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147144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147144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75.5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75.5</v>
      </c>
      <c r="D49" s="876"/>
      <c r="E49" s="855" t="s">
        <v>577</v>
      </c>
      <c r="F49" s="855"/>
      <c r="G49" s="923">
        <v>143</v>
      </c>
      <c r="H49" s="884">
        <f>C53*D53</f>
        <v>30199.769230769234</v>
      </c>
      <c r="I49" s="884">
        <f>G49*H49</f>
        <v>4318567.0000000009</v>
      </c>
      <c r="J49" s="925">
        <f>IFERROR(I49/C53,0)</f>
        <v>56823.250000000015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30199.769230769234</v>
      </c>
      <c r="I51" s="930">
        <f>SUM(I48:I50)</f>
        <v>4318567.0000000009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76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4318567.0000000009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76</v>
      </c>
      <c r="D55" s="855"/>
      <c r="E55" s="855"/>
      <c r="F55" s="937"/>
      <c r="G55" s="855"/>
      <c r="H55" s="872" t="s">
        <v>685</v>
      </c>
      <c r="I55" s="939">
        <f>SUM(I53:I54)</f>
        <v>4318567.0000000009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3911891.6579796812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56350684.496865101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56350600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17231742.078334093</v>
      </c>
    </row>
    <row r="15" spans="2:36">
      <c r="B15" s="556"/>
      <c r="C15" s="560" t="s">
        <v>634</v>
      </c>
      <c r="H15" s="561">
        <f>12*PMT(Data!C24/12,Data!C29*12,-'Debt Calc'!H14)</f>
        <v>3911885.7921665912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340177.455143895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340177.455143895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56350600</v>
      </c>
      <c r="E21" s="561">
        <f>$H$15</f>
        <v>3911885.7921665912</v>
      </c>
      <c r="F21" s="561">
        <f>E21-G21</f>
        <v>0</v>
      </c>
      <c r="G21" s="561">
        <f>D21-H21</f>
        <v>3911885.7921665907</v>
      </c>
      <c r="H21" s="561">
        <f>D21-E21</f>
        <v>52438714.207833409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52438714.207833409</v>
      </c>
      <c r="E22" s="561">
        <f t="shared" ref="E22:E50" si="1">$H$15</f>
        <v>3911885.7921665912</v>
      </c>
      <c r="F22" s="561">
        <f t="shared" ref="F22:F50" si="2">E22-G22</f>
        <v>0</v>
      </c>
      <c r="G22" s="561">
        <f t="shared" ref="G22:G50" si="3">D22-H22</f>
        <v>3911885.7921665907</v>
      </c>
      <c r="H22" s="561">
        <f t="shared" ref="H22:H39" si="4">D22-E22</f>
        <v>48526828.415666819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48526828.415666819</v>
      </c>
      <c r="E23" s="561">
        <f t="shared" si="1"/>
        <v>3911885.7921665912</v>
      </c>
      <c r="F23" s="561">
        <f t="shared" si="2"/>
        <v>0</v>
      </c>
      <c r="G23" s="561">
        <f t="shared" si="3"/>
        <v>3911885.7921665907</v>
      </c>
      <c r="H23" s="561">
        <f t="shared" si="4"/>
        <v>44614942.623500228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44614942.623500228</v>
      </c>
      <c r="E24" s="561">
        <f t="shared" si="1"/>
        <v>3911885.7921665912</v>
      </c>
      <c r="F24" s="561">
        <f t="shared" si="2"/>
        <v>0</v>
      </c>
      <c r="G24" s="561">
        <f t="shared" si="3"/>
        <v>3911885.7921665907</v>
      </c>
      <c r="H24" s="561">
        <f t="shared" si="4"/>
        <v>40703056.831333637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40703056.831333637</v>
      </c>
      <c r="E25" s="561">
        <f t="shared" si="1"/>
        <v>3911885.7921665912</v>
      </c>
      <c r="F25" s="561">
        <f t="shared" si="2"/>
        <v>0</v>
      </c>
      <c r="G25" s="561">
        <f t="shared" si="3"/>
        <v>3911885.7921665907</v>
      </c>
      <c r="H25" s="561">
        <f t="shared" si="4"/>
        <v>36791171.039167047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36791171.039167047</v>
      </c>
      <c r="E26" s="561">
        <f t="shared" si="1"/>
        <v>3911885.7921665912</v>
      </c>
      <c r="F26" s="561">
        <f t="shared" si="2"/>
        <v>0</v>
      </c>
      <c r="G26" s="561">
        <f t="shared" si="3"/>
        <v>3911885.7921665907</v>
      </c>
      <c r="H26" s="561">
        <f t="shared" si="4"/>
        <v>32879285.247000456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32879285.247000456</v>
      </c>
      <c r="E27" s="561">
        <f t="shared" si="1"/>
        <v>3911885.7921665912</v>
      </c>
      <c r="F27" s="561">
        <f t="shared" si="2"/>
        <v>0</v>
      </c>
      <c r="G27" s="561">
        <f t="shared" si="3"/>
        <v>3911885.7921665907</v>
      </c>
      <c r="H27" s="561">
        <f t="shared" si="4"/>
        <v>28967399.454833865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28967399.454833865</v>
      </c>
      <c r="E28" s="561">
        <f t="shared" si="1"/>
        <v>3911885.7921665912</v>
      </c>
      <c r="F28" s="561">
        <f t="shared" si="2"/>
        <v>0</v>
      </c>
      <c r="G28" s="561">
        <f t="shared" si="3"/>
        <v>3911885.7921665907</v>
      </c>
      <c r="H28" s="561">
        <f t="shared" si="4"/>
        <v>25055513.662667274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25055513.662667274</v>
      </c>
      <c r="E29" s="561">
        <f t="shared" si="1"/>
        <v>3911885.7921665912</v>
      </c>
      <c r="F29" s="561">
        <f t="shared" si="2"/>
        <v>0</v>
      </c>
      <c r="G29" s="561">
        <f t="shared" si="3"/>
        <v>3911885.7921665907</v>
      </c>
      <c r="H29" s="561">
        <f t="shared" si="4"/>
        <v>21143627.870500684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21143627.870500684</v>
      </c>
      <c r="E30" s="561">
        <f t="shared" si="1"/>
        <v>3911885.7921665912</v>
      </c>
      <c r="F30" s="561">
        <f t="shared" si="2"/>
        <v>0</v>
      </c>
      <c r="G30" s="561">
        <f t="shared" si="3"/>
        <v>3911885.7921665907</v>
      </c>
      <c r="H30" s="561">
        <f>D30-E30</f>
        <v>17231742.078334093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17231742.078334093</v>
      </c>
      <c r="E31" s="561">
        <f t="shared" si="1"/>
        <v>3911885.7921665912</v>
      </c>
      <c r="F31" s="561">
        <f t="shared" si="2"/>
        <v>0</v>
      </c>
      <c r="G31" s="561">
        <f t="shared" si="3"/>
        <v>3911885.7921665907</v>
      </c>
      <c r="H31" s="561">
        <f t="shared" si="4"/>
        <v>13319856.286167502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13319856.286167502</v>
      </c>
      <c r="E32" s="561">
        <f t="shared" si="1"/>
        <v>3911885.7921665912</v>
      </c>
      <c r="F32" s="561">
        <f t="shared" si="2"/>
        <v>0</v>
      </c>
      <c r="G32" s="561">
        <f t="shared" si="3"/>
        <v>3911885.7921665907</v>
      </c>
      <c r="H32" s="561">
        <f t="shared" si="4"/>
        <v>9407970.4940009117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9407970.4940009117</v>
      </c>
      <c r="E33" s="561">
        <f t="shared" si="1"/>
        <v>3911885.7921665912</v>
      </c>
      <c r="F33" s="561">
        <f t="shared" si="2"/>
        <v>0</v>
      </c>
      <c r="G33" s="561">
        <f t="shared" si="3"/>
        <v>3911885.7921665907</v>
      </c>
      <c r="H33" s="561">
        <f t="shared" si="4"/>
        <v>5496084.701834321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5496084.701834321</v>
      </c>
      <c r="E34" s="561">
        <f t="shared" si="1"/>
        <v>3911885.7921665912</v>
      </c>
      <c r="F34" s="561">
        <f t="shared" si="2"/>
        <v>0</v>
      </c>
      <c r="G34" s="561">
        <f t="shared" si="3"/>
        <v>3911885.7921665912</v>
      </c>
      <c r="H34" s="561">
        <f t="shared" si="4"/>
        <v>1584198.9096677299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1584198.9096677299</v>
      </c>
      <c r="E35" s="561">
        <f t="shared" si="1"/>
        <v>3911885.7921665912</v>
      </c>
      <c r="F35" s="561">
        <f t="shared" si="2"/>
        <v>0</v>
      </c>
      <c r="G35" s="561">
        <f t="shared" si="3"/>
        <v>3911885.7921665912</v>
      </c>
      <c r="H35" s="561">
        <f t="shared" si="4"/>
        <v>-2327686.8824988613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-2327686.8824988613</v>
      </c>
      <c r="E36" s="561">
        <f t="shared" si="1"/>
        <v>3911885.7921665912</v>
      </c>
      <c r="F36" s="561">
        <f t="shared" si="2"/>
        <v>0</v>
      </c>
      <c r="G36" s="561">
        <f t="shared" si="3"/>
        <v>3911885.7921665916</v>
      </c>
      <c r="H36" s="561">
        <f t="shared" si="4"/>
        <v>-6239572.6746654529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-6239572.6746654529</v>
      </c>
      <c r="E37" s="561">
        <f t="shared" si="1"/>
        <v>3911885.7921665912</v>
      </c>
      <c r="F37" s="561">
        <f t="shared" si="2"/>
        <v>0</v>
      </c>
      <c r="G37" s="561">
        <f t="shared" si="3"/>
        <v>3911885.7921665907</v>
      </c>
      <c r="H37" s="561">
        <f t="shared" si="4"/>
        <v>-10151458.466832044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-10151458.466832044</v>
      </c>
      <c r="E38" s="561">
        <f t="shared" si="1"/>
        <v>3911885.7921665912</v>
      </c>
      <c r="F38" s="561">
        <f t="shared" si="2"/>
        <v>0</v>
      </c>
      <c r="G38" s="561">
        <f t="shared" si="3"/>
        <v>3911885.7921665907</v>
      </c>
      <c r="H38" s="561">
        <f>D38-E38</f>
        <v>-14063344.258998634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-14063344.258998634</v>
      </c>
      <c r="E39" s="561">
        <f t="shared" si="1"/>
        <v>3911885.7921665912</v>
      </c>
      <c r="F39" s="561">
        <f t="shared" si="2"/>
        <v>0</v>
      </c>
      <c r="G39" s="561">
        <f t="shared" si="3"/>
        <v>3911885.7921665926</v>
      </c>
      <c r="H39" s="561">
        <f t="shared" si="4"/>
        <v>-17975230.051165227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-17975230.051165227</v>
      </c>
      <c r="E40" s="561">
        <f t="shared" si="1"/>
        <v>3911885.7921665912</v>
      </c>
      <c r="F40" s="561">
        <f t="shared" si="2"/>
        <v>21887115.843331818</v>
      </c>
      <c r="G40" s="561">
        <f t="shared" si="3"/>
        <v>-17975230.051165227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3911885.7921665912</v>
      </c>
      <c r="F41" s="561">
        <f t="shared" si="2"/>
        <v>3911885.7921665912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3911885.7921665912</v>
      </c>
      <c r="F42" s="561">
        <f t="shared" si="2"/>
        <v>3911885.7921665912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3911885.7921665912</v>
      </c>
      <c r="F43" s="561">
        <f t="shared" si="2"/>
        <v>3911885.7921665912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3911885.7921665912</v>
      </c>
      <c r="F44" s="561">
        <f t="shared" si="2"/>
        <v>3911885.7921665912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3911885.7921665912</v>
      </c>
      <c r="F45" s="561">
        <f t="shared" si="2"/>
        <v>3911885.7921665912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3911885.7921665912</v>
      </c>
      <c r="F46" s="561">
        <f t="shared" si="2"/>
        <v>3911885.7921665912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3911885.7921665912</v>
      </c>
      <c r="F47" s="561">
        <f t="shared" si="2"/>
        <v>3911885.7921665912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3911885.7921665912</v>
      </c>
      <c r="F48" s="561">
        <f t="shared" si="2"/>
        <v>3911885.7921665912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3911885.7921665912</v>
      </c>
      <c r="F49" s="561">
        <f t="shared" si="2"/>
        <v>3911885.7921665912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3911885.7921665912</v>
      </c>
      <c r="F50" s="561">
        <f t="shared" si="2"/>
        <v>3911885.7921665912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143948031.00871441</v>
      </c>
      <c r="F55" s="561"/>
      <c r="G55" s="1663" t="s">
        <v>1064</v>
      </c>
      <c r="H55" s="1667">
        <f>'Cash Flow'!N15/0.05</f>
        <v>155016285.08049378</v>
      </c>
    </row>
    <row r="56" spans="2:28">
      <c r="D56" s="1653" t="s">
        <v>1065</v>
      </c>
      <c r="E56" s="1665">
        <f>'Cash Flow'!K21/1.2</f>
        <v>4528565.4919460528</v>
      </c>
      <c r="F56" s="561"/>
      <c r="G56" s="1661" t="s">
        <v>1065</v>
      </c>
      <c r="H56" s="1668">
        <f>'Cash Flow'!N21/1.2</f>
        <v>4869727.3718265025</v>
      </c>
    </row>
    <row r="57" spans="2:28">
      <c r="D57" s="1653" t="s">
        <v>1066</v>
      </c>
      <c r="E57" s="1665">
        <f>E55*0.6</f>
        <v>86368818.605228648</v>
      </c>
      <c r="F57" s="561"/>
      <c r="G57" s="1661" t="s">
        <v>1066</v>
      </c>
      <c r="H57" s="1668">
        <f>H55*0.6</f>
        <v>93009771.048296258</v>
      </c>
    </row>
    <row r="58" spans="2:28">
      <c r="D58" s="1653" t="s">
        <v>1067</v>
      </c>
      <c r="E58" s="1665">
        <f>-PV(6.5%,34,E56)</f>
        <v>61482562.652152285</v>
      </c>
      <c r="F58" s="561"/>
      <c r="G58" s="1661" t="s">
        <v>1067</v>
      </c>
      <c r="H58" s="1668">
        <f>-PV(6.5%,30,H56)</f>
        <v>63592191.499273457</v>
      </c>
    </row>
    <row r="59" spans="2:28">
      <c r="D59" s="1652" t="s">
        <v>1068</v>
      </c>
      <c r="E59" s="1665">
        <f>E58-H27</f>
        <v>32515163.19731842</v>
      </c>
      <c r="F59" s="561"/>
      <c r="G59" s="1660" t="s">
        <v>1068</v>
      </c>
      <c r="H59" s="1668">
        <f>H58-H30</f>
        <v>46360449.420939364</v>
      </c>
    </row>
    <row r="60" spans="2:28" ht="13.5" thickBot="1">
      <c r="D60" s="1654" t="s">
        <v>1069</v>
      </c>
      <c r="E60" s="1666">
        <f>E59*GapCalc!I33</f>
        <v>27637888.717720658</v>
      </c>
      <c r="F60" s="561"/>
      <c r="G60" s="1662" t="s">
        <v>1069</v>
      </c>
      <c r="H60" s="1669">
        <f>H59*GapCalc!I33</f>
        <v>39406382.007798456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9880000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48461767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118500.5224</v>
      </c>
      <c r="C7" s="1417">
        <f>C4*E4</f>
        <v>581249.46416265995</v>
      </c>
      <c r="D7" s="1409">
        <f>(1-'Rental Income'!O19)</f>
        <v>0.80132450331125826</v>
      </c>
    </row>
    <row r="8" spans="1:5">
      <c r="A8" s="1410" t="s">
        <v>980</v>
      </c>
      <c r="B8" s="1417">
        <f>B7*D7</f>
        <v>94957.372254304631</v>
      </c>
      <c r="C8" s="1417">
        <f>C7*D7</f>
        <v>465769.4381700785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560726.81042438315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59250.261200000001</v>
      </c>
    </row>
    <row r="14" spans="1:5">
      <c r="A14" t="s">
        <v>992</v>
      </c>
      <c r="B14">
        <v>24</v>
      </c>
      <c r="C14" s="1425">
        <f>C3*(E3/12)*B14</f>
        <v>237001.0448</v>
      </c>
    </row>
    <row r="15" spans="1:5">
      <c r="A15" s="40" t="s">
        <v>994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6527364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-326647.2</v>
      </c>
      <c r="E18" s="50"/>
      <c r="F18" s="55">
        <v>0.05</v>
      </c>
    </row>
    <row r="19" spans="1:25">
      <c r="A19" s="40" t="s">
        <v>165</v>
      </c>
      <c r="D19" s="57">
        <f>SUM(D15:D18)</f>
        <v>6206296.7999999998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78761.5</v>
      </c>
      <c r="E22" s="48">
        <v>1043</v>
      </c>
      <c r="F22" s="453" t="s">
        <v>172</v>
      </c>
      <c r="N22" s="428">
        <f>D22*0.8</f>
        <v>63009.200000000004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174</v>
      </c>
      <c r="D23" s="48">
        <f>(E23*$D$10-20)/2</f>
        <v>100707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14073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79933.279999999999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183</v>
      </c>
      <c r="D26" s="51">
        <f>SUM(D22:D25)</f>
        <v>273474.78000000003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28086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192</v>
      </c>
      <c r="D31" s="48">
        <f>E31*$D$10</f>
        <v>24764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194</v>
      </c>
      <c r="C32" s="43"/>
      <c r="D32" s="50">
        <f>E32*$D$10</f>
        <v>4530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202</v>
      </c>
      <c r="D37" s="48">
        <f>E37*$D$10</f>
        <v>119290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63571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262891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55719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40116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59796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20536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128350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246027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560726.81042438315</v>
      </c>
      <c r="Y56" s="1309">
        <f>X56/'Rental Income'!D15</f>
        <v>3713.4225855919412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728.09426543046357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126840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264.9006622516556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633310.94375771657</v>
      </c>
    </row>
    <row r="65" spans="1:25">
      <c r="B65" t="s">
        <v>250</v>
      </c>
      <c r="D65" s="48">
        <f>E65*$D$10</f>
        <v>22650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201490</v>
      </c>
      <c r="E67" s="48">
        <f>SUM(E62:E66)</f>
        <v>1439.9006622516556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45300</v>
      </c>
      <c r="E69" s="426">
        <v>300</v>
      </c>
    </row>
    <row r="70" spans="1:25">
      <c r="V70" s="40" t="s">
        <v>256</v>
      </c>
      <c r="X70" s="1307">
        <f>SUM(X68,X64,X54,X39,X31)</f>
        <v>989693.65042438323</v>
      </c>
      <c r="Y70" s="1307">
        <f>X70/D10</f>
        <v>6554.2625855919423</v>
      </c>
    </row>
    <row r="71" spans="1:25">
      <c r="A71" s="40" t="s">
        <v>257</v>
      </c>
      <c r="D71" s="48">
        <f>E71*$D$10</f>
        <v>75500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554.2625855919423</v>
      </c>
    </row>
    <row r="75" spans="1:25">
      <c r="A75" s="44" t="s">
        <v>260</v>
      </c>
      <c r="B75" s="45"/>
      <c r="C75" s="45"/>
      <c r="D75" s="52">
        <f>D19-D73</f>
        <v>4823356.7859199997</v>
      </c>
      <c r="E75" s="52">
        <f>D75/D10</f>
        <v>31942.760171655627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147144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60727208.750000007</v>
      </c>
      <c r="C7" s="465">
        <f>'Dev Summary_5-20'!B8</f>
        <v>3190331</v>
      </c>
      <c r="D7" s="465">
        <f t="shared" ref="D7:D14" si="0">B7-C7</f>
        <v>57536877.750000007</v>
      </c>
      <c r="E7" s="477">
        <f t="shared" ref="E7:E15" si="1">D7/B7</f>
        <v>0.94746455393440099</v>
      </c>
      <c r="F7" s="477"/>
      <c r="G7" s="472" t="e">
        <f t="shared" ref="G7:G14" si="2">B7/$B$15</f>
        <v>#REF!</v>
      </c>
      <c r="I7" s="147">
        <f>B7/$H$4</f>
        <v>552065.53409090918</v>
      </c>
      <c r="J7" s="53">
        <f>B7/$H$5</f>
        <v>412.70598019627039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252447.76871126809</v>
      </c>
      <c r="C9" s="446">
        <f>'Dev Summary_5-20'!B10</f>
        <v>50000</v>
      </c>
      <c r="D9" s="446">
        <f t="shared" si="0"/>
        <v>202447.76871126809</v>
      </c>
      <c r="E9" s="477">
        <f t="shared" si="1"/>
        <v>0.80193922784405169</v>
      </c>
      <c r="F9" s="477"/>
      <c r="G9" s="473" t="e">
        <f t="shared" si="2"/>
        <v>#REF!</v>
      </c>
      <c r="I9" s="53">
        <f t="shared" si="3"/>
        <v>2294.9797155569827</v>
      </c>
      <c r="J9" s="53">
        <f t="shared" si="4"/>
        <v>1.7156511221066988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0.21747403903659002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2.0133427526776488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17.144423150111454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56350684.496865101</v>
      </c>
      <c r="C21" s="48">
        <v>18731659</v>
      </c>
      <c r="D21" s="48">
        <f>B21-C21</f>
        <v>37619025.496865101</v>
      </c>
      <c r="E21" s="55">
        <f>D21/B21</f>
        <v>0.6675877291066078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897593.42517023382</v>
      </c>
      <c r="C26" s="48">
        <v>12677529</v>
      </c>
      <c r="D26" s="48">
        <f t="shared" si="5"/>
        <v>-11779935.574829767</v>
      </c>
      <c r="E26" s="55">
        <f t="shared" si="6"/>
        <v>-13.123910274404732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66799929.625000007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60619.936662500004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54557.942996250007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494160.76323958323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66799929.625000007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15363.983813750001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624702.62671208323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53439943.70000001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73899.867875000011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53439943.70000001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80987.367875000011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726926.505</v>
      </c>
      <c r="E10" s="748">
        <f>'PreDev Flow of Funds'!Y10+'PreDev Flow of Funds'!Y12</f>
        <v>1395966</v>
      </c>
      <c r="F10" s="748">
        <f>(D10-E10)/18</f>
        <v>-37168.860833333332</v>
      </c>
      <c r="G10" s="748">
        <f>$F$10</f>
        <v>-37168.860833333332</v>
      </c>
      <c r="H10" s="748">
        <f t="shared" ref="H10:W10" si="2">$F$10</f>
        <v>-37168.860833333332</v>
      </c>
      <c r="I10" s="748">
        <f t="shared" si="2"/>
        <v>-37168.860833333332</v>
      </c>
      <c r="J10" s="748">
        <f t="shared" si="2"/>
        <v>-37168.860833333332</v>
      </c>
      <c r="K10" s="748">
        <f t="shared" si="2"/>
        <v>-37168.860833333332</v>
      </c>
      <c r="L10" s="748">
        <f t="shared" si="2"/>
        <v>-37168.860833333332</v>
      </c>
      <c r="M10" s="748">
        <f t="shared" si="2"/>
        <v>-37168.860833333332</v>
      </c>
      <c r="N10" s="748">
        <f t="shared" si="2"/>
        <v>-37168.860833333332</v>
      </c>
      <c r="O10" s="748">
        <f t="shared" si="2"/>
        <v>-37168.860833333332</v>
      </c>
      <c r="P10" s="748">
        <f t="shared" si="2"/>
        <v>-37168.860833333332</v>
      </c>
      <c r="Q10" s="748">
        <f t="shared" si="2"/>
        <v>-37168.860833333332</v>
      </c>
      <c r="R10" s="748">
        <f t="shared" si="2"/>
        <v>-37168.860833333332</v>
      </c>
      <c r="S10" s="748">
        <f t="shared" si="2"/>
        <v>-37168.860833333332</v>
      </c>
      <c r="T10" s="748">
        <f t="shared" si="2"/>
        <v>-37168.860833333332</v>
      </c>
      <c r="U10" s="748">
        <f t="shared" si="2"/>
        <v>-37168.860833333332</v>
      </c>
      <c r="V10" s="748">
        <f t="shared" si="2"/>
        <v>-37168.860833333332</v>
      </c>
      <c r="W10" s="748">
        <f t="shared" si="2"/>
        <v>-37168.860833333332</v>
      </c>
      <c r="X10" s="748"/>
      <c r="Y10" s="748">
        <f>SUM(E10:W10)</f>
        <v>726926.50499999989</v>
      </c>
    </row>
    <row r="11" spans="1:25" ht="15">
      <c r="A11" s="402"/>
      <c r="B11" s="403" t="s">
        <v>388</v>
      </c>
      <c r="C11" s="748"/>
      <c r="D11" s="748">
        <f>'Development Budget'!G41</f>
        <v>726926.505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60727208.750000007</v>
      </c>
      <c r="E13" s="748">
        <f>'PreDev Flow of Funds'!Y14</f>
        <v>69798.3</v>
      </c>
      <c r="F13" s="748">
        <f>(D13-E13)/18</f>
        <v>3369856.1361111118</v>
      </c>
      <c r="G13" s="748">
        <f>$F$13</f>
        <v>3369856.1361111118</v>
      </c>
      <c r="H13" s="748">
        <f t="shared" ref="H13:W13" si="5">$F$13</f>
        <v>3369856.1361111118</v>
      </c>
      <c r="I13" s="748">
        <f t="shared" si="5"/>
        <v>3369856.1361111118</v>
      </c>
      <c r="J13" s="748">
        <f t="shared" si="5"/>
        <v>3369856.1361111118</v>
      </c>
      <c r="K13" s="748">
        <f t="shared" si="5"/>
        <v>3369856.1361111118</v>
      </c>
      <c r="L13" s="748">
        <f t="shared" si="5"/>
        <v>3369856.1361111118</v>
      </c>
      <c r="M13" s="748">
        <f t="shared" si="5"/>
        <v>3369856.1361111118</v>
      </c>
      <c r="N13" s="748">
        <f t="shared" si="5"/>
        <v>3369856.1361111118</v>
      </c>
      <c r="O13" s="748">
        <f t="shared" si="5"/>
        <v>3369856.1361111118</v>
      </c>
      <c r="P13" s="748">
        <f t="shared" si="5"/>
        <v>3369856.1361111118</v>
      </c>
      <c r="Q13" s="748">
        <f t="shared" si="5"/>
        <v>3369856.1361111118</v>
      </c>
      <c r="R13" s="748">
        <f t="shared" si="5"/>
        <v>3369856.1361111118</v>
      </c>
      <c r="S13" s="748">
        <f t="shared" si="5"/>
        <v>3369856.1361111118</v>
      </c>
      <c r="T13" s="748">
        <f t="shared" si="5"/>
        <v>3369856.1361111118</v>
      </c>
      <c r="U13" s="748">
        <f t="shared" si="5"/>
        <v>3369856.1361111118</v>
      </c>
      <c r="V13" s="748">
        <f t="shared" si="5"/>
        <v>3369856.1361111118</v>
      </c>
      <c r="W13" s="748">
        <f t="shared" si="5"/>
        <v>3369856.1361111118</v>
      </c>
      <c r="X13" s="748"/>
      <c r="Y13" s="748">
        <f t="shared" si="3"/>
        <v>60727208.75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60727208.750000007</v>
      </c>
      <c r="E15" s="748">
        <f>'PreDev Flow of Funds'!Y16+'PreDev Flow of Funds'!Y17+'PreDev Flow of Funds'!Y19</f>
        <v>72500</v>
      </c>
      <c r="F15" s="748">
        <f>(D15-E15)/18</f>
        <v>3369706.041666667</v>
      </c>
      <c r="G15" s="748">
        <f>$F$15</f>
        <v>3369706.041666667</v>
      </c>
      <c r="H15" s="748">
        <f t="shared" ref="H15:W15" si="7">$F$15</f>
        <v>3369706.041666667</v>
      </c>
      <c r="I15" s="748">
        <f t="shared" si="7"/>
        <v>3369706.041666667</v>
      </c>
      <c r="J15" s="748">
        <f t="shared" si="7"/>
        <v>3369706.041666667</v>
      </c>
      <c r="K15" s="748">
        <f t="shared" si="7"/>
        <v>3369706.041666667</v>
      </c>
      <c r="L15" s="748">
        <f t="shared" si="7"/>
        <v>3369706.041666667</v>
      </c>
      <c r="M15" s="748">
        <f t="shared" si="7"/>
        <v>3369706.041666667</v>
      </c>
      <c r="N15" s="748">
        <f t="shared" si="7"/>
        <v>3369706.041666667</v>
      </c>
      <c r="O15" s="748">
        <f t="shared" si="7"/>
        <v>3369706.041666667</v>
      </c>
      <c r="P15" s="748">
        <f t="shared" si="7"/>
        <v>3369706.041666667</v>
      </c>
      <c r="Q15" s="748">
        <f t="shared" si="7"/>
        <v>3369706.041666667</v>
      </c>
      <c r="R15" s="748">
        <f t="shared" si="7"/>
        <v>3369706.041666667</v>
      </c>
      <c r="S15" s="748">
        <f t="shared" si="7"/>
        <v>3369706.041666667</v>
      </c>
      <c r="T15" s="748">
        <f t="shared" si="7"/>
        <v>3369706.041666667</v>
      </c>
      <c r="U15" s="748">
        <f t="shared" si="7"/>
        <v>3369706.041666667</v>
      </c>
      <c r="V15" s="748">
        <f t="shared" si="7"/>
        <v>3369706.041666667</v>
      </c>
      <c r="W15" s="748">
        <f t="shared" si="7"/>
        <v>3369706.041666667</v>
      </c>
      <c r="X15" s="748"/>
      <c r="Y15" s="748">
        <f t="shared" si="3"/>
        <v>60727208.749999985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48461767</v>
      </c>
      <c r="E33" s="748">
        <v>0</v>
      </c>
      <c r="F33" s="748">
        <f>D33</f>
        <v>48461767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48461767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151818.02187500003</v>
      </c>
      <c r="E43" s="748">
        <f>D43</f>
        <v>151818.02187500003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151818.02187500003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342818.02187500003</v>
      </c>
      <c r="E52" s="748">
        <f>D52</f>
        <v>342818.02187500003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342818.02187500003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252447.76871126809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15339789.118749997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62334640.66466666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-10622621.533238463</v>
      </c>
      <c r="E87" s="749">
        <f>E80-E84-E85-E86-E88-E89-E90-E91</f>
        <v>498636.04374999553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15339789.118749997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-1163111.61625</v>
      </c>
      <c r="K103" s="162">
        <f>J103+(C116*0.25)/2</f>
        <v>-2326223.2324999999</v>
      </c>
      <c r="L103" s="162">
        <f>K103+((C116-K103)/4)</f>
        <v>-4070890.6568749999</v>
      </c>
      <c r="M103" s="162">
        <f>L103+((C116-K103)/4)</f>
        <v>-5815558.0812499998</v>
      </c>
      <c r="N103" s="162">
        <f>M103+((C116-K103)/4)</f>
        <v>-7560225.5056250002</v>
      </c>
      <c r="O103" s="162">
        <f>N103+((C116-K103)/4)</f>
        <v>-9304892.9299999997</v>
      </c>
      <c r="P103" s="162">
        <f>O103</f>
        <v>-9304892.9299999997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9746839.4591666665</v>
      </c>
      <c r="K104" s="371">
        <f>((C117-1033493)/6)+J104</f>
        <v>19493678.918333333</v>
      </c>
      <c r="L104" s="371">
        <f>((C117-1033493)/6)+K104</f>
        <v>29240518.377499998</v>
      </c>
      <c r="M104" s="371">
        <f>((C117-1033493)/6)+L104</f>
        <v>38987357.836666666</v>
      </c>
      <c r="N104" s="371">
        <f>((C117-1033493)/6)+M104</f>
        <v>48734197.295833334</v>
      </c>
      <c r="O104" s="371">
        <f>((C117-1033493)/6)+N104</f>
        <v>58481036.755000003</v>
      </c>
      <c r="P104" s="371">
        <f>(286645+100000+646848)+O104</f>
        <v>59514529.755000003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8583727.8429166675</v>
      </c>
      <c r="K110" s="371">
        <f t="shared" ref="K110:P110" si="9">SUM(K103:K104)</f>
        <v>17167455.685833335</v>
      </c>
      <c r="L110" s="371">
        <f t="shared" si="9"/>
        <v>25169627.720624998</v>
      </c>
      <c r="M110" s="371">
        <f t="shared" si="9"/>
        <v>33171799.755416665</v>
      </c>
      <c r="N110" s="371">
        <f t="shared" si="9"/>
        <v>41173971.790208332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-9304892.9299999997</v>
      </c>
      <c r="D116" s="1769"/>
    </row>
    <row r="117" spans="2:19" ht="16.5" thickBot="1">
      <c r="B117" s="398" t="s">
        <v>602</v>
      </c>
      <c r="C117" s="1772">
        <f>C118-C114-C116-C115</f>
        <v>59514529.755000003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